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20115" windowHeight="7380" activeTab="7"/>
  </bookViews>
  <sheets>
    <sheet name="EB Qtrs Det" sheetId="4" r:id="rId1"/>
    <sheet name="A3 SHEET" sheetId="6" state="hidden" r:id="rId2"/>
    <sheet name="EB Qtrs Abs" sheetId="5" r:id="rId3"/>
    <sheet name="Sheet1" sheetId="1" r:id="rId4"/>
    <sheet name="GEN ABS" sheetId="3" r:id="rId5"/>
    <sheet name="data 23-24" sheetId="7" state="hidden" r:id="rId6"/>
    <sheet name="BUILDING FINAL" sheetId="8" r:id="rId7"/>
    <sheet name="Lead charge" sheetId="9" r:id="rId8"/>
    <sheet name="Sheet3" sheetId="10" r:id="rId9"/>
  </sheets>
  <externalReferences>
    <externalReference r:id="rId10"/>
    <externalReference r:id="rId11"/>
    <externalReference r:id="rId12"/>
    <externalReference r:id="rId13"/>
    <externalReference r:id="rId14"/>
    <externalReference r:id="rId15"/>
    <externalReference r:id="rId16"/>
    <externalReference r:id="rId17"/>
  </externalReferences>
  <definedNames>
    <definedName name="_m" localSheetId="1">#REF!</definedName>
    <definedName name="_m" localSheetId="6">#REF!</definedName>
    <definedName name="_m">#REF!</definedName>
    <definedName name="aa" localSheetId="1">#REF!</definedName>
    <definedName name="aa" localSheetId="6">#REF!</definedName>
    <definedName name="aa">#REF!</definedName>
    <definedName name="Abs" localSheetId="1">#REF!</definedName>
    <definedName name="Abs" localSheetId="6">#REF!</definedName>
    <definedName name="Abs">#REF!</definedName>
    <definedName name="ag" localSheetId="1">#REF!</definedName>
    <definedName name="ag" localSheetId="6">#REF!</definedName>
    <definedName name="ag">#REF!</definedName>
    <definedName name="ahfk" localSheetId="1">#REF!</definedName>
    <definedName name="ahfk" localSheetId="6">#REF!</definedName>
    <definedName name="ahfk">#REF!</definedName>
    <definedName name="anbu\" localSheetId="1">#REF!</definedName>
    <definedName name="anbu\" localSheetId="6">#REF!</definedName>
    <definedName name="anbu\">#REF!</definedName>
    <definedName name="b" localSheetId="1">#REF!</definedName>
    <definedName name="b" localSheetId="6">#REF!</definedName>
    <definedName name="b">#REF!</definedName>
    <definedName name="bor" localSheetId="1">#REF!</definedName>
    <definedName name="bor" localSheetId="6">#REF!</definedName>
    <definedName name="bor">#REF!</definedName>
    <definedName name="Buildingevelopment." localSheetId="1">#REF!</definedName>
    <definedName name="Buildingevelopment." localSheetId="6">#REF!</definedName>
    <definedName name="Buildingevelopment.">#REF!</definedName>
    <definedName name="c.data" localSheetId="1">#REF!</definedName>
    <definedName name="c.data" localSheetId="6">#REF!</definedName>
    <definedName name="c.data">#REF!</definedName>
    <definedName name="DE" localSheetId="1">#REF!</definedName>
    <definedName name="DE" localSheetId="6">#REF!</definedName>
    <definedName name="DE">#REF!</definedName>
    <definedName name="electri" localSheetId="1">#REF!</definedName>
    <definedName name="electri" localSheetId="6">#REF!</definedName>
    <definedName name="electri">#REF!</definedName>
    <definedName name="Excel_BuiltIn__FilterDatabase_6" localSheetId="1">[1]Abstract!#REF!</definedName>
    <definedName name="Excel_BuiltIn__FilterDatabase_6" localSheetId="6">[1]Abstract!#REF!</definedName>
    <definedName name="Excel_BuiltIn__FilterDatabase_6">[1]Abstract!#REF!</definedName>
    <definedName name="Excel_BuiltIn_Print_Area" localSheetId="1">#REF!</definedName>
    <definedName name="Excel_BuiltIn_Print_Area" localSheetId="6">#REF!</definedName>
    <definedName name="Excel_BuiltIn_Print_Area">#REF!</definedName>
    <definedName name="Excel_BuiltIn_Print_Titles" localSheetId="1">#REF!</definedName>
    <definedName name="Excel_BuiltIn_Print_Titles" localSheetId="6">#REF!</definedName>
    <definedName name="Excel_BuiltIn_Print_Titles">#REF!</definedName>
    <definedName name="Excel_BuiltIn_Print_Titles_3" localSheetId="1">#REF!</definedName>
    <definedName name="Excel_BuiltIn_Print_Titles_3" localSheetId="6">#REF!</definedName>
    <definedName name="Excel_BuiltIn_Print_Titles_3">#REF!</definedName>
    <definedName name="Excel_BuiltIn_Print_Titles_4" localSheetId="1">#REF!</definedName>
    <definedName name="Excel_BuiltIn_Print_Titles_4" localSheetId="6">#REF!</definedName>
    <definedName name="Excel_BuiltIn_Print_Titles_4">#REF!</definedName>
    <definedName name="fhd" localSheetId="1">#REF!</definedName>
    <definedName name="fhd" localSheetId="6">#REF!</definedName>
    <definedName name="fhd">#REF!</definedName>
    <definedName name="hia" localSheetId="1">#REF!</definedName>
    <definedName name="hia" localSheetId="6">#REF!</definedName>
    <definedName name="hia">#REF!</definedName>
    <definedName name="ins" localSheetId="1">#REF!</definedName>
    <definedName name="ins" localSheetId="6">#REF!</definedName>
    <definedName name="ins">#REF!</definedName>
    <definedName name="jj" localSheetId="1">#REF!</definedName>
    <definedName name="jj" localSheetId="6">#REF!</definedName>
    <definedName name="jj">#REF!</definedName>
    <definedName name="Junior_Engineer" localSheetId="1">#REF!</definedName>
    <definedName name="Junior_Engineer" localSheetId="6">#REF!</definedName>
    <definedName name="Junior_Engineer">#REF!</definedName>
    <definedName name="k404." localSheetId="1">#REF!</definedName>
    <definedName name="k404." localSheetId="6">#REF!</definedName>
    <definedName name="k404.">#REF!</definedName>
    <definedName name="My" localSheetId="1">#REF!</definedName>
    <definedName name="My" localSheetId="6">#REF!</definedName>
    <definedName name="My">#REF!</definedName>
    <definedName name="NW" localSheetId="1">#REF!</definedName>
    <definedName name="NW" localSheetId="6">#REF!</definedName>
    <definedName name="NW">#REF!</definedName>
    <definedName name="P" localSheetId="1">#REF!</definedName>
    <definedName name="P" localSheetId="6">#REF!</definedName>
    <definedName name="P">#REF!</definedName>
    <definedName name="pc" localSheetId="1">#REF!</definedName>
    <definedName name="pc" localSheetId="6">#REF!</definedName>
    <definedName name="pc">#REF!</definedName>
    <definedName name="pri" localSheetId="1">#REF!</definedName>
    <definedName name="pri" localSheetId="6">#REF!</definedName>
    <definedName name="pri">#REF!</definedName>
    <definedName name="PRIN_TITLES_MI" localSheetId="1">#REF!</definedName>
    <definedName name="PRIN_TITLES_MI" localSheetId="6">#REF!</definedName>
    <definedName name="PRIN_TITLES_MI">#REF!</definedName>
    <definedName name="print" localSheetId="1">#REF!</definedName>
    <definedName name="print" localSheetId="6">#REF!</definedName>
    <definedName name="print">#REF!</definedName>
    <definedName name="PRINT_ARE" localSheetId="1">#REF!</definedName>
    <definedName name="PRINT_ARE" localSheetId="6">#REF!</definedName>
    <definedName name="PRINT_ARE">#REF!</definedName>
    <definedName name="_xlnm.Print_Area" localSheetId="1">'A3 SHEET'!$A$1:$J$47</definedName>
    <definedName name="_xlnm.Print_Area" localSheetId="6">'BUILDING FINAL'!$A$1:$K$57</definedName>
    <definedName name="_xlnm.Print_Area" localSheetId="2">'EB Qtrs Abs'!$A$1:$F$40</definedName>
    <definedName name="_xlnm.Print_Area" localSheetId="0">'EB Qtrs Det'!$A$1:$H$138</definedName>
    <definedName name="_xlnm.Print_Area">#REF!</definedName>
    <definedName name="PRINT_AREA_" localSheetId="1">#REF!</definedName>
    <definedName name="PRINT_AREA_" localSheetId="6">#REF!</definedName>
    <definedName name="PRINT_AREA_">#REF!</definedName>
    <definedName name="PRINT_AREA_M" localSheetId="1">#REF!</definedName>
    <definedName name="PRINT_AREA_M" localSheetId="6">#REF!</definedName>
    <definedName name="PRINT_AREA_M">#REF!</definedName>
    <definedName name="PRINT_AREA_MI" localSheetId="1">#REF!</definedName>
    <definedName name="PRINT_AREA_MI" localSheetId="6">#REF!</definedName>
    <definedName name="PRINT_AREA_MI">#REF!</definedName>
    <definedName name="PRINT_AREA_MI_2" localSheetId="1">#REF!</definedName>
    <definedName name="PRINT_AREA_MI_2" localSheetId="6">#REF!</definedName>
    <definedName name="PRINT_AREA_MI_2">#REF!</definedName>
    <definedName name="Print_T" localSheetId="1">#REF!</definedName>
    <definedName name="Print_T" localSheetId="6">#REF!</definedName>
    <definedName name="Print_T">#REF!</definedName>
    <definedName name="Print_Tit" localSheetId="1">#REF!</definedName>
    <definedName name="Print_Tit" localSheetId="6">#REF!</definedName>
    <definedName name="Print_Tit">#REF!</definedName>
    <definedName name="Print_Titl" localSheetId="1">#REF!</definedName>
    <definedName name="Print_Titl" localSheetId="6">#REF!</definedName>
    <definedName name="Print_Titl">#REF!</definedName>
    <definedName name="Print_Title" localSheetId="1">#REF!</definedName>
    <definedName name="Print_Title" localSheetId="6">#REF!</definedName>
    <definedName name="Print_Title">#REF!</definedName>
    <definedName name="_xlnm.Print_Titles" localSheetId="1">#REF!</definedName>
    <definedName name="_xlnm.Print_Titles" localSheetId="6">#REF!</definedName>
    <definedName name="_xlnm.Print_Titles">#REF!</definedName>
    <definedName name="PRINT_TITLES_MI" localSheetId="1">#REF!</definedName>
    <definedName name="PRINT_TITLES_MI" localSheetId="6">#REF!</definedName>
    <definedName name="PRINT_TITLES_MI">#REF!</definedName>
    <definedName name="PRINT_TITLES_MI_2" localSheetId="1">#REF!</definedName>
    <definedName name="PRINT_TITLES_MI_2" localSheetId="6">#REF!</definedName>
    <definedName name="PRINT_TITLES_MI_2">#REF!</definedName>
    <definedName name="PRINT_TITLES_NW" localSheetId="1">#REF!</definedName>
    <definedName name="PRINT_TITLES_NW" localSheetId="6">#REF!</definedName>
    <definedName name="PRINT_TITLES_NW">#REF!</definedName>
    <definedName name="Print_titlesnew" localSheetId="1">#REF!</definedName>
    <definedName name="Print_titlesnew" localSheetId="6">#REF!</definedName>
    <definedName name="Print_titlesnew">#REF!</definedName>
    <definedName name="printarea1" localSheetId="1">#REF!</definedName>
    <definedName name="printarea1" localSheetId="6">#REF!</definedName>
    <definedName name="printarea1">#REF!</definedName>
    <definedName name="QQE" localSheetId="1">#REF!</definedName>
    <definedName name="QQE" localSheetId="6">#REF!</definedName>
    <definedName name="QQE">#REF!</definedName>
    <definedName name="QWE" localSheetId="1">#REF!</definedName>
    <definedName name="QWE" localSheetId="6">#REF!</definedName>
    <definedName name="QWE">#REF!</definedName>
    <definedName name="red" localSheetId="1">#REF!</definedName>
    <definedName name="red" localSheetId="6">#REF!</definedName>
    <definedName name="red">#REF!</definedName>
    <definedName name="rrr" localSheetId="1">#REF!</definedName>
    <definedName name="rrr" localSheetId="6">#REF!</definedName>
    <definedName name="rrr">#REF!</definedName>
    <definedName name="S" localSheetId="1">#REF!</definedName>
    <definedName name="S" localSheetId="6">#REF!</definedName>
    <definedName name="S">#REF!</definedName>
    <definedName name="ss" localSheetId="1">#REF!</definedName>
    <definedName name="ss" localSheetId="6">#REF!</definedName>
    <definedName name="ss">#REF!</definedName>
    <definedName name="ssdde" localSheetId="1">#REF!</definedName>
    <definedName name="ssdde" localSheetId="6">#REF!</definedName>
    <definedName name="ssdde">#REF!</definedName>
    <definedName name="tj" localSheetId="1">#REF!</definedName>
    <definedName name="tj" localSheetId="6">#REF!</definedName>
    <definedName name="tj">#REF!</definedName>
    <definedName name="u" localSheetId="1">#REF!</definedName>
    <definedName name="u" localSheetId="6">#REF!</definedName>
    <definedName name="u">#REF!</definedName>
  </definedNames>
  <calcPr calcId="124519"/>
</workbook>
</file>

<file path=xl/calcChain.xml><?xml version="1.0" encoding="utf-8"?>
<calcChain xmlns="http://schemas.openxmlformats.org/spreadsheetml/2006/main">
  <c r="L4078" i="10"/>
  <c r="I4071"/>
  <c r="K4071" s="1"/>
  <c r="K4070"/>
  <c r="I4069"/>
  <c r="F4068"/>
  <c r="K4068" s="1"/>
  <c r="J4062"/>
  <c r="J4063" s="1"/>
  <c r="F4069" s="1"/>
  <c r="K4069" s="1"/>
  <c r="K4060"/>
  <c r="J4060"/>
  <c r="J4057"/>
  <c r="F4067" s="1"/>
  <c r="J4052"/>
  <c r="J4054" s="1"/>
  <c r="F4066" s="1"/>
  <c r="J4051"/>
  <c r="I4028"/>
  <c r="K4028" s="1"/>
  <c r="K4013"/>
  <c r="K4011"/>
  <c r="I4011"/>
  <c r="I4026" s="1"/>
  <c r="K3995"/>
  <c r="I3978"/>
  <c r="K3978" s="1"/>
  <c r="I3966"/>
  <c r="I3983" s="1"/>
  <c r="I3964"/>
  <c r="H3964"/>
  <c r="K3960"/>
  <c r="I3960"/>
  <c r="I3977" s="1"/>
  <c r="K3977" s="1"/>
  <c r="H3960"/>
  <c r="I3959"/>
  <c r="K3950"/>
  <c r="K3948"/>
  <c r="K3945"/>
  <c r="I3945"/>
  <c r="I3961" s="1"/>
  <c r="K3961" s="1"/>
  <c r="I3944"/>
  <c r="K3944" s="1"/>
  <c r="K3943"/>
  <c r="I3943"/>
  <c r="I3942"/>
  <c r="K3930"/>
  <c r="K3927"/>
  <c r="K3926"/>
  <c r="K3925"/>
  <c r="K3924"/>
  <c r="E3899"/>
  <c r="G3899" s="1"/>
  <c r="G3898"/>
  <c r="H3887"/>
  <c r="H3868"/>
  <c r="H3867"/>
  <c r="H3866"/>
  <c r="H3865"/>
  <c r="H3871" s="1"/>
  <c r="E3875" s="1"/>
  <c r="I3863"/>
  <c r="H3857"/>
  <c r="H3847"/>
  <c r="H3846"/>
  <c r="H3845"/>
  <c r="H3844"/>
  <c r="H3850" s="1"/>
  <c r="I3842"/>
  <c r="I3831"/>
  <c r="K3831" s="1"/>
  <c r="K3823"/>
  <c r="K3807"/>
  <c r="R3793"/>
  <c r="R3792"/>
  <c r="R3791"/>
  <c r="K3791"/>
  <c r="R3790"/>
  <c r="K3790"/>
  <c r="R3789"/>
  <c r="K3789"/>
  <c r="R3788"/>
  <c r="K3788"/>
  <c r="R3787"/>
  <c r="K3787"/>
  <c r="R3786"/>
  <c r="K3786"/>
  <c r="R3785"/>
  <c r="K3785"/>
  <c r="R3784"/>
  <c r="K3784"/>
  <c r="R3783"/>
  <c r="K3783"/>
  <c r="K3793" s="1"/>
  <c r="K3794" s="1"/>
  <c r="K3768"/>
  <c r="K3767"/>
  <c r="K3766"/>
  <c r="K3765"/>
  <c r="K3763"/>
  <c r="K3764" s="1"/>
  <c r="I3763"/>
  <c r="I3761"/>
  <c r="K3761" s="1"/>
  <c r="K3762" s="1"/>
  <c r="K3747"/>
  <c r="K3738"/>
  <c r="K3736"/>
  <c r="V3722"/>
  <c r="X3722" s="1"/>
  <c r="X3721"/>
  <c r="V3721"/>
  <c r="X3720"/>
  <c r="V3720"/>
  <c r="R3720"/>
  <c r="X3719"/>
  <c r="V3719"/>
  <c r="J3719"/>
  <c r="V3718"/>
  <c r="R3718"/>
  <c r="K3718"/>
  <c r="J3718"/>
  <c r="R3717"/>
  <c r="K3717"/>
  <c r="J3717"/>
  <c r="R3716"/>
  <c r="K3716"/>
  <c r="J3716"/>
  <c r="R3715"/>
  <c r="K3715"/>
  <c r="J3715"/>
  <c r="N3711"/>
  <c r="X3708"/>
  <c r="X3707"/>
  <c r="X3706"/>
  <c r="X3705"/>
  <c r="K3705"/>
  <c r="M3697"/>
  <c r="V3696"/>
  <c r="X3696" s="1"/>
  <c r="X3695"/>
  <c r="V3695"/>
  <c r="M3695"/>
  <c r="H3695"/>
  <c r="X3694"/>
  <c r="V3694"/>
  <c r="I3694"/>
  <c r="H3694"/>
  <c r="F3694"/>
  <c r="V3693"/>
  <c r="X3693" s="1"/>
  <c r="H3693"/>
  <c r="F3693"/>
  <c r="X3692"/>
  <c r="V3692"/>
  <c r="X3690"/>
  <c r="V3690"/>
  <c r="H3690"/>
  <c r="X3689"/>
  <c r="V3689"/>
  <c r="H3689"/>
  <c r="V3688"/>
  <c r="X3688" s="1"/>
  <c r="H3688"/>
  <c r="X3687"/>
  <c r="V3687"/>
  <c r="K3687"/>
  <c r="I3687"/>
  <c r="H3687"/>
  <c r="F3687"/>
  <c r="X3686"/>
  <c r="V3686"/>
  <c r="F3685"/>
  <c r="K3685" s="1"/>
  <c r="H3684"/>
  <c r="H3683"/>
  <c r="F3683"/>
  <c r="K3673"/>
  <c r="AG3669"/>
  <c r="X3666"/>
  <c r="K3666"/>
  <c r="I3666"/>
  <c r="X3665"/>
  <c r="X3664"/>
  <c r="K3664"/>
  <c r="X3663"/>
  <c r="X3662"/>
  <c r="AG3661"/>
  <c r="AI3661" s="1"/>
  <c r="AI3660"/>
  <c r="X3660"/>
  <c r="AI3659"/>
  <c r="X3659"/>
  <c r="AI3658"/>
  <c r="X3658"/>
  <c r="AI3657"/>
  <c r="AG3657"/>
  <c r="X3657"/>
  <c r="AG3656"/>
  <c r="AI3656" s="1"/>
  <c r="AI3655"/>
  <c r="AG3655"/>
  <c r="V3655"/>
  <c r="X3646"/>
  <c r="X3645"/>
  <c r="X3644"/>
  <c r="X3643"/>
  <c r="X3642"/>
  <c r="X3641"/>
  <c r="K3641"/>
  <c r="I3641"/>
  <c r="I3747" s="1"/>
  <c r="X3640"/>
  <c r="I3630"/>
  <c r="K3630" s="1"/>
  <c r="AF3629"/>
  <c r="I3629"/>
  <c r="K3629" s="1"/>
  <c r="AF3628"/>
  <c r="AD3628"/>
  <c r="K3628"/>
  <c r="H3626"/>
  <c r="Z3621"/>
  <c r="S3620"/>
  <c r="AE3619"/>
  <c r="Z3620" s="1"/>
  <c r="S3619"/>
  <c r="J3619"/>
  <c r="W3618"/>
  <c r="X3613"/>
  <c r="K3609"/>
  <c r="K3608"/>
  <c r="K3607"/>
  <c r="K3606"/>
  <c r="I3606"/>
  <c r="S3605"/>
  <c r="K3605"/>
  <c r="S3604"/>
  <c r="K3604"/>
  <c r="I3604"/>
  <c r="I3626" s="1"/>
  <c r="K3626" s="1"/>
  <c r="V3603"/>
  <c r="Z3598"/>
  <c r="X3596"/>
  <c r="S3588"/>
  <c r="S3587"/>
  <c r="V3586"/>
  <c r="K3586"/>
  <c r="I3586"/>
  <c r="K3576"/>
  <c r="I3576"/>
  <c r="K3575"/>
  <c r="K3577" s="1"/>
  <c r="K3578" s="1"/>
  <c r="I3579" s="1"/>
  <c r="K3579" s="1"/>
  <c r="I3575"/>
  <c r="I3585" s="1"/>
  <c r="K3585" s="1"/>
  <c r="S3573"/>
  <c r="V3571"/>
  <c r="S3572" s="1"/>
  <c r="R3567"/>
  <c r="R3565"/>
  <c r="K3564"/>
  <c r="R3562"/>
  <c r="K3562"/>
  <c r="I3562"/>
  <c r="P3565" s="1"/>
  <c r="K3559"/>
  <c r="S3557"/>
  <c r="AD3556"/>
  <c r="AG3555"/>
  <c r="AD3557" s="1"/>
  <c r="V3555"/>
  <c r="S3556" s="1"/>
  <c r="M3552"/>
  <c r="M3551"/>
  <c r="M3550"/>
  <c r="M3549"/>
  <c r="M3548"/>
  <c r="M3547"/>
  <c r="M3546"/>
  <c r="P3544"/>
  <c r="P3543"/>
  <c r="F3541"/>
  <c r="AG3540"/>
  <c r="AG3556" s="1"/>
  <c r="V3619" s="1"/>
  <c r="X3619" s="1"/>
  <c r="AD3540"/>
  <c r="K3540"/>
  <c r="I3540"/>
  <c r="V3540" s="1"/>
  <c r="AG3539"/>
  <c r="AD3541" s="1"/>
  <c r="V3539"/>
  <c r="I3539"/>
  <c r="F3540" s="1"/>
  <c r="K3531"/>
  <c r="I3531"/>
  <c r="P3535" s="1"/>
  <c r="R3535" s="1"/>
  <c r="I3529"/>
  <c r="P3528"/>
  <c r="M3528"/>
  <c r="M3529" s="1"/>
  <c r="K3528"/>
  <c r="I3528"/>
  <c r="I3544" s="1"/>
  <c r="P3527"/>
  <c r="I3527"/>
  <c r="R3523"/>
  <c r="I3523"/>
  <c r="F3524" s="1"/>
  <c r="V3520"/>
  <c r="V3519"/>
  <c r="M3509"/>
  <c r="K3491"/>
  <c r="I3491"/>
  <c r="I3490"/>
  <c r="K3490" s="1"/>
  <c r="K3489"/>
  <c r="I3489"/>
  <c r="I3488"/>
  <c r="K3488" s="1"/>
  <c r="K3487"/>
  <c r="I3487"/>
  <c r="I3486"/>
  <c r="K3486" s="1"/>
  <c r="K3483"/>
  <c r="J3481"/>
  <c r="J3480"/>
  <c r="J3479"/>
  <c r="I3468"/>
  <c r="P3464"/>
  <c r="R3464" s="1"/>
  <c r="K3464"/>
  <c r="I3464"/>
  <c r="I3808" s="1"/>
  <c r="K3808" s="1"/>
  <c r="P3462"/>
  <c r="R3462" s="1"/>
  <c r="K3456"/>
  <c r="P3443"/>
  <c r="R3443" s="1"/>
  <c r="P3442"/>
  <c r="R3442" s="1"/>
  <c r="R3441"/>
  <c r="P3441"/>
  <c r="R3440"/>
  <c r="I3432"/>
  <c r="K3429"/>
  <c r="K3428"/>
  <c r="K3427"/>
  <c r="K3426"/>
  <c r="K3424"/>
  <c r="I3424"/>
  <c r="F3423"/>
  <c r="F3422"/>
  <c r="I3419"/>
  <c r="F3424" s="1"/>
  <c r="I3418"/>
  <c r="I3417"/>
  <c r="I3414"/>
  <c r="I3413"/>
  <c r="I3412"/>
  <c r="I3411"/>
  <c r="I3410"/>
  <c r="F3425" s="1"/>
  <c r="I3397"/>
  <c r="I3430" s="1"/>
  <c r="K3430" s="1"/>
  <c r="I3391"/>
  <c r="I3368"/>
  <c r="K3342"/>
  <c r="P3336"/>
  <c r="R3336" s="1"/>
  <c r="R3333"/>
  <c r="P3333"/>
  <c r="R3329"/>
  <c r="P3329"/>
  <c r="P3328"/>
  <c r="R3328" s="1"/>
  <c r="R3327"/>
  <c r="P3327"/>
  <c r="P3364" s="1"/>
  <c r="K3322"/>
  <c r="I3312"/>
  <c r="I3311"/>
  <c r="K3309"/>
  <c r="I3309"/>
  <c r="K3306"/>
  <c r="I3306"/>
  <c r="I3305"/>
  <c r="K3305" s="1"/>
  <c r="K3304"/>
  <c r="I3304"/>
  <c r="R3303"/>
  <c r="K3303"/>
  <c r="I3303"/>
  <c r="P3302"/>
  <c r="P3301"/>
  <c r="R3299"/>
  <c r="P3299"/>
  <c r="P3368" s="1"/>
  <c r="R3368" s="1"/>
  <c r="R3295"/>
  <c r="P3295"/>
  <c r="K3292"/>
  <c r="I3292"/>
  <c r="I3330" s="1"/>
  <c r="K3291"/>
  <c r="K3290"/>
  <c r="K3289"/>
  <c r="K3288"/>
  <c r="K3287"/>
  <c r="K3286"/>
  <c r="K3283"/>
  <c r="P3269"/>
  <c r="R3268"/>
  <c r="P3268"/>
  <c r="I3328" s="1"/>
  <c r="K3328" s="1"/>
  <c r="K3268"/>
  <c r="I3268"/>
  <c r="R3267"/>
  <c r="P3267"/>
  <c r="I3327" s="1"/>
  <c r="R3266"/>
  <c r="P3266"/>
  <c r="I3326" s="1"/>
  <c r="K3264"/>
  <c r="R3262"/>
  <c r="X3260"/>
  <c r="V3260"/>
  <c r="X3259"/>
  <c r="V3259"/>
  <c r="X3258"/>
  <c r="V3258"/>
  <c r="X3257"/>
  <c r="V3257"/>
  <c r="X3256"/>
  <c r="V3256"/>
  <c r="X3255"/>
  <c r="V3255"/>
  <c r="X3254"/>
  <c r="V3254"/>
  <c r="X3251"/>
  <c r="V3251"/>
  <c r="L3238"/>
  <c r="R3235"/>
  <c r="P3235"/>
  <c r="P3449" s="1"/>
  <c r="R3449" s="1"/>
  <c r="R3234"/>
  <c r="P3234"/>
  <c r="L3234"/>
  <c r="P3233"/>
  <c r="R3232"/>
  <c r="P3232"/>
  <c r="P3446" s="1"/>
  <c r="R3446" s="1"/>
  <c r="R3231"/>
  <c r="P3231"/>
  <c r="P3230"/>
  <c r="R3228"/>
  <c r="R3227"/>
  <c r="R3226"/>
  <c r="R3225"/>
  <c r="P3225"/>
  <c r="P3439" s="1"/>
  <c r="R3439" s="1"/>
  <c r="L3212"/>
  <c r="R3201"/>
  <c r="K3494" s="1"/>
  <c r="P3201"/>
  <c r="P3236" s="1"/>
  <c r="R3236" s="1"/>
  <c r="S3200"/>
  <c r="T3200" s="1"/>
  <c r="R3200"/>
  <c r="R3199"/>
  <c r="R3198"/>
  <c r="R3197"/>
  <c r="L3196"/>
  <c r="R3193"/>
  <c r="R3192"/>
  <c r="R3164"/>
  <c r="P3164"/>
  <c r="V3163"/>
  <c r="X3163" s="1"/>
  <c r="V3162"/>
  <c r="X3162" s="1"/>
  <c r="V3161"/>
  <c r="X3161" s="1"/>
  <c r="X3159"/>
  <c r="V3159"/>
  <c r="M3158"/>
  <c r="K3158"/>
  <c r="P3157"/>
  <c r="R3157" s="1"/>
  <c r="K3157"/>
  <c r="I3157"/>
  <c r="M3156"/>
  <c r="I3156"/>
  <c r="U3155"/>
  <c r="M3155"/>
  <c r="K3155"/>
  <c r="I3155"/>
  <c r="P3162" s="1"/>
  <c r="U3154"/>
  <c r="K3154"/>
  <c r="I3154"/>
  <c r="P3161" s="1"/>
  <c r="R3161" s="1"/>
  <c r="U3153"/>
  <c r="I3153"/>
  <c r="K3152"/>
  <c r="I3152"/>
  <c r="P3159" s="1"/>
  <c r="R3159" s="1"/>
  <c r="U3151"/>
  <c r="U3152" s="1"/>
  <c r="U3150"/>
  <c r="K3150"/>
  <c r="I3150"/>
  <c r="F3150"/>
  <c r="P3149"/>
  <c r="P3150" s="1"/>
  <c r="M3157" s="1"/>
  <c r="P3148"/>
  <c r="P3145"/>
  <c r="P3143"/>
  <c r="P3142"/>
  <c r="X3138"/>
  <c r="V3138"/>
  <c r="V3137"/>
  <c r="X3137" s="1"/>
  <c r="X3136"/>
  <c r="V3136"/>
  <c r="X3134"/>
  <c r="V3134"/>
  <c r="V3124"/>
  <c r="R3122"/>
  <c r="K3122"/>
  <c r="X3121"/>
  <c r="R3121"/>
  <c r="K3121"/>
  <c r="X3120"/>
  <c r="V3120"/>
  <c r="I4070" s="1"/>
  <c r="X3119"/>
  <c r="X3117"/>
  <c r="V3117"/>
  <c r="I4068" s="1"/>
  <c r="K3112"/>
  <c r="I3112"/>
  <c r="V3111"/>
  <c r="AW3110"/>
  <c r="AS3110"/>
  <c r="AU3110" s="1"/>
  <c r="V3110"/>
  <c r="AU3109"/>
  <c r="AS3109"/>
  <c r="AJ3109"/>
  <c r="V3109"/>
  <c r="I3108"/>
  <c r="K3108" s="1"/>
  <c r="K3107"/>
  <c r="V3106"/>
  <c r="V3104"/>
  <c r="V3103"/>
  <c r="K3084"/>
  <c r="F3077"/>
  <c r="K3076"/>
  <c r="I3076"/>
  <c r="R3064"/>
  <c r="P3064"/>
  <c r="F3058"/>
  <c r="I3057"/>
  <c r="K3043"/>
  <c r="K3040"/>
  <c r="K3019"/>
  <c r="K3016"/>
  <c r="K3014"/>
  <c r="K3011"/>
  <c r="K2997"/>
  <c r="K2972"/>
  <c r="I2972"/>
  <c r="P2979" s="1"/>
  <c r="R2979" s="1"/>
  <c r="I2969"/>
  <c r="I2966"/>
  <c r="I2965"/>
  <c r="P2927"/>
  <c r="P2926"/>
  <c r="P2925"/>
  <c r="I2886"/>
  <c r="K2886" s="1"/>
  <c r="K2885"/>
  <c r="K2888" s="1"/>
  <c r="K2890" s="1"/>
  <c r="K2873"/>
  <c r="I2873"/>
  <c r="K2872"/>
  <c r="I2872"/>
  <c r="K2871"/>
  <c r="I2871"/>
  <c r="K2870"/>
  <c r="I2870"/>
  <c r="K2868"/>
  <c r="R2865"/>
  <c r="R2864"/>
  <c r="P2864"/>
  <c r="P2863"/>
  <c r="R2863" s="1"/>
  <c r="R2862"/>
  <c r="P2862"/>
  <c r="P2861"/>
  <c r="R2861" s="1"/>
  <c r="M2857"/>
  <c r="M2856"/>
  <c r="I2856"/>
  <c r="I2841"/>
  <c r="K2841" s="1"/>
  <c r="K2836"/>
  <c r="J2833"/>
  <c r="R2832"/>
  <c r="P2832"/>
  <c r="P2865" s="1"/>
  <c r="R2831"/>
  <c r="P2831"/>
  <c r="R2830"/>
  <c r="P2830"/>
  <c r="R2829"/>
  <c r="P2829"/>
  <c r="R2828"/>
  <c r="P2828"/>
  <c r="P2827"/>
  <c r="K2825"/>
  <c r="M2824"/>
  <c r="K2824"/>
  <c r="M2823"/>
  <c r="K2823"/>
  <c r="K2822"/>
  <c r="K2821"/>
  <c r="K2820"/>
  <c r="F2816"/>
  <c r="AI2797"/>
  <c r="AG2797"/>
  <c r="AG2796"/>
  <c r="AI2796" s="1"/>
  <c r="AI2795"/>
  <c r="AG2795"/>
  <c r="AI2794"/>
  <c r="AG2794"/>
  <c r="S2794"/>
  <c r="K2794"/>
  <c r="AG2793"/>
  <c r="AI2793" s="1"/>
  <c r="X2793"/>
  <c r="V2793"/>
  <c r="S2793"/>
  <c r="AI2792"/>
  <c r="AG2792"/>
  <c r="V2792"/>
  <c r="X2792" s="1"/>
  <c r="S2792"/>
  <c r="V2791"/>
  <c r="S2791"/>
  <c r="AG2790"/>
  <c r="AI2790" s="1"/>
  <c r="V2790"/>
  <c r="S2790"/>
  <c r="X2790" s="1"/>
  <c r="V2789"/>
  <c r="S2789"/>
  <c r="V2788"/>
  <c r="X2788" s="1"/>
  <c r="S2788"/>
  <c r="S2787"/>
  <c r="X2786"/>
  <c r="V2786"/>
  <c r="S2784"/>
  <c r="S2783"/>
  <c r="L2780"/>
  <c r="F2817" s="1"/>
  <c r="Z2779"/>
  <c r="K2776"/>
  <c r="K2775"/>
  <c r="E2761"/>
  <c r="E2759"/>
  <c r="E2758"/>
  <c r="E2757"/>
  <c r="I2741"/>
  <c r="K2741" s="1"/>
  <c r="I2719"/>
  <c r="K2719" s="1"/>
  <c r="I2713"/>
  <c r="K2713" s="1"/>
  <c r="L2690"/>
  <c r="K2687"/>
  <c r="I2682"/>
  <c r="K2682" s="1"/>
  <c r="P2677"/>
  <c r="I2672"/>
  <c r="K2671"/>
  <c r="I2671"/>
  <c r="K2670"/>
  <c r="I2670"/>
  <c r="K2669"/>
  <c r="I2669"/>
  <c r="P2676" s="1"/>
  <c r="K2667"/>
  <c r="AG2661"/>
  <c r="AI2661" s="1"/>
  <c r="AI2659"/>
  <c r="AI2658"/>
  <c r="AI2657"/>
  <c r="AI2656"/>
  <c r="AI2655"/>
  <c r="AD2651"/>
  <c r="R2650"/>
  <c r="P2648"/>
  <c r="R2648" s="1"/>
  <c r="AG2647"/>
  <c r="AG2646"/>
  <c r="AG2648" s="1"/>
  <c r="AD2653" s="1"/>
  <c r="AI2653" s="1"/>
  <c r="P2644"/>
  <c r="K2644"/>
  <c r="I2644"/>
  <c r="M2643"/>
  <c r="K2643"/>
  <c r="I2643"/>
  <c r="P2650" s="1"/>
  <c r="AG2642"/>
  <c r="M2642"/>
  <c r="I2642"/>
  <c r="AG2641"/>
  <c r="AG2643" s="1"/>
  <c r="AD2652" s="1"/>
  <c r="I2641"/>
  <c r="I2640"/>
  <c r="AG2639"/>
  <c r="AD2654" s="1"/>
  <c r="P2639"/>
  <c r="M2644" s="1"/>
  <c r="R2644" s="1"/>
  <c r="I2639"/>
  <c r="K2637"/>
  <c r="P2634"/>
  <c r="K2631"/>
  <c r="I2631"/>
  <c r="I2632" s="1"/>
  <c r="I2627"/>
  <c r="AG2625"/>
  <c r="AI2625" s="1"/>
  <c r="AD2617"/>
  <c r="AG2614"/>
  <c r="AD2619" s="1"/>
  <c r="AG2613"/>
  <c r="AG2612"/>
  <c r="K2612"/>
  <c r="X2611"/>
  <c r="I2611"/>
  <c r="AA2609"/>
  <c r="AG2608"/>
  <c r="AG2607"/>
  <c r="AG2609" s="1"/>
  <c r="AD2618" s="1"/>
  <c r="S2606"/>
  <c r="I2606"/>
  <c r="AG2605"/>
  <c r="AD2620" s="1"/>
  <c r="V2605"/>
  <c r="AG2653" s="1"/>
  <c r="AA2603"/>
  <c r="S2603"/>
  <c r="V2600"/>
  <c r="S2605" s="1"/>
  <c r="X2605" s="1"/>
  <c r="V2599"/>
  <c r="V2598"/>
  <c r="V2594"/>
  <c r="V2595" s="1"/>
  <c r="S2604" s="1"/>
  <c r="V2593"/>
  <c r="V2591"/>
  <c r="O2582"/>
  <c r="P2578"/>
  <c r="R2578" s="1"/>
  <c r="K2577"/>
  <c r="H2576"/>
  <c r="P2571"/>
  <c r="I2571"/>
  <c r="K2545"/>
  <c r="K2542"/>
  <c r="K2541"/>
  <c r="I2541"/>
  <c r="I2576" s="1"/>
  <c r="K2539"/>
  <c r="I2539"/>
  <c r="I3484" s="1"/>
  <c r="K3484" s="1"/>
  <c r="I2536"/>
  <c r="N2524"/>
  <c r="R2519"/>
  <c r="P2519"/>
  <c r="R2518"/>
  <c r="P2518"/>
  <c r="K2516"/>
  <c r="R2512"/>
  <c r="K2512"/>
  <c r="K2511"/>
  <c r="I2511"/>
  <c r="P2509"/>
  <c r="P2508"/>
  <c r="P2507"/>
  <c r="P2506"/>
  <c r="I2505"/>
  <c r="H2489"/>
  <c r="I2487"/>
  <c r="F2487"/>
  <c r="I2483"/>
  <c r="I2481"/>
  <c r="H2474"/>
  <c r="I2471"/>
  <c r="K2471" s="1"/>
  <c r="K2470"/>
  <c r="I2470"/>
  <c r="I2489" s="1"/>
  <c r="K2489" s="1"/>
  <c r="I2469"/>
  <c r="K2468"/>
  <c r="I2468"/>
  <c r="I2464"/>
  <c r="K2444"/>
  <c r="I2444"/>
  <c r="R2439"/>
  <c r="R2431"/>
  <c r="K2424"/>
  <c r="R2410"/>
  <c r="K2410"/>
  <c r="I2410"/>
  <c r="R2409"/>
  <c r="R2408"/>
  <c r="R2407"/>
  <c r="R2406"/>
  <c r="R2405"/>
  <c r="R2404"/>
  <c r="R2403"/>
  <c r="R2402"/>
  <c r="R2401"/>
  <c r="R2400"/>
  <c r="R2399"/>
  <c r="K2399"/>
  <c r="R2398"/>
  <c r="R2397"/>
  <c r="R2396"/>
  <c r="R2395"/>
  <c r="R2394"/>
  <c r="E2394"/>
  <c r="E2395" s="1"/>
  <c r="R2393"/>
  <c r="K2390"/>
  <c r="K2389"/>
  <c r="R2374"/>
  <c r="P2374"/>
  <c r="P2373"/>
  <c r="R2373" s="1"/>
  <c r="K2368"/>
  <c r="K2367"/>
  <c r="K2366"/>
  <c r="K2349"/>
  <c r="I2349"/>
  <c r="D2349"/>
  <c r="R2347"/>
  <c r="R2336"/>
  <c r="K2329"/>
  <c r="E2315"/>
  <c r="K2314"/>
  <c r="K2313"/>
  <c r="K2312"/>
  <c r="K2311"/>
  <c r="I2311"/>
  <c r="L2310"/>
  <c r="L2309"/>
  <c r="P2301"/>
  <c r="R2301" s="1"/>
  <c r="I2301"/>
  <c r="K2301" s="1"/>
  <c r="H2301"/>
  <c r="O2301" s="1"/>
  <c r="K2299"/>
  <c r="I2299"/>
  <c r="R2297"/>
  <c r="K2297"/>
  <c r="K2293"/>
  <c r="I3020" s="1"/>
  <c r="K3020" s="1"/>
  <c r="K2292"/>
  <c r="K2291"/>
  <c r="K2289"/>
  <c r="K2288"/>
  <c r="K2287"/>
  <c r="K2285"/>
  <c r="K2284"/>
  <c r="K2283"/>
  <c r="K2282"/>
  <c r="K2279"/>
  <c r="K2278"/>
  <c r="K2277"/>
  <c r="K2275"/>
  <c r="L2272"/>
  <c r="K2271"/>
  <c r="K2270"/>
  <c r="K2269"/>
  <c r="K2268"/>
  <c r="K2267"/>
  <c r="K2266"/>
  <c r="K2265"/>
  <c r="K2264"/>
  <c r="K2263"/>
  <c r="L2262"/>
  <c r="L2261"/>
  <c r="M2257"/>
  <c r="K2250"/>
  <c r="K2249"/>
  <c r="I2249"/>
  <c r="I2248"/>
  <c r="K2248" s="1"/>
  <c r="K2247"/>
  <c r="I2247"/>
  <c r="I2246"/>
  <c r="K2246" s="1"/>
  <c r="I2223"/>
  <c r="K2223" s="1"/>
  <c r="K2227" s="1"/>
  <c r="I2214"/>
  <c r="K2214" s="1"/>
  <c r="K2218" s="1"/>
  <c r="K2208"/>
  <c r="K2204"/>
  <c r="I2204"/>
  <c r="K2202"/>
  <c r="K2199"/>
  <c r="J2199"/>
  <c r="K2191"/>
  <c r="K2195" s="1"/>
  <c r="I2191"/>
  <c r="K2178"/>
  <c r="I2178"/>
  <c r="H2176"/>
  <c r="K2165"/>
  <c r="I2165"/>
  <c r="R2153"/>
  <c r="K2151"/>
  <c r="I2151"/>
  <c r="P2158" s="1"/>
  <c r="R2158" s="1"/>
  <c r="K2146"/>
  <c r="I2146"/>
  <c r="I2131"/>
  <c r="K2131" s="1"/>
  <c r="K2126"/>
  <c r="I2126"/>
  <c r="K2118"/>
  <c r="K2121" s="1"/>
  <c r="I2118"/>
  <c r="R2115"/>
  <c r="P2115"/>
  <c r="K2106"/>
  <c r="I2106"/>
  <c r="K2100"/>
  <c r="K2098"/>
  <c r="K2097"/>
  <c r="K2096"/>
  <c r="I2096"/>
  <c r="K2095"/>
  <c r="I2095"/>
  <c r="M2084"/>
  <c r="R2082"/>
  <c r="P2082"/>
  <c r="P2081"/>
  <c r="M2081"/>
  <c r="R2081" s="1"/>
  <c r="M2080"/>
  <c r="K2078"/>
  <c r="I2078"/>
  <c r="K2077"/>
  <c r="I2077"/>
  <c r="I2076"/>
  <c r="K2076" s="1"/>
  <c r="K2075"/>
  <c r="I2075"/>
  <c r="P2074"/>
  <c r="P2073"/>
  <c r="M2083" s="1"/>
  <c r="P2072"/>
  <c r="M2082" s="1"/>
  <c r="P2071"/>
  <c r="P2069"/>
  <c r="P2067"/>
  <c r="M2079" s="1"/>
  <c r="P2066"/>
  <c r="P2065"/>
  <c r="P2061"/>
  <c r="P2060"/>
  <c r="P2057"/>
  <c r="P2056"/>
  <c r="P2058" s="1"/>
  <c r="I2054"/>
  <c r="K2054" s="1"/>
  <c r="K2053"/>
  <c r="I2053"/>
  <c r="P2052"/>
  <c r="P2053" s="1"/>
  <c r="M2076" s="1"/>
  <c r="K2052"/>
  <c r="P2051"/>
  <c r="I2051"/>
  <c r="K2051" s="1"/>
  <c r="P2049"/>
  <c r="P2034"/>
  <c r="I2026"/>
  <c r="P2016"/>
  <c r="R2008"/>
  <c r="P2008"/>
  <c r="K2007"/>
  <c r="I2007"/>
  <c r="P1998"/>
  <c r="P1992"/>
  <c r="P1990"/>
  <c r="I1988"/>
  <c r="P1977"/>
  <c r="R1970"/>
  <c r="P1970"/>
  <c r="K1970"/>
  <c r="I1970"/>
  <c r="N1947"/>
  <c r="N1946"/>
  <c r="N1945"/>
  <c r="K1943"/>
  <c r="K1941"/>
  <c r="K1938"/>
  <c r="K1927"/>
  <c r="I1924"/>
  <c r="I1915"/>
  <c r="K1915" s="1"/>
  <c r="R1911"/>
  <c r="P1911"/>
  <c r="R1910"/>
  <c r="K1909"/>
  <c r="P1899"/>
  <c r="P1898"/>
  <c r="K1897"/>
  <c r="I1897"/>
  <c r="I1898" s="1"/>
  <c r="K1898" s="1"/>
  <c r="P1890"/>
  <c r="R1889"/>
  <c r="I1889"/>
  <c r="K1889" s="1"/>
  <c r="K1888"/>
  <c r="I1888"/>
  <c r="P1880"/>
  <c r="R1880" s="1"/>
  <c r="K1880"/>
  <c r="I1880"/>
  <c r="I1881" s="1"/>
  <c r="K1881" s="1"/>
  <c r="R1879"/>
  <c r="K1873"/>
  <c r="I1873"/>
  <c r="I1872"/>
  <c r="P1868"/>
  <c r="P1867"/>
  <c r="P1866"/>
  <c r="P1897" s="1"/>
  <c r="P1860"/>
  <c r="R1860" s="1"/>
  <c r="P1859"/>
  <c r="K1850"/>
  <c r="K1832"/>
  <c r="K1814"/>
  <c r="M1799"/>
  <c r="L1799"/>
  <c r="K1799"/>
  <c r="K1798"/>
  <c r="K1795"/>
  <c r="K1788"/>
  <c r="I1772"/>
  <c r="K1772" s="1"/>
  <c r="K1771"/>
  <c r="I1771"/>
  <c r="K1770"/>
  <c r="K1758"/>
  <c r="K1757"/>
  <c r="K1756"/>
  <c r="K1753"/>
  <c r="K1725"/>
  <c r="K1724"/>
  <c r="K1723"/>
  <c r="AG1697"/>
  <c r="K1697"/>
  <c r="AG1696"/>
  <c r="K1696"/>
  <c r="AG1695"/>
  <c r="AG1694"/>
  <c r="AG1693"/>
  <c r="AG1692"/>
  <c r="AG1691"/>
  <c r="AG1690"/>
  <c r="AG1689"/>
  <c r="K1689"/>
  <c r="K1692" s="1"/>
  <c r="AG1688"/>
  <c r="AG1687"/>
  <c r="AG1686"/>
  <c r="AG1685"/>
  <c r="AG1684"/>
  <c r="AG1683"/>
  <c r="AG1682"/>
  <c r="K1682"/>
  <c r="AG1681"/>
  <c r="AG1680"/>
  <c r="K1680"/>
  <c r="AG1679"/>
  <c r="AG1678"/>
  <c r="AG1677"/>
  <c r="AG1676"/>
  <c r="AG1675"/>
  <c r="AG1674"/>
  <c r="AG1673"/>
  <c r="AG1672"/>
  <c r="AG1671"/>
  <c r="AG1670"/>
  <c r="AG1669"/>
  <c r="K1669"/>
  <c r="K1672" s="1"/>
  <c r="AG1668"/>
  <c r="K1668"/>
  <c r="AG1667"/>
  <c r="AG1666"/>
  <c r="AG1665"/>
  <c r="AG1664"/>
  <c r="AG1663"/>
  <c r="AG1662"/>
  <c r="AG1661"/>
  <c r="AG1660"/>
  <c r="AG1659"/>
  <c r="AG1658"/>
  <c r="AG1657"/>
  <c r="AG1656"/>
  <c r="AG1655"/>
  <c r="AG1654"/>
  <c r="AG1653"/>
  <c r="AG1652"/>
  <c r="AG1651"/>
  <c r="AG1650"/>
  <c r="AG1649"/>
  <c r="AG1648"/>
  <c r="AG1647"/>
  <c r="AG1646"/>
  <c r="AG1645"/>
  <c r="AG1644"/>
  <c r="AG1643"/>
  <c r="AG1642"/>
  <c r="S1642"/>
  <c r="AG1641"/>
  <c r="AG1640"/>
  <c r="AG1639"/>
  <c r="AG1638"/>
  <c r="AG1637"/>
  <c r="R1637"/>
  <c r="AG1636"/>
  <c r="P1636"/>
  <c r="AG1635"/>
  <c r="AG1634"/>
  <c r="Q1634"/>
  <c r="AG1633"/>
  <c r="R1633"/>
  <c r="Q1633"/>
  <c r="AG1632"/>
  <c r="Q1632"/>
  <c r="K1632"/>
  <c r="L1603" s="1"/>
  <c r="L1604" s="1"/>
  <c r="I1632"/>
  <c r="P1634" s="1"/>
  <c r="R1634" s="1"/>
  <c r="AG1631"/>
  <c r="R1631"/>
  <c r="Q1631"/>
  <c r="K1631"/>
  <c r="I1631"/>
  <c r="AG1630"/>
  <c r="Q1630"/>
  <c r="I1630"/>
  <c r="AG1629"/>
  <c r="K1629"/>
  <c r="I1629"/>
  <c r="AG1628"/>
  <c r="K1628"/>
  <c r="I1628"/>
  <c r="P1630" s="1"/>
  <c r="R1630" s="1"/>
  <c r="AG1627"/>
  <c r="AG1626"/>
  <c r="AG1625"/>
  <c r="AG1624"/>
  <c r="AG1623"/>
  <c r="AG1622"/>
  <c r="AG1621"/>
  <c r="AG1620"/>
  <c r="AG1619"/>
  <c r="AG1618"/>
  <c r="AG1617"/>
  <c r="P1617"/>
  <c r="R1617" s="1"/>
  <c r="O1617"/>
  <c r="AG1616"/>
  <c r="AG1615"/>
  <c r="AG1614"/>
  <c r="AG1613"/>
  <c r="AG1612"/>
  <c r="AG1611"/>
  <c r="AG1610"/>
  <c r="AG1609"/>
  <c r="AG1608"/>
  <c r="AG1607"/>
  <c r="AG1606"/>
  <c r="AG1605"/>
  <c r="R1605"/>
  <c r="P1605"/>
  <c r="AG1604"/>
  <c r="AG1603"/>
  <c r="AG1602"/>
  <c r="AG1601"/>
  <c r="AG1600"/>
  <c r="AG1599"/>
  <c r="AG1598"/>
  <c r="AG1597"/>
  <c r="AG1596"/>
  <c r="AG1595"/>
  <c r="AG1594"/>
  <c r="AG1593"/>
  <c r="K1593"/>
  <c r="AG1592"/>
  <c r="AG1591"/>
  <c r="AG1590"/>
  <c r="AG1589"/>
  <c r="AG1588"/>
  <c r="AG1587"/>
  <c r="AG1586"/>
  <c r="AG1585"/>
  <c r="AG1584"/>
  <c r="AG1583"/>
  <c r="AG1582"/>
  <c r="AG1581"/>
  <c r="AG1580"/>
  <c r="K1580"/>
  <c r="AG1579"/>
  <c r="AG1578"/>
  <c r="AG1577"/>
  <c r="AG1576"/>
  <c r="AG1575"/>
  <c r="AG1574"/>
  <c r="AG1573"/>
  <c r="AG1572"/>
  <c r="AG1571"/>
  <c r="AG1570"/>
  <c r="AG1569"/>
  <c r="AG1568"/>
  <c r="AG1567"/>
  <c r="AG1566"/>
  <c r="AG1565"/>
  <c r="K1565"/>
  <c r="I1565"/>
  <c r="AG1564"/>
  <c r="K1564"/>
  <c r="AG1563"/>
  <c r="AG1562"/>
  <c r="AG1561"/>
  <c r="I1561"/>
  <c r="K1561" s="1"/>
  <c r="AG1560"/>
  <c r="AG1559"/>
  <c r="AG1558"/>
  <c r="AG1557"/>
  <c r="AG1556"/>
  <c r="AG1555"/>
  <c r="AG1554"/>
  <c r="AG1553"/>
  <c r="AG1552"/>
  <c r="AG1551"/>
  <c r="AG1550"/>
  <c r="AG1549"/>
  <c r="K1549"/>
  <c r="I1549"/>
  <c r="I3198" s="1"/>
  <c r="AG1548"/>
  <c r="AG1547"/>
  <c r="AG1546"/>
  <c r="AG1545"/>
  <c r="AG1544"/>
  <c r="AG1543"/>
  <c r="AG1542"/>
  <c r="AG1541"/>
  <c r="AG1540"/>
  <c r="R1540"/>
  <c r="P1540"/>
  <c r="AG1539"/>
  <c r="AG1538"/>
  <c r="AG1537"/>
  <c r="AG1536"/>
  <c r="K1536"/>
  <c r="I1536"/>
  <c r="I3212" s="1"/>
  <c r="AG1535"/>
  <c r="AG1534"/>
  <c r="K1534"/>
  <c r="I1534"/>
  <c r="AG1533"/>
  <c r="AG1532"/>
  <c r="AG1531"/>
  <c r="AG1530"/>
  <c r="AG1529"/>
  <c r="AG1528"/>
  <c r="AG1527"/>
  <c r="AG1526"/>
  <c r="AG1525"/>
  <c r="AG1524"/>
  <c r="AG1523"/>
  <c r="R1523"/>
  <c r="AG1522"/>
  <c r="AG1521"/>
  <c r="AG1520"/>
  <c r="AG1519"/>
  <c r="K1519"/>
  <c r="I1519"/>
  <c r="AG1518"/>
  <c r="AG1517"/>
  <c r="AG1516"/>
  <c r="AG1515"/>
  <c r="AG1514"/>
  <c r="AG1513"/>
  <c r="AG1512"/>
  <c r="AG1511"/>
  <c r="AG1510"/>
  <c r="AG1509"/>
  <c r="AG1508"/>
  <c r="AG1507"/>
  <c r="K1507"/>
  <c r="I1507"/>
  <c r="I3170" s="1"/>
  <c r="I3183" s="1"/>
  <c r="K3183" s="1"/>
  <c r="AG1506"/>
  <c r="AG1505"/>
  <c r="AG1504"/>
  <c r="AG1503"/>
  <c r="AG1502"/>
  <c r="M1502"/>
  <c r="AG1501"/>
  <c r="AG1500"/>
  <c r="AG1499"/>
  <c r="AG1498"/>
  <c r="O1498"/>
  <c r="AG1497"/>
  <c r="O1497"/>
  <c r="AG1496"/>
  <c r="O1496"/>
  <c r="AG1495"/>
  <c r="AG1494"/>
  <c r="AG1493"/>
  <c r="AG1492"/>
  <c r="AG1491"/>
  <c r="AG1490"/>
  <c r="AG1489"/>
  <c r="AG1488"/>
  <c r="AG1487"/>
  <c r="AG1486"/>
  <c r="AG1485"/>
  <c r="AG1484"/>
  <c r="U1484"/>
  <c r="S1484"/>
  <c r="T1484" s="1"/>
  <c r="AG1483"/>
  <c r="AG1482"/>
  <c r="AG1481"/>
  <c r="AG1480"/>
  <c r="AG1479"/>
  <c r="AG1478"/>
  <c r="AG1477"/>
  <c r="AG1476"/>
  <c r="AG1475"/>
  <c r="AG1474"/>
  <c r="AG1473"/>
  <c r="AG1472"/>
  <c r="AG1471"/>
  <c r="AG1470"/>
  <c r="AG1469"/>
  <c r="AG1468"/>
  <c r="AG1467"/>
  <c r="AG1466"/>
  <c r="AG1465"/>
  <c r="AG1464"/>
  <c r="AG1463"/>
  <c r="AG1462"/>
  <c r="AG1461"/>
  <c r="AG1460"/>
  <c r="AG1459"/>
  <c r="AG1458"/>
  <c r="AG1457"/>
  <c r="AG1456"/>
  <c r="S1456"/>
  <c r="AG1455"/>
  <c r="AG1454"/>
  <c r="M1454"/>
  <c r="AG1453"/>
  <c r="AG1452"/>
  <c r="AG1451"/>
  <c r="AG1450"/>
  <c r="AG1449"/>
  <c r="AG1448"/>
  <c r="AG1447"/>
  <c r="AG1446"/>
  <c r="AG1445"/>
  <c r="AG1444"/>
  <c r="AG1443"/>
  <c r="AG1442"/>
  <c r="AG1441"/>
  <c r="AG1440"/>
  <c r="AG1439"/>
  <c r="I1439"/>
  <c r="K1439" s="1"/>
  <c r="AG1438"/>
  <c r="AG1437"/>
  <c r="P1437"/>
  <c r="AG1436"/>
  <c r="AG1435"/>
  <c r="U1435"/>
  <c r="AG1434"/>
  <c r="AG1433"/>
  <c r="AG1432"/>
  <c r="S1432"/>
  <c r="P1432"/>
  <c r="R1432" s="1"/>
  <c r="AG1431"/>
  <c r="X1431"/>
  <c r="P1431"/>
  <c r="AG1430"/>
  <c r="X1430"/>
  <c r="AG1429"/>
  <c r="X1429"/>
  <c r="AG1428"/>
  <c r="AG1427"/>
  <c r="P1427"/>
  <c r="R1427" s="1"/>
  <c r="AG1426"/>
  <c r="AG1425"/>
  <c r="AG1424"/>
  <c r="AG1423"/>
  <c r="AG1422"/>
  <c r="AG1421"/>
  <c r="Z1421"/>
  <c r="L1421"/>
  <c r="AG1420"/>
  <c r="R1420"/>
  <c r="P1420"/>
  <c r="AG1419"/>
  <c r="Z1419"/>
  <c r="R1419"/>
  <c r="P1419"/>
  <c r="P1436" s="1"/>
  <c r="P1452" s="1"/>
  <c r="AG1418"/>
  <c r="R1418"/>
  <c r="P1418"/>
  <c r="P1435" s="1"/>
  <c r="AG1417"/>
  <c r="AG1416"/>
  <c r="R1416"/>
  <c r="P1416"/>
  <c r="P1433" s="1"/>
  <c r="AG1415"/>
  <c r="P1415"/>
  <c r="AG1414"/>
  <c r="P1414"/>
  <c r="AG1413"/>
  <c r="V1413"/>
  <c r="AG1412"/>
  <c r="R1412"/>
  <c r="P1412"/>
  <c r="P1429" s="1"/>
  <c r="AG1411"/>
  <c r="AG1410"/>
  <c r="R1410"/>
  <c r="P1410"/>
  <c r="AG1409"/>
  <c r="AG1408"/>
  <c r="S1408"/>
  <c r="AG1407"/>
  <c r="S1407"/>
  <c r="AG1406"/>
  <c r="S1406"/>
  <c r="L1406"/>
  <c r="AG1405"/>
  <c r="S1405"/>
  <c r="AG1404"/>
  <c r="S1404"/>
  <c r="AG1403"/>
  <c r="R1403"/>
  <c r="AG1402"/>
  <c r="R1402"/>
  <c r="AG1401"/>
  <c r="R1401"/>
  <c r="AG1400"/>
  <c r="AG1399"/>
  <c r="R1399"/>
  <c r="AG1398"/>
  <c r="V1398"/>
  <c r="R1398"/>
  <c r="AG1397"/>
  <c r="V1397"/>
  <c r="X1397" s="1"/>
  <c r="R1397"/>
  <c r="AG1396"/>
  <c r="R1396"/>
  <c r="P1396"/>
  <c r="P1413" s="1"/>
  <c r="AG1395"/>
  <c r="P1395"/>
  <c r="R1395" s="1"/>
  <c r="AG1394"/>
  <c r="P1394"/>
  <c r="AG1393"/>
  <c r="R1393"/>
  <c r="AG1392"/>
  <c r="AG1391"/>
  <c r="AG1390"/>
  <c r="AG1389"/>
  <c r="AG1388"/>
  <c r="AF1388"/>
  <c r="V1388"/>
  <c r="AG1387"/>
  <c r="AG1386"/>
  <c r="AG1385"/>
  <c r="AG1384"/>
  <c r="AG1383"/>
  <c r="AG1382"/>
  <c r="AG1381"/>
  <c r="X1381"/>
  <c r="V1381"/>
  <c r="AG1380"/>
  <c r="X1380"/>
  <c r="V1380"/>
  <c r="K1380"/>
  <c r="I1380"/>
  <c r="AG1379"/>
  <c r="X1379"/>
  <c r="V1379"/>
  <c r="V1396" s="1"/>
  <c r="AG1378"/>
  <c r="AG1377"/>
  <c r="X1377"/>
  <c r="V1377"/>
  <c r="V1394" s="1"/>
  <c r="AG1376"/>
  <c r="AG1375"/>
  <c r="AG1374"/>
  <c r="P1374"/>
  <c r="R1374" s="1"/>
  <c r="AG1373"/>
  <c r="V1373"/>
  <c r="AG1372"/>
  <c r="AG1371"/>
  <c r="AF1371"/>
  <c r="AD1371"/>
  <c r="AD1388" s="1"/>
  <c r="X1371"/>
  <c r="V1371"/>
  <c r="AG1370"/>
  <c r="AG1369"/>
  <c r="AG1368"/>
  <c r="AG1367"/>
  <c r="AG1366"/>
  <c r="AG1365"/>
  <c r="AG1364"/>
  <c r="V1364"/>
  <c r="X1364" s="1"/>
  <c r="AG1363"/>
  <c r="X1363"/>
  <c r="V1363"/>
  <c r="AG1362"/>
  <c r="AD1362"/>
  <c r="X1362"/>
  <c r="V1362"/>
  <c r="AG1361"/>
  <c r="AD1361"/>
  <c r="AG1360"/>
  <c r="AD1360"/>
  <c r="X1360"/>
  <c r="V1360"/>
  <c r="AG1359"/>
  <c r="X1359"/>
  <c r="V1359"/>
  <c r="AD1357" s="1"/>
  <c r="AG1358"/>
  <c r="AD1358"/>
  <c r="X1358"/>
  <c r="V1358"/>
  <c r="AD1356" s="1"/>
  <c r="I1358"/>
  <c r="K1358" s="1"/>
  <c r="AG1357"/>
  <c r="X1357"/>
  <c r="V1357"/>
  <c r="AD1355" s="1"/>
  <c r="AD1372" s="1"/>
  <c r="R1357"/>
  <c r="AG1356"/>
  <c r="X1356"/>
  <c r="V1356"/>
  <c r="AD1354" s="1"/>
  <c r="AG1355"/>
  <c r="AF1355"/>
  <c r="R1355"/>
  <c r="R1359" s="1"/>
  <c r="R1360" s="1"/>
  <c r="AG1354"/>
  <c r="AF1354"/>
  <c r="V1354"/>
  <c r="AG1353"/>
  <c r="AG1352"/>
  <c r="AG1351"/>
  <c r="AG1350"/>
  <c r="AG1349"/>
  <c r="Z1349"/>
  <c r="AG1348"/>
  <c r="AG1347"/>
  <c r="AG1346"/>
  <c r="AG1345"/>
  <c r="AG1344"/>
  <c r="X1344"/>
  <c r="AG1343"/>
  <c r="AG1342"/>
  <c r="X1342"/>
  <c r="AG1341"/>
  <c r="V1341"/>
  <c r="X1341" s="1"/>
  <c r="AG1340"/>
  <c r="X1340"/>
  <c r="AG1339"/>
  <c r="AG1338"/>
  <c r="AG1337"/>
  <c r="AG1336"/>
  <c r="AG1335"/>
  <c r="AG1334"/>
  <c r="R1334"/>
  <c r="AG1333"/>
  <c r="X1333"/>
  <c r="AG1332"/>
  <c r="AG1331"/>
  <c r="AG1330"/>
  <c r="AG1329"/>
  <c r="AG1328"/>
  <c r="AG1327"/>
  <c r="AG1326"/>
  <c r="V1326"/>
  <c r="X1326" s="1"/>
  <c r="AG1325"/>
  <c r="AG1324"/>
  <c r="AG1323"/>
  <c r="AG1322"/>
  <c r="AF1322"/>
  <c r="P1322"/>
  <c r="R1322" s="1"/>
  <c r="AG1321"/>
  <c r="AF1321"/>
  <c r="R1321"/>
  <c r="AG1320"/>
  <c r="V1320"/>
  <c r="X1320" s="1"/>
  <c r="AG1319"/>
  <c r="AG1318"/>
  <c r="AG1317"/>
  <c r="AG1316"/>
  <c r="AG1315"/>
  <c r="AG1314"/>
  <c r="AG1313"/>
  <c r="AG1312"/>
  <c r="AG1311"/>
  <c r="AG1310"/>
  <c r="AG1309"/>
  <c r="AG1308"/>
  <c r="AG1307"/>
  <c r="V1307"/>
  <c r="V1327" s="1"/>
  <c r="AG1306"/>
  <c r="X1306"/>
  <c r="AG1305"/>
  <c r="AG1304"/>
  <c r="AG1303"/>
  <c r="P1303"/>
  <c r="R1303" s="1"/>
  <c r="AG1302"/>
  <c r="R1302"/>
  <c r="AG1301"/>
  <c r="AG1300"/>
  <c r="X1300"/>
  <c r="AG1299"/>
  <c r="AG1298"/>
  <c r="AG1297"/>
  <c r="AG1296"/>
  <c r="AG1295"/>
  <c r="AG1294"/>
  <c r="AG1293"/>
  <c r="AG1292"/>
  <c r="AG1291"/>
  <c r="AG1290"/>
  <c r="AG1289"/>
  <c r="AG1288"/>
  <c r="AG1287"/>
  <c r="X1287"/>
  <c r="V1287"/>
  <c r="AG1286"/>
  <c r="AG1285"/>
  <c r="K1285"/>
  <c r="AG1284"/>
  <c r="AG1283"/>
  <c r="AG1282"/>
  <c r="AG1281"/>
  <c r="V1281"/>
  <c r="AG1280"/>
  <c r="R1280"/>
  <c r="AG1279"/>
  <c r="X1279"/>
  <c r="AG1278"/>
  <c r="AG1277"/>
  <c r="AG1276"/>
  <c r="AG1275"/>
  <c r="AG1274"/>
  <c r="AG1273"/>
  <c r="AG1272"/>
  <c r="I1272"/>
  <c r="K1272" s="1"/>
  <c r="AG1271"/>
  <c r="M1271"/>
  <c r="AG1270"/>
  <c r="AG1269"/>
  <c r="AF1269"/>
  <c r="AG1268"/>
  <c r="AE1268"/>
  <c r="AG1267"/>
  <c r="AE1267"/>
  <c r="AG1266"/>
  <c r="AE1266"/>
  <c r="P1266"/>
  <c r="R1266" s="1"/>
  <c r="AG1265"/>
  <c r="AE1265"/>
  <c r="AD1265"/>
  <c r="AF1265" s="1"/>
  <c r="AG1264"/>
  <c r="AF1264"/>
  <c r="AE1264"/>
  <c r="AG1263"/>
  <c r="AG1262"/>
  <c r="AG1261"/>
  <c r="AG1260"/>
  <c r="R1259"/>
  <c r="AG1258"/>
  <c r="K1258"/>
  <c r="AG1257"/>
  <c r="AG1256"/>
  <c r="AG1255"/>
  <c r="AD1255"/>
  <c r="AD1227" s="1"/>
  <c r="AG1254"/>
  <c r="AG1253"/>
  <c r="AG1252"/>
  <c r="AG1251"/>
  <c r="AF1251"/>
  <c r="AG1250"/>
  <c r="AG1249"/>
  <c r="AG1248"/>
  <c r="AG1247"/>
  <c r="AG1246"/>
  <c r="V1246"/>
  <c r="X1246" s="1"/>
  <c r="AG1245"/>
  <c r="AG1244"/>
  <c r="AG1243"/>
  <c r="AF1243"/>
  <c r="P1243"/>
  <c r="R1243" s="1"/>
  <c r="AG1242"/>
  <c r="AG1241"/>
  <c r="AG1240"/>
  <c r="AG1239"/>
  <c r="X1239"/>
  <c r="AG1238"/>
  <c r="AG1237"/>
  <c r="AG1236"/>
  <c r="R1236"/>
  <c r="AG1235"/>
  <c r="AG1234"/>
  <c r="K1234"/>
  <c r="I1234"/>
  <c r="AG1233"/>
  <c r="AG1232"/>
  <c r="AG1231"/>
  <c r="AG1230"/>
  <c r="AG1229"/>
  <c r="AG1228"/>
  <c r="AD1228"/>
  <c r="S1228"/>
  <c r="AG1227"/>
  <c r="AG1226"/>
  <c r="AG1225"/>
  <c r="AG1224"/>
  <c r="AG1223"/>
  <c r="AF1223"/>
  <c r="AD1223"/>
  <c r="AG1222"/>
  <c r="AG1221"/>
  <c r="AG1220"/>
  <c r="AG1219"/>
  <c r="AG1218"/>
  <c r="AG1217"/>
  <c r="AD1217"/>
  <c r="T1217"/>
  <c r="R1217"/>
  <c r="AG1216"/>
  <c r="AG1215"/>
  <c r="AF1215"/>
  <c r="AG1214"/>
  <c r="AE1214"/>
  <c r="AG1213"/>
  <c r="AG1212"/>
  <c r="AG1211"/>
  <c r="AG1205"/>
  <c r="AG1204"/>
  <c r="AE1200"/>
  <c r="AE1201" s="1"/>
  <c r="AE1202" s="1"/>
  <c r="AE1203" s="1"/>
  <c r="AE1204" s="1"/>
  <c r="AE1205" s="1"/>
  <c r="R1195"/>
  <c r="P1195"/>
  <c r="I1195"/>
  <c r="K1195" s="1"/>
  <c r="R1194"/>
  <c r="AG1193"/>
  <c r="R1193"/>
  <c r="I1193"/>
  <c r="K1193" s="1"/>
  <c r="AG1192"/>
  <c r="AG1191"/>
  <c r="AM1190"/>
  <c r="AG1190"/>
  <c r="AF1190"/>
  <c r="K1180"/>
  <c r="K1179"/>
  <c r="Q1178"/>
  <c r="K1178"/>
  <c r="I1162"/>
  <c r="K1162" s="1"/>
  <c r="I1161"/>
  <c r="K1161" s="1"/>
  <c r="X1155"/>
  <c r="P1153"/>
  <c r="P1152"/>
  <c r="P1151"/>
  <c r="K1148"/>
  <c r="I1148"/>
  <c r="K1147"/>
  <c r="I1147"/>
  <c r="Q1144"/>
  <c r="K1137"/>
  <c r="K1136"/>
  <c r="K1135"/>
  <c r="I1135"/>
  <c r="K1134"/>
  <c r="I1134"/>
  <c r="K1132"/>
  <c r="P1122"/>
  <c r="R1122" s="1"/>
  <c r="P1118"/>
  <c r="R1118" s="1"/>
  <c r="I1109"/>
  <c r="K1109" s="1"/>
  <c r="K1108"/>
  <c r="I1108"/>
  <c r="I1107"/>
  <c r="K1107" s="1"/>
  <c r="K1105"/>
  <c r="I1105"/>
  <c r="R1101"/>
  <c r="P1101"/>
  <c r="P1099"/>
  <c r="P1098"/>
  <c r="R1097"/>
  <c r="P1097"/>
  <c r="P1096"/>
  <c r="R1094"/>
  <c r="I1094"/>
  <c r="K1094" s="1"/>
  <c r="I1092"/>
  <c r="K1092" s="1"/>
  <c r="I1091"/>
  <c r="K1091" s="1"/>
  <c r="I1089"/>
  <c r="K1089" s="1"/>
  <c r="H1089"/>
  <c r="H1105" s="1"/>
  <c r="K1079"/>
  <c r="I1079"/>
  <c r="I1078"/>
  <c r="I1077"/>
  <c r="K1077" s="1"/>
  <c r="I1076"/>
  <c r="K1076" s="1"/>
  <c r="R1074"/>
  <c r="P1074"/>
  <c r="K1074"/>
  <c r="AG1073"/>
  <c r="AI1073" s="1"/>
  <c r="P1071"/>
  <c r="R1071" s="1"/>
  <c r="P1070"/>
  <c r="R1070" s="1"/>
  <c r="AI1069"/>
  <c r="AG1069"/>
  <c r="P1068"/>
  <c r="R1068" s="1"/>
  <c r="K1064"/>
  <c r="I1064"/>
  <c r="P1075" s="1"/>
  <c r="R1075" s="1"/>
  <c r="I1063"/>
  <c r="K1062"/>
  <c r="I1062"/>
  <c r="P1073" s="1"/>
  <c r="R1073" s="1"/>
  <c r="K1061"/>
  <c r="I1061"/>
  <c r="K1060"/>
  <c r="I1060"/>
  <c r="K1059"/>
  <c r="I1059"/>
  <c r="AG1068" s="1"/>
  <c r="AI1068" s="1"/>
  <c r="I1057"/>
  <c r="R1053"/>
  <c r="P1053"/>
  <c r="AG1043"/>
  <c r="AG1042"/>
  <c r="AG1041"/>
  <c r="AG1040"/>
  <c r="AG1039"/>
  <c r="AG1038"/>
  <c r="AG1036"/>
  <c r="AG1035"/>
  <c r="AG1034"/>
  <c r="K1034"/>
  <c r="AG1033"/>
  <c r="AG1032"/>
  <c r="AG1031"/>
  <c r="AG1030"/>
  <c r="AG1029"/>
  <c r="AG1028"/>
  <c r="H1028"/>
  <c r="AG1027"/>
  <c r="K1027"/>
  <c r="I1027"/>
  <c r="H1027"/>
  <c r="AG1026"/>
  <c r="K1026"/>
  <c r="I1026"/>
  <c r="P1100" s="1"/>
  <c r="H1026"/>
  <c r="AG1025"/>
  <c r="K1025"/>
  <c r="I1025"/>
  <c r="H1025"/>
  <c r="AG1024"/>
  <c r="K1024"/>
  <c r="I1024"/>
  <c r="H1024"/>
  <c r="H1059" s="1"/>
  <c r="AG1023"/>
  <c r="K1023"/>
  <c r="I1023"/>
  <c r="H1023"/>
  <c r="AG1022"/>
  <c r="K1022"/>
  <c r="I1022"/>
  <c r="AG1021"/>
  <c r="AG1020"/>
  <c r="AG1019"/>
  <c r="AG1018"/>
  <c r="AG1017"/>
  <c r="AG1016"/>
  <c r="AG1015"/>
  <c r="AG1014"/>
  <c r="AG1013"/>
  <c r="AG1012"/>
  <c r="AG1011"/>
  <c r="AG1010"/>
  <c r="AG1009"/>
  <c r="AG1008"/>
  <c r="AG1006"/>
  <c r="AG1005"/>
  <c r="AG1004"/>
  <c r="AG1003"/>
  <c r="AG1002"/>
  <c r="AG1001"/>
  <c r="AG1000"/>
  <c r="AG999"/>
  <c r="AG998"/>
  <c r="R998"/>
  <c r="P998"/>
  <c r="I998"/>
  <c r="H998"/>
  <c r="AG997"/>
  <c r="P997"/>
  <c r="R997" s="1"/>
  <c r="K997"/>
  <c r="I997"/>
  <c r="I2843" s="1"/>
  <c r="H997"/>
  <c r="AG996"/>
  <c r="R996"/>
  <c r="P996"/>
  <c r="I996"/>
  <c r="H996"/>
  <c r="AG995"/>
  <c r="P995"/>
  <c r="R995" s="1"/>
  <c r="K995"/>
  <c r="I995"/>
  <c r="H995"/>
  <c r="AG994"/>
  <c r="R994"/>
  <c r="P994"/>
  <c r="I994"/>
  <c r="H994"/>
  <c r="AG993"/>
  <c r="P993"/>
  <c r="R993" s="1"/>
  <c r="K993"/>
  <c r="I993"/>
  <c r="I2839" s="1"/>
  <c r="H993"/>
  <c r="AG992"/>
  <c r="I992"/>
  <c r="AG991"/>
  <c r="I991"/>
  <c r="K991" s="1"/>
  <c r="AG990"/>
  <c r="AG989"/>
  <c r="AG988"/>
  <c r="AG987"/>
  <c r="AG986"/>
  <c r="AG985"/>
  <c r="AG984"/>
  <c r="AG983"/>
  <c r="AG982"/>
  <c r="AG981"/>
  <c r="AG980"/>
  <c r="AG979"/>
  <c r="AG978"/>
  <c r="AG977"/>
  <c r="AG976"/>
  <c r="AG975"/>
  <c r="AG974"/>
  <c r="AG973"/>
  <c r="AG972"/>
  <c r="AG971"/>
  <c r="AG970"/>
  <c r="AG969"/>
  <c r="AG968"/>
  <c r="AG967"/>
  <c r="AG966"/>
  <c r="AG965"/>
  <c r="AG964"/>
  <c r="AG963"/>
  <c r="K963"/>
  <c r="AG962"/>
  <c r="K962"/>
  <c r="I962"/>
  <c r="P955" s="1"/>
  <c r="AG961"/>
  <c r="I961"/>
  <c r="AG960"/>
  <c r="K960"/>
  <c r="I960"/>
  <c r="AG959"/>
  <c r="K959"/>
  <c r="I959"/>
  <c r="AG958"/>
  <c r="K958"/>
  <c r="I958"/>
  <c r="AG957"/>
  <c r="K957"/>
  <c r="I957"/>
  <c r="AG956"/>
  <c r="AG955"/>
  <c r="AG954"/>
  <c r="AG953"/>
  <c r="P953"/>
  <c r="R953" s="1"/>
  <c r="AG952"/>
  <c r="P952"/>
  <c r="R952" s="1"/>
  <c r="AG951"/>
  <c r="R951"/>
  <c r="P951"/>
  <c r="AG950"/>
  <c r="R950"/>
  <c r="P950"/>
  <c r="AG949"/>
  <c r="AG948"/>
  <c r="AG947"/>
  <c r="AG946"/>
  <c r="AG945"/>
  <c r="AG944"/>
  <c r="AG943"/>
  <c r="AG942"/>
  <c r="AG941"/>
  <c r="AG940"/>
  <c r="AG939"/>
  <c r="AG938"/>
  <c r="AG937"/>
  <c r="AG936"/>
  <c r="AG935"/>
  <c r="AG934"/>
  <c r="AG933"/>
  <c r="AG932"/>
  <c r="AG931"/>
  <c r="AG930"/>
  <c r="AG929"/>
  <c r="AG928"/>
  <c r="AG927"/>
  <c r="AG926"/>
  <c r="AG925"/>
  <c r="AG924"/>
  <c r="AG923"/>
  <c r="AG922"/>
  <c r="AG921"/>
  <c r="AG920"/>
  <c r="AG919"/>
  <c r="AG918"/>
  <c r="AG917"/>
  <c r="AG916"/>
  <c r="AG915"/>
  <c r="AG914"/>
  <c r="AG913"/>
  <c r="AG912"/>
  <c r="AG911"/>
  <c r="AG910"/>
  <c r="AG909"/>
  <c r="AG908"/>
  <c r="AG907"/>
  <c r="AG906"/>
  <c r="AG905"/>
  <c r="AG904"/>
  <c r="AG903"/>
  <c r="X903"/>
  <c r="K903"/>
  <c r="H903"/>
  <c r="AG902"/>
  <c r="AG901"/>
  <c r="AG900"/>
  <c r="AG899"/>
  <c r="I899"/>
  <c r="K899" s="1"/>
  <c r="H899"/>
  <c r="AG898"/>
  <c r="V898"/>
  <c r="X898" s="1"/>
  <c r="K898"/>
  <c r="I898"/>
  <c r="AG897"/>
  <c r="AG896"/>
  <c r="AG895"/>
  <c r="AG894"/>
  <c r="AG893"/>
  <c r="AG892"/>
  <c r="AG891"/>
  <c r="AG890"/>
  <c r="AG889"/>
  <c r="AG888"/>
  <c r="AG887"/>
  <c r="X887"/>
  <c r="V887"/>
  <c r="V903" s="1"/>
  <c r="K887"/>
  <c r="AG886"/>
  <c r="AG885"/>
  <c r="AG884"/>
  <c r="I884"/>
  <c r="K884" s="1"/>
  <c r="AG883"/>
  <c r="V883"/>
  <c r="K883"/>
  <c r="I883"/>
  <c r="AG882"/>
  <c r="V882"/>
  <c r="X882" s="1"/>
  <c r="K882"/>
  <c r="I882"/>
  <c r="AG881"/>
  <c r="I881"/>
  <c r="AG880"/>
  <c r="AG879"/>
  <c r="AG878"/>
  <c r="AG877"/>
  <c r="AG876"/>
  <c r="AG875"/>
  <c r="AG874"/>
  <c r="AG873"/>
  <c r="AG872"/>
  <c r="AG871"/>
  <c r="AG870"/>
  <c r="AG869"/>
  <c r="X869"/>
  <c r="V869"/>
  <c r="K869"/>
  <c r="AG868"/>
  <c r="AG867"/>
  <c r="AG866"/>
  <c r="V866"/>
  <c r="X866" s="1"/>
  <c r="K866"/>
  <c r="AG865"/>
  <c r="V865"/>
  <c r="X865" s="1"/>
  <c r="K865"/>
  <c r="AG864"/>
  <c r="V864"/>
  <c r="X864" s="1"/>
  <c r="P864"/>
  <c r="K864"/>
  <c r="AG863"/>
  <c r="X863"/>
  <c r="V863"/>
  <c r="K863"/>
  <c r="AG862"/>
  <c r="R862"/>
  <c r="P862"/>
  <c r="AG861"/>
  <c r="AG860"/>
  <c r="AG859"/>
  <c r="R859"/>
  <c r="P859"/>
  <c r="AG858"/>
  <c r="P858"/>
  <c r="R858" s="1"/>
  <c r="AG857"/>
  <c r="R857"/>
  <c r="P857"/>
  <c r="AG856"/>
  <c r="R856"/>
  <c r="P856"/>
  <c r="AG855"/>
  <c r="AG854"/>
  <c r="AG853"/>
  <c r="AG852"/>
  <c r="AG851"/>
  <c r="AG850"/>
  <c r="AG849"/>
  <c r="AG848"/>
  <c r="AG847"/>
  <c r="AG846"/>
  <c r="AG845"/>
  <c r="AG844"/>
  <c r="AG843"/>
  <c r="AG842"/>
  <c r="AG841"/>
  <c r="AG840"/>
  <c r="AG839"/>
  <c r="AG829"/>
  <c r="AG828"/>
  <c r="AG827"/>
  <c r="V827"/>
  <c r="AG826"/>
  <c r="V826"/>
  <c r="AG825"/>
  <c r="V825"/>
  <c r="AG824"/>
  <c r="AG823"/>
  <c r="AG822"/>
  <c r="AG821"/>
  <c r="W821"/>
  <c r="AG820"/>
  <c r="AG819"/>
  <c r="AG818"/>
  <c r="AG817"/>
  <c r="AG816"/>
  <c r="AG815"/>
  <c r="AG814"/>
  <c r="AG813"/>
  <c r="AG812"/>
  <c r="AG811"/>
  <c r="AG810"/>
  <c r="AG809"/>
  <c r="AG808"/>
  <c r="AG807"/>
  <c r="AG806"/>
  <c r="W806"/>
  <c r="AG805"/>
  <c r="AG804"/>
  <c r="AG803"/>
  <c r="AG802"/>
  <c r="AG801"/>
  <c r="AG800"/>
  <c r="AG799"/>
  <c r="AG798"/>
  <c r="AG797"/>
  <c r="AG796"/>
  <c r="AG795"/>
  <c r="AG794"/>
  <c r="R794"/>
  <c r="P794"/>
  <c r="AG793"/>
  <c r="AG792"/>
  <c r="AG791"/>
  <c r="K791"/>
  <c r="AG790"/>
  <c r="K790"/>
  <c r="AG789"/>
  <c r="I789"/>
  <c r="K789" s="1"/>
  <c r="AG788"/>
  <c r="AG787"/>
  <c r="AG786"/>
  <c r="A786"/>
  <c r="AG785"/>
  <c r="R785"/>
  <c r="K785"/>
  <c r="I785"/>
  <c r="AG784"/>
  <c r="AG783"/>
  <c r="AG782"/>
  <c r="AG781"/>
  <c r="AG780"/>
  <c r="AG779"/>
  <c r="AG778"/>
  <c r="AG777"/>
  <c r="R777"/>
  <c r="AG776"/>
  <c r="AG775"/>
  <c r="AG774"/>
  <c r="AG773"/>
  <c r="AG772"/>
  <c r="R772"/>
  <c r="AG771"/>
  <c r="AG770"/>
  <c r="AG769"/>
  <c r="AG768"/>
  <c r="K768"/>
  <c r="AG767"/>
  <c r="K767"/>
  <c r="AG766"/>
  <c r="AG765"/>
  <c r="AG764"/>
  <c r="AG763"/>
  <c r="K763"/>
  <c r="AG762"/>
  <c r="K762"/>
  <c r="I762"/>
  <c r="AG761"/>
  <c r="K761"/>
  <c r="I782" s="1"/>
  <c r="K782" s="1"/>
  <c r="I761"/>
  <c r="AG760"/>
  <c r="AG759"/>
  <c r="AG758"/>
  <c r="R758"/>
  <c r="P758"/>
  <c r="AG757"/>
  <c r="P757"/>
  <c r="R757" s="1"/>
  <c r="AG756"/>
  <c r="P756"/>
  <c r="R756" s="1"/>
  <c r="AG755"/>
  <c r="R755"/>
  <c r="P755"/>
  <c r="AG754"/>
  <c r="AG753"/>
  <c r="P753"/>
  <c r="R753" s="1"/>
  <c r="AG752"/>
  <c r="AG751"/>
  <c r="AG750"/>
  <c r="AG749"/>
  <c r="AG748"/>
  <c r="AG747"/>
  <c r="AG746"/>
  <c r="AG745"/>
  <c r="AG744"/>
  <c r="AG743"/>
  <c r="AG742"/>
  <c r="R742"/>
  <c r="P742"/>
  <c r="AG741"/>
  <c r="P741"/>
  <c r="R741" s="1"/>
  <c r="AG740"/>
  <c r="V740"/>
  <c r="R740"/>
  <c r="P740"/>
  <c r="AG739"/>
  <c r="V739"/>
  <c r="R739"/>
  <c r="P739"/>
  <c r="AG738"/>
  <c r="AG737"/>
  <c r="P737"/>
  <c r="R737" s="1"/>
  <c r="AG736"/>
  <c r="AG735"/>
  <c r="AG734"/>
  <c r="AG733"/>
  <c r="AG732"/>
  <c r="AG731"/>
  <c r="AG730"/>
  <c r="AG729"/>
  <c r="AG728"/>
  <c r="AG727"/>
  <c r="P727"/>
  <c r="R727" s="1"/>
  <c r="AG726"/>
  <c r="P726"/>
  <c r="R726" s="1"/>
  <c r="AG725"/>
  <c r="P725"/>
  <c r="R725" s="1"/>
  <c r="AG724"/>
  <c r="R724"/>
  <c r="P724"/>
  <c r="AG723"/>
  <c r="AG722"/>
  <c r="R722"/>
  <c r="P722"/>
  <c r="K722"/>
  <c r="I722"/>
  <c r="AG721"/>
  <c r="AG720"/>
  <c r="K720"/>
  <c r="I720"/>
  <c r="AG719"/>
  <c r="V719"/>
  <c r="I719"/>
  <c r="K719" s="1"/>
  <c r="K725" s="1"/>
  <c r="I727" s="1"/>
  <c r="K727" s="1"/>
  <c r="AG718"/>
  <c r="V718"/>
  <c r="AG717"/>
  <c r="AG716"/>
  <c r="V716"/>
  <c r="AG715"/>
  <c r="V715"/>
  <c r="R715"/>
  <c r="AG714"/>
  <c r="AG713"/>
  <c r="AG712"/>
  <c r="W712"/>
  <c r="AG711"/>
  <c r="V711"/>
  <c r="X711" s="1"/>
  <c r="AA711" s="1"/>
  <c r="S711"/>
  <c r="R711"/>
  <c r="P711"/>
  <c r="AG710"/>
  <c r="AG709"/>
  <c r="AG708"/>
  <c r="AG707"/>
  <c r="AG706"/>
  <c r="AG705"/>
  <c r="AG704"/>
  <c r="AG703"/>
  <c r="K703"/>
  <c r="AG702"/>
  <c r="I702"/>
  <c r="K702" s="1"/>
  <c r="AG701"/>
  <c r="I701"/>
  <c r="K701" s="1"/>
  <c r="AG700"/>
  <c r="R700"/>
  <c r="R704" s="1"/>
  <c r="P700"/>
  <c r="AG699"/>
  <c r="AG698"/>
  <c r="AG697"/>
  <c r="AG696"/>
  <c r="AG695"/>
  <c r="AG694"/>
  <c r="R694"/>
  <c r="AH693"/>
  <c r="AG693"/>
  <c r="AG692"/>
  <c r="AH691"/>
  <c r="AG691"/>
  <c r="AG690"/>
  <c r="P690"/>
  <c r="R690" s="1"/>
  <c r="AG689"/>
  <c r="AG688"/>
  <c r="AG687"/>
  <c r="AE687"/>
  <c r="AG686"/>
  <c r="AE686"/>
  <c r="AG685"/>
  <c r="AC685"/>
  <c r="AG684"/>
  <c r="K684"/>
  <c r="AG683"/>
  <c r="I683"/>
  <c r="K683" s="1"/>
  <c r="AG682"/>
  <c r="K682"/>
  <c r="K686" s="1"/>
  <c r="I688" s="1"/>
  <c r="I682"/>
  <c r="AG681"/>
  <c r="AG680"/>
  <c r="P680"/>
  <c r="R680" s="1"/>
  <c r="R684" s="1"/>
  <c r="AG679"/>
  <c r="AG678"/>
  <c r="AG677"/>
  <c r="AG676"/>
  <c r="AG675"/>
  <c r="P662"/>
  <c r="R662" s="1"/>
  <c r="P661"/>
  <c r="R661" s="1"/>
  <c r="R660"/>
  <c r="P660"/>
  <c r="C660"/>
  <c r="V650"/>
  <c r="R644"/>
  <c r="P644"/>
  <c r="AG639"/>
  <c r="AG638"/>
  <c r="AG637"/>
  <c r="AG636"/>
  <c r="AG635"/>
  <c r="AG634"/>
  <c r="AG633"/>
  <c r="AG632"/>
  <c r="AG631"/>
  <c r="P631"/>
  <c r="R631" s="1"/>
  <c r="AG630"/>
  <c r="AG629"/>
  <c r="AG628"/>
  <c r="AG627"/>
  <c r="AG626"/>
  <c r="AG625"/>
  <c r="AG624"/>
  <c r="AG623"/>
  <c r="AG622"/>
  <c r="AG621"/>
  <c r="K621"/>
  <c r="I621"/>
  <c r="AG620"/>
  <c r="AG619"/>
  <c r="AG618"/>
  <c r="AG617"/>
  <c r="C617"/>
  <c r="AG616"/>
  <c r="AG615"/>
  <c r="AG614"/>
  <c r="AG613"/>
  <c r="AG612"/>
  <c r="AG611"/>
  <c r="AG610"/>
  <c r="C610"/>
  <c r="I2428" s="1"/>
  <c r="AG609"/>
  <c r="AG608"/>
  <c r="I608"/>
  <c r="K608" s="1"/>
  <c r="AG607"/>
  <c r="AG606"/>
  <c r="I606"/>
  <c r="AG605"/>
  <c r="AG604"/>
  <c r="E604"/>
  <c r="C604"/>
  <c r="I1271" s="1"/>
  <c r="K1271" s="1"/>
  <c r="AG603"/>
  <c r="C603"/>
  <c r="I1250" s="1"/>
  <c r="K1250" s="1"/>
  <c r="AG602"/>
  <c r="AG601"/>
  <c r="AG600"/>
  <c r="AG599"/>
  <c r="AG598"/>
  <c r="AG597"/>
  <c r="AG596"/>
  <c r="AG595"/>
  <c r="AG594"/>
  <c r="C594"/>
  <c r="AG593"/>
  <c r="AG592"/>
  <c r="AG591"/>
  <c r="AG590"/>
  <c r="AG589"/>
  <c r="AG588"/>
  <c r="AG587"/>
  <c r="V587"/>
  <c r="P587"/>
  <c r="R587" s="1"/>
  <c r="AG586"/>
  <c r="R586"/>
  <c r="AG585"/>
  <c r="R585"/>
  <c r="AG584"/>
  <c r="I584"/>
  <c r="K584" s="1"/>
  <c r="AG583"/>
  <c r="AG582"/>
  <c r="AG581"/>
  <c r="AG580"/>
  <c r="AG579"/>
  <c r="AG578"/>
  <c r="AG577"/>
  <c r="AG576"/>
  <c r="AG575"/>
  <c r="AG574"/>
  <c r="AF574"/>
  <c r="AE574"/>
  <c r="AD574"/>
  <c r="AL568"/>
  <c r="AE568"/>
  <c r="AG566"/>
  <c r="AG565"/>
  <c r="AG564"/>
  <c r="M564"/>
  <c r="AG563"/>
  <c r="M563"/>
  <c r="AG562"/>
  <c r="M562"/>
  <c r="AG561"/>
  <c r="M561"/>
  <c r="AG560"/>
  <c r="AG559"/>
  <c r="AG558"/>
  <c r="V558"/>
  <c r="AG557"/>
  <c r="AD557"/>
  <c r="AG556"/>
  <c r="AG555"/>
  <c r="R555"/>
  <c r="E555"/>
  <c r="AG554"/>
  <c r="AG553"/>
  <c r="AG552"/>
  <c r="W552"/>
  <c r="AE551" s="1"/>
  <c r="AG551"/>
  <c r="W551"/>
  <c r="AE550" s="1"/>
  <c r="AL550" s="1"/>
  <c r="AG550"/>
  <c r="AG541"/>
  <c r="AG540"/>
  <c r="AG539"/>
  <c r="P539"/>
  <c r="R539" s="1"/>
  <c r="AG538"/>
  <c r="AG537"/>
  <c r="AG536"/>
  <c r="AG535"/>
  <c r="AG534"/>
  <c r="AK533"/>
  <c r="AK557" s="1"/>
  <c r="AG533"/>
  <c r="AD533"/>
  <c r="AG532"/>
  <c r="AG531"/>
  <c r="AG530"/>
  <c r="AG529"/>
  <c r="AG528"/>
  <c r="AG527"/>
  <c r="R527"/>
  <c r="AG526"/>
  <c r="AG525"/>
  <c r="AG524"/>
  <c r="AG523"/>
  <c r="AG522"/>
  <c r="AG521"/>
  <c r="R521"/>
  <c r="AG520"/>
  <c r="AG519"/>
  <c r="R519"/>
  <c r="P519"/>
  <c r="AG518"/>
  <c r="AG517"/>
  <c r="AG516"/>
  <c r="V516"/>
  <c r="AG515"/>
  <c r="V515"/>
  <c r="AG514"/>
  <c r="AG513"/>
  <c r="AG512"/>
  <c r="AG511"/>
  <c r="AG510"/>
  <c r="AG509"/>
  <c r="R509"/>
  <c r="AG508"/>
  <c r="AG507"/>
  <c r="AG506"/>
  <c r="AG505"/>
  <c r="AG504"/>
  <c r="AG503"/>
  <c r="AG502"/>
  <c r="AG501"/>
  <c r="R501"/>
  <c r="P501"/>
  <c r="AG500"/>
  <c r="V500"/>
  <c r="AG499"/>
  <c r="AG498"/>
  <c r="AG497"/>
  <c r="AG496"/>
  <c r="AG495"/>
  <c r="AG494"/>
  <c r="I494"/>
  <c r="K494" s="1"/>
  <c r="AG493"/>
  <c r="AG492"/>
  <c r="AG491"/>
  <c r="AG490"/>
  <c r="AG489"/>
  <c r="AG488"/>
  <c r="AG487"/>
  <c r="AG486"/>
  <c r="P486"/>
  <c r="R486" s="1"/>
  <c r="AG485"/>
  <c r="AG484"/>
  <c r="AG483"/>
  <c r="AG482"/>
  <c r="AD482"/>
  <c r="AG481"/>
  <c r="AG473"/>
  <c r="AG472"/>
  <c r="P472"/>
  <c r="R472" s="1"/>
  <c r="AG471"/>
  <c r="AG470"/>
  <c r="AG469"/>
  <c r="AG468"/>
  <c r="AG467"/>
  <c r="AG466"/>
  <c r="C463"/>
  <c r="R461"/>
  <c r="P461"/>
  <c r="P459"/>
  <c r="R459" s="1"/>
  <c r="AL454"/>
  <c r="R454"/>
  <c r="P454"/>
  <c r="P453"/>
  <c r="R453" s="1"/>
  <c r="R443"/>
  <c r="P443"/>
  <c r="R435"/>
  <c r="P435"/>
  <c r="AD434"/>
  <c r="AD433"/>
  <c r="AD432"/>
  <c r="AD431"/>
  <c r="AD430"/>
  <c r="AD426"/>
  <c r="AF424"/>
  <c r="X418"/>
  <c r="F413"/>
  <c r="H412"/>
  <c r="F412"/>
  <c r="H410"/>
  <c r="AU390"/>
  <c r="AF390"/>
  <c r="AD390"/>
  <c r="AF388"/>
  <c r="P381"/>
  <c r="R381" s="1"/>
  <c r="H381"/>
  <c r="F381"/>
  <c r="H379"/>
  <c r="R369"/>
  <c r="P369"/>
  <c r="AF366"/>
  <c r="H357"/>
  <c r="H355"/>
  <c r="AD338"/>
  <c r="F338"/>
  <c r="AF337"/>
  <c r="AD337"/>
  <c r="H337"/>
  <c r="F337"/>
  <c r="AF335"/>
  <c r="AF364" s="1"/>
  <c r="H335"/>
  <c r="AF313"/>
  <c r="AF426" s="1"/>
  <c r="H313"/>
  <c r="K259"/>
  <c r="K258"/>
  <c r="I258"/>
  <c r="K247"/>
  <c r="K243"/>
  <c r="I243"/>
  <c r="P221"/>
  <c r="R221" s="1"/>
  <c r="P220"/>
  <c r="R220" s="1"/>
  <c r="AX219"/>
  <c r="AW219"/>
  <c r="P219"/>
  <c r="R219" s="1"/>
  <c r="AX218"/>
  <c r="AW218"/>
  <c r="P218"/>
  <c r="R218" s="1"/>
  <c r="AX217"/>
  <c r="AW217"/>
  <c r="P217"/>
  <c r="R217" s="1"/>
  <c r="AX216"/>
  <c r="AW216"/>
  <c r="P216"/>
  <c r="R216" s="1"/>
  <c r="AX215"/>
  <c r="AW215"/>
  <c r="AX214"/>
  <c r="AW214"/>
  <c r="P214"/>
  <c r="R214" s="1"/>
  <c r="AX213"/>
  <c r="AW213"/>
  <c r="AX212"/>
  <c r="AW212"/>
  <c r="AX211"/>
  <c r="AW211"/>
  <c r="AX210"/>
  <c r="AW210"/>
  <c r="AX204"/>
  <c r="AW204"/>
  <c r="AW202"/>
  <c r="AX202" s="1"/>
  <c r="AX200"/>
  <c r="AW200"/>
  <c r="AX199"/>
  <c r="AW199"/>
  <c r="AX196"/>
  <c r="AW196"/>
  <c r="AW195"/>
  <c r="AX195" s="1"/>
  <c r="AX194"/>
  <c r="AW194"/>
  <c r="AX188"/>
  <c r="AW188"/>
  <c r="K188"/>
  <c r="I188"/>
  <c r="K187"/>
  <c r="I187"/>
  <c r="AW186"/>
  <c r="AX186" s="1"/>
  <c r="AX184"/>
  <c r="AW184"/>
  <c r="AX183"/>
  <c r="AW183"/>
  <c r="AW180"/>
  <c r="AX180" s="1"/>
  <c r="AX179"/>
  <c r="AW179"/>
  <c r="AW178"/>
  <c r="AX178" s="1"/>
  <c r="AW177"/>
  <c r="AX177" s="1"/>
  <c r="AW176"/>
  <c r="AX176" s="1"/>
  <c r="AX174"/>
  <c r="AW174"/>
  <c r="AW172"/>
  <c r="AX172" s="1"/>
  <c r="AX171"/>
  <c r="AW171"/>
  <c r="AP166"/>
  <c r="AR165"/>
  <c r="AP165"/>
  <c r="AW164"/>
  <c r="AX164" s="1"/>
  <c r="AX163"/>
  <c r="AW163"/>
  <c r="AR163"/>
  <c r="AX162"/>
  <c r="AW162"/>
  <c r="K161"/>
  <c r="I159"/>
  <c r="K159" s="1"/>
  <c r="K157"/>
  <c r="I157"/>
  <c r="AX156"/>
  <c r="AW156"/>
  <c r="K155"/>
  <c r="I155"/>
  <c r="AX154"/>
  <c r="AW154"/>
  <c r="AW152"/>
  <c r="AX152" s="1"/>
  <c r="AW151"/>
  <c r="AX151" s="1"/>
  <c r="AW148"/>
  <c r="AX148" s="1"/>
  <c r="AX147"/>
  <c r="AW147"/>
  <c r="AW146"/>
  <c r="AX146" s="1"/>
  <c r="AX145"/>
  <c r="AW145"/>
  <c r="C145"/>
  <c r="I2330" s="1"/>
  <c r="K2330" s="1"/>
  <c r="AW143"/>
  <c r="AX143" s="1"/>
  <c r="K143"/>
  <c r="AX141"/>
  <c r="AW141"/>
  <c r="AX140"/>
  <c r="AW140"/>
  <c r="AR134"/>
  <c r="AP134"/>
  <c r="AR132"/>
  <c r="AJ125"/>
  <c r="AJ124"/>
  <c r="AG124"/>
  <c r="AJ123"/>
  <c r="AG123"/>
  <c r="AJ122"/>
  <c r="AG122"/>
  <c r="AJ121"/>
  <c r="AG121"/>
  <c r="AW120"/>
  <c r="AX120" s="1"/>
  <c r="AJ120"/>
  <c r="AG120"/>
  <c r="AJ119"/>
  <c r="AG119"/>
  <c r="AW118"/>
  <c r="AX118" s="1"/>
  <c r="AJ118"/>
  <c r="AG118"/>
  <c r="AJ117"/>
  <c r="AG117"/>
  <c r="AW116"/>
  <c r="AX116" s="1"/>
  <c r="AJ116"/>
  <c r="AG116"/>
  <c r="AX115"/>
  <c r="AW115"/>
  <c r="AJ115"/>
  <c r="AG115"/>
  <c r="AJ114"/>
  <c r="AG114"/>
  <c r="AJ113"/>
  <c r="AG113"/>
  <c r="AJ112"/>
  <c r="AG112"/>
  <c r="AJ111"/>
  <c r="AG111"/>
  <c r="AJ110"/>
  <c r="AG110"/>
  <c r="AR109"/>
  <c r="AJ109"/>
  <c r="AG109"/>
  <c r="AJ108"/>
  <c r="AG108"/>
  <c r="AJ107"/>
  <c r="AG107"/>
  <c r="AJ106"/>
  <c r="AG106"/>
  <c r="AJ105"/>
  <c r="AG105"/>
  <c r="AJ104"/>
  <c r="AG104" s="1"/>
  <c r="AJ103"/>
  <c r="AG103"/>
  <c r="AJ102"/>
  <c r="AG102" s="1"/>
  <c r="AJ101"/>
  <c r="AG101"/>
  <c r="AM100"/>
  <c r="AL100"/>
  <c r="AK100"/>
  <c r="AJ100"/>
  <c r="AG100" s="1"/>
  <c r="AM99"/>
  <c r="AL99"/>
  <c r="AK99"/>
  <c r="AJ99"/>
  <c r="AG99"/>
  <c r="AM98"/>
  <c r="AL98"/>
  <c r="AK98"/>
  <c r="AJ98"/>
  <c r="AG98" s="1"/>
  <c r="AM97"/>
  <c r="AL97"/>
  <c r="AK97"/>
  <c r="AJ97"/>
  <c r="AG97" s="1"/>
  <c r="AM96"/>
  <c r="AL96"/>
  <c r="AK96"/>
  <c r="AJ96"/>
  <c r="AG96" s="1"/>
  <c r="AM95"/>
  <c r="AL95"/>
  <c r="AK95"/>
  <c r="AJ95"/>
  <c r="AG95" s="1"/>
  <c r="AM94"/>
  <c r="AL94"/>
  <c r="AK94"/>
  <c r="AJ94"/>
  <c r="AG94" s="1"/>
  <c r="AM93"/>
  <c r="AL93"/>
  <c r="AK93"/>
  <c r="AJ93"/>
  <c r="AG93" s="1"/>
  <c r="AM92"/>
  <c r="AL92"/>
  <c r="AK92"/>
  <c r="AJ92"/>
  <c r="AG92"/>
  <c r="AG91"/>
  <c r="AG90"/>
  <c r="AM89"/>
  <c r="AL89"/>
  <c r="AK89"/>
  <c r="AJ89"/>
  <c r="AG89" s="1"/>
  <c r="AP88"/>
  <c r="AM88"/>
  <c r="AL88"/>
  <c r="AK88"/>
  <c r="AJ88"/>
  <c r="AG88" s="1"/>
  <c r="AR87"/>
  <c r="AP87"/>
  <c r="AM87"/>
  <c r="AL87"/>
  <c r="AK87"/>
  <c r="AJ87"/>
  <c r="AG87" s="1"/>
  <c r="C87"/>
  <c r="V2785" s="1"/>
  <c r="AM86"/>
  <c r="AL86"/>
  <c r="AK86"/>
  <c r="AJ86"/>
  <c r="AG86" s="1"/>
  <c r="AR85"/>
  <c r="AR107" s="1"/>
  <c r="AM85"/>
  <c r="AL85"/>
  <c r="AK85"/>
  <c r="AJ85"/>
  <c r="AG85" s="1"/>
  <c r="AM84"/>
  <c r="AL84"/>
  <c r="AK84"/>
  <c r="AJ84"/>
  <c r="AG84"/>
  <c r="AM83"/>
  <c r="AL83"/>
  <c r="AK83"/>
  <c r="AJ83"/>
  <c r="AG83" s="1"/>
  <c r="AM82"/>
  <c r="AL82"/>
  <c r="AK82"/>
  <c r="AJ82"/>
  <c r="AG82" s="1"/>
  <c r="AM81"/>
  <c r="AL81"/>
  <c r="AK81"/>
  <c r="AJ81"/>
  <c r="AG81"/>
  <c r="AM80"/>
  <c r="AL80"/>
  <c r="AK80"/>
  <c r="AJ80"/>
  <c r="AG80" s="1"/>
  <c r="AM79"/>
  <c r="AL79"/>
  <c r="AK79"/>
  <c r="AJ79"/>
  <c r="AG79" s="1"/>
  <c r="AM78"/>
  <c r="AL78"/>
  <c r="AK78"/>
  <c r="AJ78"/>
  <c r="AG78"/>
  <c r="AM77"/>
  <c r="AL77"/>
  <c r="AK77"/>
  <c r="AJ77"/>
  <c r="AG77" s="1"/>
  <c r="AI77"/>
  <c r="AM76"/>
  <c r="AL76"/>
  <c r="AK76"/>
  <c r="AJ76"/>
  <c r="AI76"/>
  <c r="AG76"/>
  <c r="AM75"/>
  <c r="AL75"/>
  <c r="AK75"/>
  <c r="AJ75"/>
  <c r="AI75"/>
  <c r="AG75"/>
  <c r="D674" s="1"/>
  <c r="AM74"/>
  <c r="AL74"/>
  <c r="AK74"/>
  <c r="AJ74"/>
  <c r="AG74" s="1"/>
  <c r="C674" s="1"/>
  <c r="I1809" s="1"/>
  <c r="I2738" s="1"/>
  <c r="K2738" s="1"/>
  <c r="AI74"/>
  <c r="AM73"/>
  <c r="AL73"/>
  <c r="AK73"/>
  <c r="AJ73"/>
  <c r="AG73" s="1"/>
  <c r="AI73"/>
  <c r="AM72"/>
  <c r="AL72"/>
  <c r="AK72"/>
  <c r="AJ72"/>
  <c r="AI72"/>
  <c r="I1845" s="1"/>
  <c r="K1845" s="1"/>
  <c r="AG72"/>
  <c r="C679" s="1"/>
  <c r="AM71"/>
  <c r="AL71"/>
  <c r="AK71"/>
  <c r="AJ71"/>
  <c r="AI71"/>
  <c r="AG71"/>
  <c r="D665" s="1"/>
  <c r="I1844" s="1"/>
  <c r="K1844" s="1"/>
  <c r="AM70"/>
  <c r="AH70"/>
  <c r="AM69"/>
  <c r="AJ69"/>
  <c r="AG69" s="1"/>
  <c r="E663" s="1"/>
  <c r="I1909" s="1"/>
  <c r="AI69"/>
  <c r="AH69"/>
  <c r="AL69" s="1"/>
  <c r="AM68"/>
  <c r="AL68"/>
  <c r="AK68"/>
  <c r="AJ68"/>
  <c r="AG68" s="1"/>
  <c r="C663" s="1"/>
  <c r="AI68"/>
  <c r="AM67"/>
  <c r="AL67"/>
  <c r="AK67"/>
  <c r="AJ67"/>
  <c r="AI67"/>
  <c r="I3510" s="1"/>
  <c r="K3510" s="1"/>
  <c r="AG67"/>
  <c r="AM66"/>
  <c r="AL66"/>
  <c r="AK66"/>
  <c r="AJ66"/>
  <c r="AI66"/>
  <c r="AG66"/>
  <c r="AM65"/>
  <c r="AL65"/>
  <c r="AK65"/>
  <c r="AJ65"/>
  <c r="AI65"/>
  <c r="AG65"/>
  <c r="I65"/>
  <c r="K65" s="1"/>
  <c r="AM64"/>
  <c r="AL64"/>
  <c r="AK64"/>
  <c r="AJ64"/>
  <c r="AI64"/>
  <c r="AG64"/>
  <c r="AR63"/>
  <c r="AM63"/>
  <c r="AL63"/>
  <c r="AK63"/>
  <c r="AJ63"/>
  <c r="AI63"/>
  <c r="AG63"/>
  <c r="AM62"/>
  <c r="AL62"/>
  <c r="AK62"/>
  <c r="AJ62"/>
  <c r="AG62" s="1"/>
  <c r="AI62"/>
  <c r="AM61"/>
  <c r="AL61"/>
  <c r="AK61"/>
  <c r="AJ61"/>
  <c r="AI61"/>
  <c r="AG61"/>
  <c r="AM60"/>
  <c r="AL60"/>
  <c r="AK60"/>
  <c r="AJ60"/>
  <c r="AG60" s="1"/>
  <c r="AI60"/>
  <c r="AM59"/>
  <c r="AL59"/>
  <c r="AK59"/>
  <c r="AJ59"/>
  <c r="AG59" s="1"/>
  <c r="C36" s="1"/>
  <c r="AI59"/>
  <c r="AM58"/>
  <c r="AL58"/>
  <c r="AK58"/>
  <c r="AJ58"/>
  <c r="AI58"/>
  <c r="AG58"/>
  <c r="P3229" s="1"/>
  <c r="AM57"/>
  <c r="AL57"/>
  <c r="AK57"/>
  <c r="AJ57"/>
  <c r="AI57"/>
  <c r="AG57"/>
  <c r="I3603" s="1"/>
  <c r="K3603" s="1"/>
  <c r="C57"/>
  <c r="I1233" s="1"/>
  <c r="K1233" s="1"/>
  <c r="AM56"/>
  <c r="AL56"/>
  <c r="AK56"/>
  <c r="AJ56"/>
  <c r="AI56"/>
  <c r="AG56"/>
  <c r="I3258" s="1"/>
  <c r="K3258" s="1"/>
  <c r="AM55"/>
  <c r="AL55"/>
  <c r="AK55"/>
  <c r="AJ55"/>
  <c r="AI55"/>
  <c r="AG55"/>
  <c r="I3214" s="1"/>
  <c r="I3229" s="1"/>
  <c r="K3229" s="1"/>
  <c r="C55"/>
  <c r="AM54"/>
  <c r="AL54"/>
  <c r="AK54"/>
  <c r="AJ54"/>
  <c r="AG54" s="1"/>
  <c r="I3200" s="1"/>
  <c r="AI54"/>
  <c r="C54"/>
  <c r="P1892" s="1"/>
  <c r="R1892" s="1"/>
  <c r="AM53"/>
  <c r="AL53"/>
  <c r="AK53"/>
  <c r="AJ53"/>
  <c r="AG53" s="1"/>
  <c r="AI53"/>
  <c r="C53"/>
  <c r="P1861" s="1"/>
  <c r="R1861" s="1"/>
  <c r="AM52"/>
  <c r="AL52"/>
  <c r="AK52"/>
  <c r="AJ52"/>
  <c r="AG52" s="1"/>
  <c r="AI52"/>
  <c r="C52"/>
  <c r="AM51"/>
  <c r="AL51"/>
  <c r="AK51"/>
  <c r="AJ51"/>
  <c r="AI51"/>
  <c r="AG51"/>
  <c r="C51"/>
  <c r="P522" s="1"/>
  <c r="R522" s="1"/>
  <c r="AM50"/>
  <c r="AL50"/>
  <c r="AK50"/>
  <c r="AJ50"/>
  <c r="AG50" s="1"/>
  <c r="AI50"/>
  <c r="C50"/>
  <c r="AM49"/>
  <c r="AL49"/>
  <c r="AK49"/>
  <c r="AJ49"/>
  <c r="AI49"/>
  <c r="AG49"/>
  <c r="C462" s="1"/>
  <c r="C49"/>
  <c r="AM48"/>
  <c r="AL48"/>
  <c r="AK48"/>
  <c r="AJ48"/>
  <c r="AI48"/>
  <c r="AG48"/>
  <c r="C48"/>
  <c r="AM47"/>
  <c r="AL47"/>
  <c r="AK47"/>
  <c r="AJ47"/>
  <c r="AI47"/>
  <c r="AG47"/>
  <c r="AB47"/>
  <c r="AA47"/>
  <c r="Y47"/>
  <c r="C47"/>
  <c r="P1891" s="1"/>
  <c r="R1891" s="1"/>
  <c r="AK46"/>
  <c r="AJ46"/>
  <c r="AG46" s="1"/>
  <c r="C24" s="1"/>
  <c r="AH46"/>
  <c r="AM46" s="1"/>
  <c r="AB46"/>
  <c r="AA46"/>
  <c r="Y46"/>
  <c r="X46"/>
  <c r="X47" s="1"/>
  <c r="I46"/>
  <c r="K46" s="1"/>
  <c r="C46"/>
  <c r="AM45"/>
  <c r="AL45"/>
  <c r="AK45"/>
  <c r="AJ45"/>
  <c r="AI45"/>
  <c r="AG45"/>
  <c r="C23" s="1"/>
  <c r="AB45"/>
  <c r="AA45"/>
  <c r="AE45" s="1"/>
  <c r="Y45"/>
  <c r="X45"/>
  <c r="C45"/>
  <c r="AM44"/>
  <c r="AL44"/>
  <c r="AK44"/>
  <c r="AJ44"/>
  <c r="AI44"/>
  <c r="AG44"/>
  <c r="C22" s="1"/>
  <c r="AB44"/>
  <c r="Z44"/>
  <c r="Y44"/>
  <c r="C44"/>
  <c r="P521" s="1"/>
  <c r="AL43"/>
  <c r="AJ43"/>
  <c r="AG43" s="1"/>
  <c r="AH43"/>
  <c r="AK43" s="1"/>
  <c r="AE43"/>
  <c r="P152" s="1"/>
  <c r="R152" s="1"/>
  <c r="AB43"/>
  <c r="AA43"/>
  <c r="Y43"/>
  <c r="X43"/>
  <c r="C43"/>
  <c r="P441" s="1"/>
  <c r="R441" s="1"/>
  <c r="AM42"/>
  <c r="AL42"/>
  <c r="AK42"/>
  <c r="AJ42"/>
  <c r="AI42"/>
  <c r="AG42"/>
  <c r="C20" s="1"/>
  <c r="AE42"/>
  <c r="AB42"/>
  <c r="AA42"/>
  <c r="AM41"/>
  <c r="AL41"/>
  <c r="AK41"/>
  <c r="AJ41"/>
  <c r="AI41"/>
  <c r="AG41"/>
  <c r="AE41"/>
  <c r="AB41"/>
  <c r="AA41"/>
  <c r="Y41"/>
  <c r="X41"/>
  <c r="X42" s="1"/>
  <c r="AM40"/>
  <c r="AL40"/>
  <c r="AK40"/>
  <c r="AJ40"/>
  <c r="AG40" s="1"/>
  <c r="AI40"/>
  <c r="AE40"/>
  <c r="AM39"/>
  <c r="AL39"/>
  <c r="AK39"/>
  <c r="AJ39"/>
  <c r="AI39"/>
  <c r="AG39"/>
  <c r="AE39"/>
  <c r="P127" s="1"/>
  <c r="R127" s="1"/>
  <c r="AB39"/>
  <c r="AA39"/>
  <c r="Y39"/>
  <c r="X39"/>
  <c r="AM38"/>
  <c r="AL38"/>
  <c r="AK38"/>
  <c r="AJ38"/>
  <c r="AI38"/>
  <c r="AG38"/>
  <c r="AE38"/>
  <c r="P142" s="1"/>
  <c r="R142" s="1"/>
  <c r="AB38"/>
  <c r="AA38"/>
  <c r="Y38"/>
  <c r="X38"/>
  <c r="AM37"/>
  <c r="AL37"/>
  <c r="AK37"/>
  <c r="AJ37"/>
  <c r="AI37"/>
  <c r="AG37"/>
  <c r="AB37"/>
  <c r="Z37"/>
  <c r="Y37"/>
  <c r="I37"/>
  <c r="K37" s="1"/>
  <c r="C37"/>
  <c r="AM36"/>
  <c r="AL36"/>
  <c r="AK36"/>
  <c r="AJ36"/>
  <c r="AG36" s="1"/>
  <c r="D61" s="1"/>
  <c r="AI36"/>
  <c r="AB36"/>
  <c r="Z36"/>
  <c r="Y36"/>
  <c r="AM35"/>
  <c r="AL35"/>
  <c r="AK35"/>
  <c r="AJ35"/>
  <c r="AI35"/>
  <c r="AG35"/>
  <c r="D33" s="1"/>
  <c r="I2251" s="1"/>
  <c r="K2251" s="1"/>
  <c r="AB35"/>
  <c r="Y35"/>
  <c r="X35"/>
  <c r="AM34"/>
  <c r="AL34"/>
  <c r="AK34"/>
  <c r="AJ34"/>
  <c r="AG34" s="1"/>
  <c r="AI34"/>
  <c r="AB34"/>
  <c r="Z34"/>
  <c r="AE34" s="1"/>
  <c r="C77" s="1"/>
  <c r="I446" s="1"/>
  <c r="K446" s="1"/>
  <c r="Y34"/>
  <c r="W34"/>
  <c r="W41" s="1"/>
  <c r="W45" s="1"/>
  <c r="D34"/>
  <c r="C34"/>
  <c r="AM33"/>
  <c r="AL33"/>
  <c r="AK33"/>
  <c r="AJ33"/>
  <c r="AI33"/>
  <c r="AG33"/>
  <c r="I2666" s="1"/>
  <c r="AB33"/>
  <c r="Y33"/>
  <c r="X33"/>
  <c r="AM32"/>
  <c r="AL32"/>
  <c r="AK32"/>
  <c r="AJ32"/>
  <c r="AI32"/>
  <c r="AG32"/>
  <c r="AB32"/>
  <c r="AA32"/>
  <c r="Y32"/>
  <c r="X32"/>
  <c r="AM31"/>
  <c r="AL31"/>
  <c r="AK31"/>
  <c r="AJ31"/>
  <c r="AG31" s="1"/>
  <c r="D30" s="1"/>
  <c r="AI31"/>
  <c r="AB31"/>
  <c r="AE31" s="1"/>
  <c r="AA31"/>
  <c r="Y31"/>
  <c r="X31"/>
  <c r="C31"/>
  <c r="AM30"/>
  <c r="AL30"/>
  <c r="AK30"/>
  <c r="AJ30"/>
  <c r="AG30" s="1"/>
  <c r="AI30"/>
  <c r="AE30"/>
  <c r="C139" s="1"/>
  <c r="I1220" s="1"/>
  <c r="K1220" s="1"/>
  <c r="AB30"/>
  <c r="Y30"/>
  <c r="C30"/>
  <c r="AM29"/>
  <c r="AL29"/>
  <c r="AK29"/>
  <c r="AJ29"/>
  <c r="AG29" s="1"/>
  <c r="C61" s="1"/>
  <c r="AI29"/>
  <c r="AE29"/>
  <c r="C93" s="1"/>
  <c r="AB29"/>
  <c r="AA29"/>
  <c r="AA34" s="1"/>
  <c r="Y29"/>
  <c r="E29"/>
  <c r="AM28"/>
  <c r="AL28"/>
  <c r="AK28"/>
  <c r="AJ28"/>
  <c r="AI28"/>
  <c r="AG28"/>
  <c r="AB28"/>
  <c r="AA28"/>
  <c r="AE28" s="1"/>
  <c r="Y28"/>
  <c r="AM27"/>
  <c r="AL27"/>
  <c r="AK27"/>
  <c r="AJ27"/>
  <c r="AI27"/>
  <c r="AG27"/>
  <c r="V83" s="1"/>
  <c r="AB27"/>
  <c r="AA27"/>
  <c r="AE27" s="1"/>
  <c r="C89" s="1"/>
  <c r="Y27"/>
  <c r="W27"/>
  <c r="W29" s="1"/>
  <c r="W31" s="1"/>
  <c r="W33" s="1"/>
  <c r="E27"/>
  <c r="C28" s="1"/>
  <c r="I1235" s="1"/>
  <c r="K1235" s="1"/>
  <c r="C27"/>
  <c r="I143" s="1"/>
  <c r="AM26"/>
  <c r="AL26"/>
  <c r="AK26"/>
  <c r="AJ26"/>
  <c r="AG26" s="1"/>
  <c r="I3512" s="1"/>
  <c r="K3512" s="1"/>
  <c r="AI26"/>
  <c r="AE26"/>
  <c r="AB26"/>
  <c r="AA26"/>
  <c r="Y26"/>
  <c r="X26"/>
  <c r="X27" s="1"/>
  <c r="X28" s="1"/>
  <c r="C26"/>
  <c r="AM25"/>
  <c r="AL25"/>
  <c r="AK25"/>
  <c r="AJ25"/>
  <c r="AI25"/>
  <c r="AG25"/>
  <c r="AE25"/>
  <c r="AB25"/>
  <c r="AA25"/>
  <c r="Y25"/>
  <c r="X25"/>
  <c r="X24" s="1"/>
  <c r="C25"/>
  <c r="AM24"/>
  <c r="AL24"/>
  <c r="AK24"/>
  <c r="AJ24"/>
  <c r="AI24"/>
  <c r="AG24"/>
  <c r="C18" s="1"/>
  <c r="AB24"/>
  <c r="AA24"/>
  <c r="AE24" s="1"/>
  <c r="C86" s="1"/>
  <c r="Y24"/>
  <c r="R24"/>
  <c r="P24"/>
  <c r="AM23"/>
  <c r="AL23"/>
  <c r="AK23"/>
  <c r="AJ23"/>
  <c r="AI23"/>
  <c r="AG23"/>
  <c r="C29" s="1"/>
  <c r="I1236" s="1"/>
  <c r="K1236" s="1"/>
  <c r="AE23"/>
  <c r="C85" s="1"/>
  <c r="AB23"/>
  <c r="AA23"/>
  <c r="Y23"/>
  <c r="AM22"/>
  <c r="AL22"/>
  <c r="AK22"/>
  <c r="AJ22"/>
  <c r="AG22" s="1"/>
  <c r="C41" s="1"/>
  <c r="AI22"/>
  <c r="AB22"/>
  <c r="AE22" s="1"/>
  <c r="C84" s="1"/>
  <c r="Y22"/>
  <c r="AM21"/>
  <c r="AL21"/>
  <c r="AK21"/>
  <c r="AJ21"/>
  <c r="AI21"/>
  <c r="AG21"/>
  <c r="I2699" s="1"/>
  <c r="K2699" s="1"/>
  <c r="AE21"/>
  <c r="C83" s="1"/>
  <c r="AB21"/>
  <c r="AA21"/>
  <c r="Y21"/>
  <c r="C21"/>
  <c r="AH452" s="1"/>
  <c r="AH453" s="1"/>
  <c r="AH454" s="1"/>
  <c r="AH455" s="1"/>
  <c r="AH456" s="1"/>
  <c r="AH457" s="1"/>
  <c r="AH458" s="1"/>
  <c r="AH459" s="1"/>
  <c r="AH460" s="1"/>
  <c r="AH461" s="1"/>
  <c r="AH462" s="1"/>
  <c r="AH463" s="1"/>
  <c r="AH464" s="1"/>
  <c r="AH465" s="1"/>
  <c r="AM20"/>
  <c r="AL20"/>
  <c r="AK20"/>
  <c r="AJ20"/>
  <c r="AG20" s="1"/>
  <c r="AI20"/>
  <c r="AB20"/>
  <c r="Y20"/>
  <c r="X20"/>
  <c r="X21" s="1"/>
  <c r="X22" s="1"/>
  <c r="X23" s="1"/>
  <c r="W20"/>
  <c r="W22" s="1"/>
  <c r="W24" s="1"/>
  <c r="W26" s="1"/>
  <c r="W28" s="1"/>
  <c r="AM19"/>
  <c r="AL19"/>
  <c r="AK19"/>
  <c r="AJ19"/>
  <c r="AG19" s="1"/>
  <c r="AI19"/>
  <c r="AB19"/>
  <c r="AA19"/>
  <c r="AA20" s="1"/>
  <c r="AE20" s="1"/>
  <c r="Y19"/>
  <c r="X19"/>
  <c r="W19"/>
  <c r="W21" s="1"/>
  <c r="W23" s="1"/>
  <c r="W25" s="1"/>
  <c r="C19"/>
  <c r="AM18"/>
  <c r="AL18"/>
  <c r="AK18"/>
  <c r="AJ18"/>
  <c r="AG18" s="1"/>
  <c r="AI18"/>
  <c r="AE18"/>
  <c r="C80" s="1"/>
  <c r="AB18"/>
  <c r="AA18"/>
  <c r="Y18"/>
  <c r="X18"/>
  <c r="X29" s="1"/>
  <c r="X34" s="1"/>
  <c r="AM17"/>
  <c r="AL17"/>
  <c r="AK17"/>
  <c r="AJ17"/>
  <c r="AI17"/>
  <c r="AG17"/>
  <c r="AB17"/>
  <c r="Z17"/>
  <c r="Y17"/>
  <c r="D17"/>
  <c r="C17"/>
  <c r="AM16"/>
  <c r="AL16"/>
  <c r="AK16"/>
  <c r="AJ16"/>
  <c r="AI16"/>
  <c r="AG16"/>
  <c r="AB16"/>
  <c r="AA16"/>
  <c r="AA17" s="1"/>
  <c r="Y16"/>
  <c r="X16"/>
  <c r="X17" s="1"/>
  <c r="C16"/>
  <c r="I786" s="1"/>
  <c r="K786" s="1"/>
  <c r="AM15"/>
  <c r="AL15"/>
  <c r="AK15"/>
  <c r="AJ15"/>
  <c r="AG15" s="1"/>
  <c r="AI15"/>
  <c r="AB15"/>
  <c r="Y15"/>
  <c r="C15"/>
  <c r="AM14"/>
  <c r="AL14"/>
  <c r="AK14"/>
  <c r="AJ14"/>
  <c r="AI14"/>
  <c r="AG14"/>
  <c r="AB14"/>
  <c r="Y14"/>
  <c r="X14"/>
  <c r="C14"/>
  <c r="AM13"/>
  <c r="AL13"/>
  <c r="AK13"/>
  <c r="AJ13"/>
  <c r="AG13" s="1"/>
  <c r="AI13"/>
  <c r="AB13"/>
  <c r="Y13"/>
  <c r="C13"/>
  <c r="AM12"/>
  <c r="AL12"/>
  <c r="AK12"/>
  <c r="AJ12"/>
  <c r="AI12"/>
  <c r="AG12"/>
  <c r="AB12"/>
  <c r="Y12"/>
  <c r="X12"/>
  <c r="C12"/>
  <c r="AM11"/>
  <c r="AL11"/>
  <c r="AK11"/>
  <c r="AJ11"/>
  <c r="AG11" s="1"/>
  <c r="AI11"/>
  <c r="AE11"/>
  <c r="AB11"/>
  <c r="AA11"/>
  <c r="Z11"/>
  <c r="Y11"/>
  <c r="X11"/>
  <c r="X44" s="1"/>
  <c r="P11"/>
  <c r="R11" s="1"/>
  <c r="K11"/>
  <c r="I11"/>
  <c r="A11"/>
  <c r="A12" s="1"/>
  <c r="A13" s="1"/>
  <c r="A14" s="1"/>
  <c r="A15" s="1"/>
  <c r="A16" s="1"/>
  <c r="A17" s="1"/>
  <c r="A18" s="1"/>
  <c r="A19" s="1"/>
  <c r="A20" s="1"/>
  <c r="A21" s="1"/>
  <c r="A22" s="1"/>
  <c r="A23" s="1"/>
  <c r="A24" s="1"/>
  <c r="A25" s="1"/>
  <c r="A26" s="1"/>
  <c r="A27" s="1"/>
  <c r="A28" s="1"/>
  <c r="A29" s="1"/>
  <c r="A30" s="1"/>
  <c r="A31" s="1"/>
  <c r="A32" s="1"/>
  <c r="A33" s="1"/>
  <c r="A34" s="1"/>
  <c r="A35" s="1"/>
  <c r="A38" s="1"/>
  <c r="A39" s="1"/>
  <c r="A40" s="1"/>
  <c r="A41" s="1"/>
  <c r="A42" s="1"/>
  <c r="A43" s="1"/>
  <c r="A44" s="1"/>
  <c r="A45" s="1"/>
  <c r="A46" s="1"/>
  <c r="A47" s="1"/>
  <c r="A48" s="1"/>
  <c r="A49" s="1"/>
  <c r="A50" s="1"/>
  <c r="A51" s="1"/>
  <c r="A52" s="1"/>
  <c r="A53" s="1"/>
  <c r="A54" s="1"/>
  <c r="A55" s="1"/>
  <c r="A56" s="1"/>
  <c r="A57" s="1"/>
  <c r="A58"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2" s="1"/>
  <c r="A93" s="1"/>
  <c r="A139" s="1"/>
  <c r="A140" s="1"/>
  <c r="A141" s="1"/>
  <c r="A142" s="1"/>
  <c r="A143" s="1"/>
  <c r="A144" s="1"/>
  <c r="A145" s="1"/>
  <c r="A147" s="1"/>
  <c r="A149" s="1"/>
  <c r="A150" s="1"/>
  <c r="A194" s="1"/>
  <c r="A195" s="1"/>
  <c r="A196" s="1"/>
  <c r="A197" s="1"/>
  <c r="A198" s="1"/>
  <c r="A199" s="1"/>
  <c r="A200" s="1"/>
  <c r="A201" s="1"/>
  <c r="A202" s="1"/>
  <c r="A203" s="1"/>
  <c r="A204" s="1"/>
  <c r="A205" s="1"/>
  <c r="A206" s="1"/>
  <c r="A207" s="1"/>
  <c r="A208" s="1"/>
  <c r="AM10"/>
  <c r="AL10"/>
  <c r="AK10"/>
  <c r="AJ10"/>
  <c r="AG10" s="1"/>
  <c r="C11" s="1"/>
  <c r="AI10"/>
  <c r="AE10"/>
  <c r="C69" s="1"/>
  <c r="I298" s="1"/>
  <c r="K298" s="1"/>
  <c r="AB10"/>
  <c r="AA10"/>
  <c r="Y10"/>
  <c r="X10"/>
  <c r="W10"/>
  <c r="W11" s="1"/>
  <c r="AM9"/>
  <c r="AL9"/>
  <c r="AK9"/>
  <c r="AJ9"/>
  <c r="AI9"/>
  <c r="AG9"/>
  <c r="AE9"/>
  <c r="C68" s="1"/>
  <c r="I297" s="1"/>
  <c r="K297" s="1"/>
  <c r="AB9"/>
  <c r="AA9"/>
  <c r="Y9"/>
  <c r="X9"/>
  <c r="W3"/>
  <c r="Q3"/>
  <c r="O3"/>
  <c r="U3" s="1"/>
  <c r="J3"/>
  <c r="H3"/>
  <c r="D58" i="9"/>
  <c r="E57"/>
  <c r="E56"/>
  <c r="E55"/>
  <c r="E58" s="1"/>
  <c r="E54"/>
  <c r="E53"/>
  <c r="D50"/>
  <c r="E49"/>
  <c r="E48"/>
  <c r="E47"/>
  <c r="E46"/>
  <c r="E45"/>
  <c r="E50" s="1"/>
  <c r="P43"/>
  <c r="D43"/>
  <c r="Q42"/>
  <c r="E42"/>
  <c r="Q41"/>
  <c r="E41"/>
  <c r="Q40"/>
  <c r="E40"/>
  <c r="Q39"/>
  <c r="E39"/>
  <c r="Q38"/>
  <c r="Q43" s="1"/>
  <c r="E38"/>
  <c r="E43" s="1"/>
  <c r="J36"/>
  <c r="G36"/>
  <c r="G39" s="1"/>
  <c r="D36"/>
  <c r="B36"/>
  <c r="M35"/>
  <c r="N35" s="1"/>
  <c r="K35"/>
  <c r="H35"/>
  <c r="E35"/>
  <c r="C35"/>
  <c r="M34"/>
  <c r="N34" s="1"/>
  <c r="K34"/>
  <c r="H34"/>
  <c r="E34"/>
  <c r="C34"/>
  <c r="M33"/>
  <c r="N33" s="1"/>
  <c r="K33"/>
  <c r="H33"/>
  <c r="E33"/>
  <c r="C33"/>
  <c r="Q32"/>
  <c r="N32"/>
  <c r="K32"/>
  <c r="H32"/>
  <c r="H36" s="1"/>
  <c r="E32"/>
  <c r="E36" s="1"/>
  <c r="C32"/>
  <c r="Q31"/>
  <c r="N31"/>
  <c r="K31"/>
  <c r="K36" s="1"/>
  <c r="H31"/>
  <c r="E31"/>
  <c r="C31"/>
  <c r="C36" s="1"/>
  <c r="N25"/>
  <c r="N26" s="1"/>
  <c r="N27" s="1"/>
  <c r="N28" s="1"/>
  <c r="K25"/>
  <c r="K26" s="1"/>
  <c r="K27" s="1"/>
  <c r="K28" s="1"/>
  <c r="C25"/>
  <c r="C26" s="1"/>
  <c r="C27" s="1"/>
  <c r="C28" s="1"/>
  <c r="Q24"/>
  <c r="Q25" s="1"/>
  <c r="Q26" s="1"/>
  <c r="Q27" s="1"/>
  <c r="Q28" s="1"/>
  <c r="N24"/>
  <c r="K24"/>
  <c r="H24"/>
  <c r="H25" s="1"/>
  <c r="H26" s="1"/>
  <c r="H27" s="1"/>
  <c r="H28" s="1"/>
  <c r="E24"/>
  <c r="E25" s="1"/>
  <c r="E26" s="1"/>
  <c r="E27" s="1"/>
  <c r="E28" s="1"/>
  <c r="C24"/>
  <c r="F21"/>
  <c r="F20"/>
  <c r="V19"/>
  <c r="I19"/>
  <c r="F19"/>
  <c r="V18"/>
  <c r="I18"/>
  <c r="F18"/>
  <c r="V17"/>
  <c r="V20" s="1"/>
  <c r="F17"/>
  <c r="V16"/>
  <c r="W14"/>
  <c r="V14"/>
  <c r="R13"/>
  <c r="U12"/>
  <c r="O12"/>
  <c r="L12"/>
  <c r="R11"/>
  <c r="I11"/>
  <c r="Q10"/>
  <c r="R10" s="1"/>
  <c r="N10"/>
  <c r="F10"/>
  <c r="R4"/>
  <c r="R12" s="1"/>
  <c r="I4"/>
  <c r="I10" s="1"/>
  <c r="F4"/>
  <c r="F16" s="1"/>
  <c r="R3"/>
  <c r="O3"/>
  <c r="O4" s="1"/>
  <c r="L3"/>
  <c r="L4" s="1"/>
  <c r="I3"/>
  <c r="F3"/>
  <c r="F12" s="1"/>
  <c r="D3"/>
  <c r="D4" s="1"/>
  <c r="I3460" i="10" l="1"/>
  <c r="I2995"/>
  <c r="K2995" s="1"/>
  <c r="K2998" s="1"/>
  <c r="I1996"/>
  <c r="I1709"/>
  <c r="K1709" s="1"/>
  <c r="I1493"/>
  <c r="K1493" s="1"/>
  <c r="I2792"/>
  <c r="K2792" s="1"/>
  <c r="L2758" s="1"/>
  <c r="I2336"/>
  <c r="K2336" s="1"/>
  <c r="I1975"/>
  <c r="I1382"/>
  <c r="K1382" s="1"/>
  <c r="I1339"/>
  <c r="K1339" s="1"/>
  <c r="I2429"/>
  <c r="I1229"/>
  <c r="K1229" s="1"/>
  <c r="I1225"/>
  <c r="P82"/>
  <c r="R82" s="1"/>
  <c r="P67"/>
  <c r="R67" s="1"/>
  <c r="P1147"/>
  <c r="V647"/>
  <c r="I491"/>
  <c r="K491" s="1"/>
  <c r="I449"/>
  <c r="K449" s="1"/>
  <c r="I415"/>
  <c r="K415" s="1"/>
  <c r="I384"/>
  <c r="I360"/>
  <c r="I214"/>
  <c r="K214" s="1"/>
  <c r="I1259"/>
  <c r="I812"/>
  <c r="I508"/>
  <c r="P379"/>
  <c r="R379" s="1"/>
  <c r="I340"/>
  <c r="P287"/>
  <c r="R287" s="1"/>
  <c r="P52"/>
  <c r="R52" s="1"/>
  <c r="I2080"/>
  <c r="K2080" s="1"/>
  <c r="I1254"/>
  <c r="V712"/>
  <c r="I301"/>
  <c r="K301" s="1"/>
  <c r="I199"/>
  <c r="I1360"/>
  <c r="K1360" s="1"/>
  <c r="P393"/>
  <c r="R393" s="1"/>
  <c r="I275"/>
  <c r="K275" s="1"/>
  <c r="I316"/>
  <c r="I229"/>
  <c r="I2056"/>
  <c r="K2056" s="1"/>
  <c r="I1971"/>
  <c r="I1752"/>
  <c r="K1752" s="1"/>
  <c r="I2147"/>
  <c r="I2127"/>
  <c r="K2127" s="1"/>
  <c r="I1782"/>
  <c r="K1782" s="1"/>
  <c r="P470"/>
  <c r="R470" s="1"/>
  <c r="P452"/>
  <c r="R452" s="1"/>
  <c r="I81"/>
  <c r="K81" s="1"/>
  <c r="P578"/>
  <c r="R578" s="1"/>
  <c r="I112"/>
  <c r="K112" s="1"/>
  <c r="P654"/>
  <c r="R654" s="1"/>
  <c r="K138"/>
  <c r="P642"/>
  <c r="R642" s="1"/>
  <c r="P624"/>
  <c r="R624" s="1"/>
  <c r="P433"/>
  <c r="I82"/>
  <c r="K135"/>
  <c r="K136" s="1"/>
  <c r="C82"/>
  <c r="I1323" s="1"/>
  <c r="K1323" s="1"/>
  <c r="I227"/>
  <c r="K227" s="1"/>
  <c r="C168"/>
  <c r="I1355"/>
  <c r="K1355" s="1"/>
  <c r="I1377"/>
  <c r="K1377" s="1"/>
  <c r="I3151"/>
  <c r="I2668"/>
  <c r="P3296"/>
  <c r="I1133"/>
  <c r="K1133" s="1"/>
  <c r="I1058"/>
  <c r="P215"/>
  <c r="R215" s="1"/>
  <c r="AH414"/>
  <c r="W405"/>
  <c r="J689"/>
  <c r="J690" s="1"/>
  <c r="J691" s="1"/>
  <c r="J692" s="1"/>
  <c r="J709"/>
  <c r="J710" s="1"/>
  <c r="J711" s="1"/>
  <c r="J712" s="1"/>
  <c r="AH451"/>
  <c r="W437"/>
  <c r="W438" s="1"/>
  <c r="W439" s="1"/>
  <c r="W440" s="1"/>
  <c r="AS165"/>
  <c r="AS63"/>
  <c r="AU63" s="1"/>
  <c r="AS109"/>
  <c r="AU109" s="1"/>
  <c r="AS134"/>
  <c r="AU134" s="1"/>
  <c r="AS87"/>
  <c r="AU87" s="1"/>
  <c r="I1806"/>
  <c r="K1806" s="1"/>
  <c r="I1824"/>
  <c r="K1824" s="1"/>
  <c r="I2735"/>
  <c r="K2735" s="1"/>
  <c r="I1842"/>
  <c r="P580"/>
  <c r="R580" s="1"/>
  <c r="V2783"/>
  <c r="V2784" s="1"/>
  <c r="X2784" s="1"/>
  <c r="I2244"/>
  <c r="K2244" s="1"/>
  <c r="P945"/>
  <c r="P1048"/>
  <c r="P752"/>
  <c r="R752" s="1"/>
  <c r="R761" s="1"/>
  <c r="R763" s="1"/>
  <c r="P736"/>
  <c r="R736" s="1"/>
  <c r="P721"/>
  <c r="R721" s="1"/>
  <c r="I2817"/>
  <c r="I3284"/>
  <c r="P3261"/>
  <c r="R3261" s="1"/>
  <c r="C92"/>
  <c r="I97"/>
  <c r="K97" s="1"/>
  <c r="I96"/>
  <c r="K96" s="1"/>
  <c r="I126"/>
  <c r="K126" s="1"/>
  <c r="K129" s="1"/>
  <c r="K131" s="1"/>
  <c r="K132" s="1"/>
  <c r="S1184"/>
  <c r="S1160"/>
  <c r="AL1199"/>
  <c r="J592"/>
  <c r="J661"/>
  <c r="W488" s="1"/>
  <c r="J561"/>
  <c r="W564" s="1"/>
  <c r="AE563" s="1"/>
  <c r="AL563" s="1"/>
  <c r="J537"/>
  <c r="W540" s="1"/>
  <c r="AE539" s="1"/>
  <c r="AL539" s="1"/>
  <c r="J630"/>
  <c r="J614"/>
  <c r="V592" s="1"/>
  <c r="AE1199"/>
  <c r="AL1201"/>
  <c r="J618"/>
  <c r="V596" s="1"/>
  <c r="AE44"/>
  <c r="AD1333" s="1"/>
  <c r="AE1333" s="1"/>
  <c r="A267"/>
  <c r="A268" s="1"/>
  <c r="A269" s="1"/>
  <c r="A270" s="1"/>
  <c r="A271" s="1"/>
  <c r="A272" s="1"/>
  <c r="A273" s="1"/>
  <c r="A274" s="1"/>
  <c r="A275" s="1"/>
  <c r="A276" s="1"/>
  <c r="A277" s="1"/>
  <c r="A278" s="1"/>
  <c r="A279" s="1"/>
  <c r="A280" s="1"/>
  <c r="A281" s="1"/>
  <c r="A282" s="1"/>
  <c r="A284" s="1"/>
  <c r="A285" s="1"/>
  <c r="A286" s="1"/>
  <c r="A287" s="1"/>
  <c r="A288" s="1"/>
  <c r="A289" s="1"/>
  <c r="A290" s="1"/>
  <c r="A291" s="1"/>
  <c r="A292" s="1"/>
  <c r="A293" s="1"/>
  <c r="A294" s="1"/>
  <c r="A295" s="1"/>
  <c r="A296" s="1"/>
  <c r="A297" s="1"/>
  <c r="A298" s="1"/>
  <c r="A299" s="1"/>
  <c r="A300" s="1"/>
  <c r="A301" s="1"/>
  <c r="A302" s="1"/>
  <c r="A303" s="1"/>
  <c r="A304" s="1"/>
  <c r="A305" s="1"/>
  <c r="A306" s="1"/>
  <c r="A307" s="1"/>
  <c r="A308" s="1"/>
  <c r="A309" s="1"/>
  <c r="A310" s="1"/>
  <c r="A311" s="1"/>
  <c r="A312" s="1"/>
  <c r="A313" s="1"/>
  <c r="A314" s="1"/>
  <c r="A315" s="1"/>
  <c r="A316" s="1"/>
  <c r="A317" s="1"/>
  <c r="A318" s="1"/>
  <c r="A319" s="1"/>
  <c r="A320" s="1"/>
  <c r="A321" s="1"/>
  <c r="A322" s="1"/>
  <c r="A323" s="1"/>
  <c r="A324" s="1"/>
  <c r="A325" s="1"/>
  <c r="A326" s="1"/>
  <c r="A327" s="1"/>
  <c r="A328" s="1"/>
  <c r="A329" s="1"/>
  <c r="A334" s="1"/>
  <c r="A335" s="1"/>
  <c r="A336" s="1"/>
  <c r="A337" s="1"/>
  <c r="A338" s="1"/>
  <c r="A339" s="1"/>
  <c r="A340" s="1"/>
  <c r="A341" s="1"/>
  <c r="A342" s="1"/>
  <c r="A343" s="1"/>
  <c r="A344" s="1"/>
  <c r="A345" s="1"/>
  <c r="A346" s="1"/>
  <c r="A347" s="1"/>
  <c r="A348" s="1"/>
  <c r="A349" s="1"/>
  <c r="A350" s="1"/>
  <c r="A351" s="1"/>
  <c r="A352" s="1"/>
  <c r="A353" s="1"/>
  <c r="A354" s="1"/>
  <c r="A355" s="1"/>
  <c r="A356" s="1"/>
  <c r="A357" s="1"/>
  <c r="A358" s="1"/>
  <c r="A359" s="1"/>
  <c r="A360" s="1"/>
  <c r="A361" s="1"/>
  <c r="A362" s="1"/>
  <c r="A363" s="1"/>
  <c r="A364" s="1"/>
  <c r="A365" s="1"/>
  <c r="A366" s="1"/>
  <c r="A367" s="1"/>
  <c r="A368" s="1"/>
  <c r="A369" s="1"/>
  <c r="A370" s="1"/>
  <c r="A371" s="1"/>
  <c r="A372" s="1"/>
  <c r="A373" s="1"/>
  <c r="A374" s="1"/>
  <c r="A375" s="1"/>
  <c r="A376" s="1"/>
  <c r="A377" s="1"/>
  <c r="A378" s="1"/>
  <c r="A379" s="1"/>
  <c r="A380" s="1"/>
  <c r="A381" s="1"/>
  <c r="A382" s="1"/>
  <c r="A383" s="1"/>
  <c r="A384" s="1"/>
  <c r="A385" s="1"/>
  <c r="A386" s="1"/>
  <c r="A387" s="1"/>
  <c r="A388" s="1"/>
  <c r="A389" s="1"/>
  <c r="A390" s="1"/>
  <c r="A391" s="1"/>
  <c r="A392" s="1"/>
  <c r="A393" s="1"/>
  <c r="A394" s="1"/>
  <c r="A395" s="1"/>
  <c r="A396" s="1"/>
  <c r="A397" s="1"/>
  <c r="A398" s="1"/>
  <c r="A399" s="1"/>
  <c r="A400" s="1"/>
  <c r="A401" s="1"/>
  <c r="A402" s="1"/>
  <c r="A403" s="1"/>
  <c r="A404" s="1"/>
  <c r="A405" s="1"/>
  <c r="A406" s="1"/>
  <c r="A407" s="1"/>
  <c r="A408" s="1"/>
  <c r="A409" s="1"/>
  <c r="A410" s="1"/>
  <c r="A411" s="1"/>
  <c r="A412" s="1"/>
  <c r="A413" s="1"/>
  <c r="A414" s="1"/>
  <c r="A415" s="1"/>
  <c r="A416" s="1"/>
  <c r="A417" s="1"/>
  <c r="A418" s="1"/>
  <c r="A419" s="1"/>
  <c r="A420" s="1"/>
  <c r="A421" s="1"/>
  <c r="A422" s="1"/>
  <c r="A423" s="1"/>
  <c r="A425" s="1"/>
  <c r="A426" s="1"/>
  <c r="A427" s="1"/>
  <c r="A428" s="1"/>
  <c r="A429" s="1"/>
  <c r="A430" s="1"/>
  <c r="A431" s="1"/>
  <c r="A432" s="1"/>
  <c r="A433" s="1"/>
  <c r="A434" s="1"/>
  <c r="A435" s="1"/>
  <c r="A436" s="1"/>
  <c r="A437" s="1"/>
  <c r="A438" s="1"/>
  <c r="A439" s="1"/>
  <c r="A441" s="1"/>
  <c r="A442" s="1"/>
  <c r="A443" s="1"/>
  <c r="A444" s="1"/>
  <c r="A445" s="1"/>
  <c r="A446" s="1"/>
  <c r="A447" s="1"/>
  <c r="A448" s="1"/>
  <c r="A449" s="1"/>
  <c r="A450" s="1"/>
  <c r="A451" s="1"/>
  <c r="A452" s="1"/>
  <c r="A453" s="1"/>
  <c r="A454" s="1"/>
  <c r="A455" s="1"/>
  <c r="A456" s="1"/>
  <c r="A457" s="1"/>
  <c r="A458" s="1"/>
  <c r="A459" s="1"/>
  <c r="A460" s="1"/>
  <c r="A461" s="1"/>
  <c r="A462" s="1"/>
  <c r="A463" s="1"/>
  <c r="A464" s="1"/>
  <c r="A465" s="1"/>
  <c r="A466" s="1"/>
  <c r="A467" s="1"/>
  <c r="A468" s="1"/>
  <c r="A469" s="1"/>
  <c r="A470" s="1"/>
  <c r="A471" s="1"/>
  <c r="A472" s="1"/>
  <c r="A473" s="1"/>
  <c r="A481" s="1"/>
  <c r="A482" s="1"/>
  <c r="A483" s="1"/>
  <c r="A484" s="1"/>
  <c r="A485" s="1"/>
  <c r="A486" s="1"/>
  <c r="A487" s="1"/>
  <c r="A488" s="1"/>
  <c r="A489" s="1"/>
  <c r="A490" s="1"/>
  <c r="A491" s="1"/>
  <c r="A492" s="1"/>
  <c r="A493" s="1"/>
  <c r="A494" s="1"/>
  <c r="A495" s="1"/>
  <c r="A496" s="1"/>
  <c r="A497" s="1"/>
  <c r="A498" s="1"/>
  <c r="A499" s="1"/>
  <c r="A501" s="1"/>
  <c r="A502" s="1"/>
  <c r="A503" s="1"/>
  <c r="A504" s="1"/>
  <c r="A505" s="1"/>
  <c r="A506" s="1"/>
  <c r="A507" s="1"/>
  <c r="A508" s="1"/>
  <c r="A509" s="1"/>
  <c r="A510" s="1"/>
  <c r="A511" s="1"/>
  <c r="A512" s="1"/>
  <c r="A513" s="1"/>
  <c r="A514" s="1"/>
  <c r="A515" s="1"/>
  <c r="A516" s="1"/>
  <c r="A517" s="1"/>
  <c r="A518" s="1"/>
  <c r="A519" s="1"/>
  <c r="A520" s="1"/>
  <c r="A521" s="1"/>
  <c r="A522" s="1"/>
  <c r="A523" s="1"/>
  <c r="A524" s="1"/>
  <c r="A525" s="1"/>
  <c r="A526" s="1"/>
  <c r="A527" s="1"/>
  <c r="A528" s="1"/>
  <c r="A529" s="1"/>
  <c r="A530" s="1"/>
  <c r="A531" s="1"/>
  <c r="A532" s="1"/>
  <c r="A533" s="1"/>
  <c r="A534" s="1"/>
  <c r="A535" s="1"/>
  <c r="A536" s="1"/>
  <c r="A537" s="1"/>
  <c r="A538" s="1"/>
  <c r="A539" s="1"/>
  <c r="A540" s="1"/>
  <c r="A541" s="1"/>
  <c r="A550" s="1"/>
  <c r="A551" s="1"/>
  <c r="A552" s="1"/>
  <c r="A553" s="1"/>
  <c r="A554" s="1"/>
  <c r="A555" s="1"/>
  <c r="A556" s="1"/>
  <c r="A557" s="1"/>
  <c r="A558" s="1"/>
  <c r="A559" s="1"/>
  <c r="A560" s="1"/>
  <c r="A561" s="1"/>
  <c r="A562" s="1"/>
  <c r="A563" s="1"/>
  <c r="A564" s="1"/>
  <c r="A566" s="1"/>
  <c r="A574" s="1"/>
  <c r="A575" s="1"/>
  <c r="A576" s="1"/>
  <c r="A577" s="1"/>
  <c r="A578" s="1"/>
  <c r="A579" s="1"/>
  <c r="A580" s="1"/>
  <c r="A581" s="1"/>
  <c r="A582" s="1"/>
  <c r="A583" s="1"/>
  <c r="A584" s="1"/>
  <c r="A585" s="1"/>
  <c r="A586" s="1"/>
  <c r="A587" s="1"/>
  <c r="A588" s="1"/>
  <c r="A589" s="1"/>
  <c r="A590" s="1"/>
  <c r="A591" s="1"/>
  <c r="A592" s="1"/>
  <c r="A593" s="1"/>
  <c r="A594" s="1"/>
  <c r="A595" s="1"/>
  <c r="A597" s="1"/>
  <c r="A598" s="1"/>
  <c r="A599" s="1"/>
  <c r="A600" s="1"/>
  <c r="A601" s="1"/>
  <c r="A602" s="1"/>
  <c r="A603" s="1"/>
  <c r="A604" s="1"/>
  <c r="A605" s="1"/>
  <c r="A606" s="1"/>
  <c r="A607" s="1"/>
  <c r="A608" s="1"/>
  <c r="A609" s="1"/>
  <c r="A610" s="1"/>
  <c r="A612" s="1"/>
  <c r="A613" s="1"/>
  <c r="A614" s="1"/>
  <c r="A615" s="1"/>
  <c r="A616" s="1"/>
  <c r="A617" s="1"/>
  <c r="A618" s="1"/>
  <c r="A619" s="1"/>
  <c r="A620" s="1"/>
  <c r="A621" s="1"/>
  <c r="A622" s="1"/>
  <c r="A623" s="1"/>
  <c r="A624" s="1"/>
  <c r="A625" s="1"/>
  <c r="A626" s="1"/>
  <c r="A627" s="1"/>
  <c r="A628" s="1"/>
  <c r="A629" s="1"/>
  <c r="A630" s="1"/>
  <c r="A631" s="1"/>
  <c r="A632" s="1"/>
  <c r="A633" s="1"/>
  <c r="A634" s="1"/>
  <c r="A635" s="1"/>
  <c r="A636" s="1"/>
  <c r="A637" s="1"/>
  <c r="A638" s="1"/>
  <c r="A640" s="1"/>
  <c r="A641" s="1"/>
  <c r="A642" s="1"/>
  <c r="A643" s="1"/>
  <c r="A644" s="1"/>
  <c r="A645" s="1"/>
  <c r="A646" s="1"/>
  <c r="A647" s="1"/>
  <c r="A648" s="1"/>
  <c r="A649" s="1"/>
  <c r="A650" s="1"/>
  <c r="A651" s="1"/>
  <c r="A652" s="1"/>
  <c r="A653" s="1"/>
  <c r="A654" s="1"/>
  <c r="A655" s="1"/>
  <c r="A656" s="1"/>
  <c r="A657" s="1"/>
  <c r="A658" s="1"/>
  <c r="A659" s="1"/>
  <c r="A660" s="1"/>
  <c r="A661" s="1"/>
  <c r="A662" s="1"/>
  <c r="A663" s="1"/>
  <c r="A664" s="1"/>
  <c r="A665" s="1"/>
  <c r="A674" s="1"/>
  <c r="A675" s="1"/>
  <c r="A676" s="1"/>
  <c r="A677" s="1"/>
  <c r="A678" s="1"/>
  <c r="A679" s="1"/>
  <c r="A680" s="1"/>
  <c r="A681" s="1"/>
  <c r="A682" s="1"/>
  <c r="A683" s="1"/>
  <c r="A684" s="1"/>
  <c r="A685" s="1"/>
  <c r="A686" s="1"/>
  <c r="A687" s="1"/>
  <c r="A688" s="1"/>
  <c r="A689" s="1"/>
  <c r="A690" s="1"/>
  <c r="A691" s="1"/>
  <c r="A692" s="1"/>
  <c r="A693" s="1"/>
  <c r="A694" s="1"/>
  <c r="A695" s="1"/>
  <c r="A696" s="1"/>
  <c r="A697" s="1"/>
  <c r="A698" s="1"/>
  <c r="A699" s="1"/>
  <c r="A700" s="1"/>
  <c r="A701" s="1"/>
  <c r="A702" s="1"/>
  <c r="A703" s="1"/>
  <c r="A704" s="1"/>
  <c r="A705" s="1"/>
  <c r="A707" s="1"/>
  <c r="A708" s="1"/>
  <c r="A709" s="1"/>
  <c r="A710" s="1"/>
  <c r="A711" s="1"/>
  <c r="A712" s="1"/>
  <c r="A713" s="1"/>
  <c r="A714" s="1"/>
  <c r="A715" s="1"/>
  <c r="A716" s="1"/>
  <c r="A717" s="1"/>
  <c r="A718" s="1"/>
  <c r="A719" s="1"/>
  <c r="A720" s="1"/>
  <c r="A721" s="1"/>
  <c r="A722" s="1"/>
  <c r="A723" s="1"/>
  <c r="A724" s="1"/>
  <c r="A725" s="1"/>
  <c r="A726" s="1"/>
  <c r="A727" s="1"/>
  <c r="A728" s="1"/>
  <c r="A729" s="1"/>
  <c r="A730" s="1"/>
  <c r="A731" s="1"/>
  <c r="A732" s="1"/>
  <c r="A733" s="1"/>
  <c r="A734" s="1"/>
  <c r="A735" s="1"/>
  <c r="A736" s="1"/>
  <c r="A737" s="1"/>
  <c r="A738" s="1"/>
  <c r="A739" s="1"/>
  <c r="A740" s="1"/>
  <c r="A741" s="1"/>
  <c r="A742" s="1"/>
  <c r="A743" s="1"/>
  <c r="A744" s="1"/>
  <c r="A745" s="1"/>
  <c r="A746" s="1"/>
  <c r="A747" s="1"/>
  <c r="A748" s="1"/>
  <c r="A749" s="1"/>
  <c r="A750" s="1"/>
  <c r="A751" s="1"/>
  <c r="A752" s="1"/>
  <c r="A753" s="1"/>
  <c r="A754" s="1"/>
  <c r="A755" s="1"/>
  <c r="A756" s="1"/>
  <c r="A757" s="1"/>
  <c r="A758" s="1"/>
  <c r="A759" s="1"/>
  <c r="A760" s="1"/>
  <c r="A761" s="1"/>
  <c r="A762" s="1"/>
  <c r="A763" s="1"/>
  <c r="A764" s="1"/>
  <c r="A765" s="1"/>
  <c r="A767" s="1"/>
  <c r="A768" s="1"/>
  <c r="A769" s="1"/>
  <c r="A770" s="1"/>
  <c r="A771" s="1"/>
  <c r="A772" s="1"/>
  <c r="A773" s="1"/>
  <c r="A774" s="1"/>
  <c r="A775" s="1"/>
  <c r="A776" s="1"/>
  <c r="A777" s="1"/>
  <c r="A778" s="1"/>
  <c r="A779" s="1"/>
  <c r="A780" s="1"/>
  <c r="A781" s="1"/>
  <c r="A782" s="1"/>
  <c r="A783" s="1"/>
  <c r="A784" s="1"/>
  <c r="A785" s="1"/>
  <c r="A209"/>
  <c r="A210" s="1"/>
  <c r="W12"/>
  <c r="W43"/>
  <c r="W44" s="1"/>
  <c r="W35"/>
  <c r="I357"/>
  <c r="K357" s="1"/>
  <c r="I412"/>
  <c r="I381"/>
  <c r="I313"/>
  <c r="K313" s="1"/>
  <c r="I337"/>
  <c r="K337" s="1"/>
  <c r="I1846"/>
  <c r="I1828"/>
  <c r="K1828" s="1"/>
  <c r="I1912"/>
  <c r="K1912" s="1"/>
  <c r="I1810"/>
  <c r="K1810" s="1"/>
  <c r="P523"/>
  <c r="R523" s="1"/>
  <c r="P505"/>
  <c r="R505" s="1"/>
  <c r="P551"/>
  <c r="R551" s="1"/>
  <c r="I609"/>
  <c r="K609" s="1"/>
  <c r="I2739"/>
  <c r="K2739" s="1"/>
  <c r="I3390"/>
  <c r="I3480" s="1"/>
  <c r="K3480" s="1"/>
  <c r="I953"/>
  <c r="K953" s="1"/>
  <c r="I1088"/>
  <c r="K1088" s="1"/>
  <c r="I1056"/>
  <c r="I1104"/>
  <c r="I1018"/>
  <c r="K1018" s="1"/>
  <c r="I988"/>
  <c r="K988" s="1"/>
  <c r="I930"/>
  <c r="K930" s="1"/>
  <c r="P213"/>
  <c r="R213" s="1"/>
  <c r="I1073"/>
  <c r="K1073" s="1"/>
  <c r="I1130"/>
  <c r="K1130" s="1"/>
  <c r="I3463"/>
  <c r="P1381"/>
  <c r="R1381" s="1"/>
  <c r="I2298"/>
  <c r="C67"/>
  <c r="I3627"/>
  <c r="K3627" s="1"/>
  <c r="D32"/>
  <c r="I1106" s="1"/>
  <c r="K1106" s="1"/>
  <c r="I3750"/>
  <c r="I3255"/>
  <c r="K3255" s="1"/>
  <c r="P1377"/>
  <c r="R1377" s="1"/>
  <c r="V1336"/>
  <c r="X1336" s="1"/>
  <c r="D11"/>
  <c r="Z46"/>
  <c r="AE17"/>
  <c r="P3724"/>
  <c r="R3724" s="1"/>
  <c r="I3707"/>
  <c r="K3707" s="1"/>
  <c r="I3770"/>
  <c r="K3770" s="1"/>
  <c r="I1492"/>
  <c r="K1492" s="1"/>
  <c r="K1498" s="1"/>
  <c r="K1500" s="1"/>
  <c r="P378"/>
  <c r="R378" s="1"/>
  <c r="P392"/>
  <c r="R392" s="1"/>
  <c r="I2664"/>
  <c r="I2815"/>
  <c r="I3320"/>
  <c r="K3320" s="1"/>
  <c r="P3190"/>
  <c r="I3148"/>
  <c r="I2635"/>
  <c r="C88"/>
  <c r="I1131"/>
  <c r="K1131" s="1"/>
  <c r="I929"/>
  <c r="K929" s="1"/>
  <c r="K932" s="1"/>
  <c r="I922"/>
  <c r="K922" s="1"/>
  <c r="I2867"/>
  <c r="K2867" s="1"/>
  <c r="I1787"/>
  <c r="K1787" s="1"/>
  <c r="I2686"/>
  <c r="K2686" s="1"/>
  <c r="I2166"/>
  <c r="K2166" s="1"/>
  <c r="K2169" s="1"/>
  <c r="K2171" s="1"/>
  <c r="I2153"/>
  <c r="I2179"/>
  <c r="K2179" s="1"/>
  <c r="I2133"/>
  <c r="K2133" s="1"/>
  <c r="I1577"/>
  <c r="I1605"/>
  <c r="I1774"/>
  <c r="K1774" s="1"/>
  <c r="V81"/>
  <c r="M96"/>
  <c r="V381"/>
  <c r="V337"/>
  <c r="X337" s="1"/>
  <c r="V357"/>
  <c r="X357" s="1"/>
  <c r="P79"/>
  <c r="R79" s="1"/>
  <c r="V313"/>
  <c r="X313" s="1"/>
  <c r="E3854"/>
  <c r="J3850"/>
  <c r="I3461"/>
  <c r="J3047"/>
  <c r="K3047" s="1"/>
  <c r="I2996"/>
  <c r="K2996" s="1"/>
  <c r="I2688"/>
  <c r="K2688" s="1"/>
  <c r="I2430"/>
  <c r="I2371"/>
  <c r="I2324"/>
  <c r="K2324" s="1"/>
  <c r="I2180"/>
  <c r="K2180" s="1"/>
  <c r="I2154"/>
  <c r="I2134"/>
  <c r="K2134" s="1"/>
  <c r="I2109"/>
  <c r="K2109" s="1"/>
  <c r="I1997"/>
  <c r="I1946"/>
  <c r="I1848"/>
  <c r="I1482"/>
  <c r="K1482" s="1"/>
  <c r="I1469"/>
  <c r="K1469" s="1"/>
  <c r="I2351"/>
  <c r="P2339"/>
  <c r="R2339" s="1"/>
  <c r="I2081"/>
  <c r="K2081" s="1"/>
  <c r="I1976"/>
  <c r="I1914"/>
  <c r="K1914" s="1"/>
  <c r="I1830"/>
  <c r="K1830" s="1"/>
  <c r="I1521"/>
  <c r="K1521" s="1"/>
  <c r="I1457"/>
  <c r="K1457" s="1"/>
  <c r="I1422"/>
  <c r="K1422" s="1"/>
  <c r="I2715"/>
  <c r="I2167"/>
  <c r="K2167" s="1"/>
  <c r="I2057"/>
  <c r="K2057" s="1"/>
  <c r="I1649"/>
  <c r="I1396"/>
  <c r="K1396" s="1"/>
  <c r="I1383"/>
  <c r="K1383" s="1"/>
  <c r="I1255"/>
  <c r="I1164"/>
  <c r="K1164" s="1"/>
  <c r="I1409"/>
  <c r="K1409" s="1"/>
  <c r="I1340"/>
  <c r="K1340" s="1"/>
  <c r="I1326"/>
  <c r="K1326" s="1"/>
  <c r="I1308"/>
  <c r="I1230"/>
  <c r="K1230" s="1"/>
  <c r="I1226"/>
  <c r="P893"/>
  <c r="R893" s="1"/>
  <c r="I886"/>
  <c r="I813"/>
  <c r="I2401"/>
  <c r="P1525"/>
  <c r="R1525" s="1"/>
  <c r="I1361"/>
  <c r="K1361" s="1"/>
  <c r="I787"/>
  <c r="K787" s="1"/>
  <c r="I765"/>
  <c r="K765" s="1"/>
  <c r="V713"/>
  <c r="I654"/>
  <c r="K654" s="1"/>
  <c r="V648"/>
  <c r="I624"/>
  <c r="K624" s="1"/>
  <c r="I416"/>
  <c r="K416" s="1"/>
  <c r="P340"/>
  <c r="R340" s="1"/>
  <c r="P323"/>
  <c r="R323" s="1"/>
  <c r="P311"/>
  <c r="R311" s="1"/>
  <c r="P288"/>
  <c r="R288" s="1"/>
  <c r="I2793"/>
  <c r="K2793" s="1"/>
  <c r="L2759" s="1"/>
  <c r="I1812"/>
  <c r="K1812" s="1"/>
  <c r="I1494"/>
  <c r="K1494" s="1"/>
  <c r="I868"/>
  <c r="I554"/>
  <c r="K554" s="1"/>
  <c r="P553"/>
  <c r="R553" s="1"/>
  <c r="I530"/>
  <c r="K530" s="1"/>
  <c r="P525"/>
  <c r="R525" s="1"/>
  <c r="I509"/>
  <c r="V481"/>
  <c r="P394"/>
  <c r="R394" s="1"/>
  <c r="P366"/>
  <c r="R366" s="1"/>
  <c r="I341"/>
  <c r="I302"/>
  <c r="K302" s="1"/>
  <c r="P300"/>
  <c r="R300" s="1"/>
  <c r="I230"/>
  <c r="I200"/>
  <c r="I2337"/>
  <c r="K2337" s="1"/>
  <c r="I2033"/>
  <c r="I1710"/>
  <c r="K1710" s="1"/>
  <c r="I1509"/>
  <c r="I1437"/>
  <c r="K1437" s="1"/>
  <c r="P1362"/>
  <c r="R1362" s="1"/>
  <c r="R1365" s="1"/>
  <c r="R1367" s="1"/>
  <c r="I1275"/>
  <c r="I1204"/>
  <c r="K1204" s="1"/>
  <c r="P1148"/>
  <c r="I729"/>
  <c r="K729" s="1"/>
  <c r="I492"/>
  <c r="K492" s="1"/>
  <c r="I450"/>
  <c r="K450" s="1"/>
  <c r="I276"/>
  <c r="K276" s="1"/>
  <c r="P83"/>
  <c r="R83" s="1"/>
  <c r="I1151"/>
  <c r="K1151" s="1"/>
  <c r="P507"/>
  <c r="R507" s="1"/>
  <c r="P352"/>
  <c r="R352" s="1"/>
  <c r="I317"/>
  <c r="I902"/>
  <c r="K902" s="1"/>
  <c r="V533"/>
  <c r="I215"/>
  <c r="K215" s="1"/>
  <c r="I586"/>
  <c r="I385"/>
  <c r="I361"/>
  <c r="P68"/>
  <c r="R68" s="1"/>
  <c r="I3462"/>
  <c r="I2701"/>
  <c r="K2701" s="1"/>
  <c r="I2689"/>
  <c r="K2689" s="1"/>
  <c r="I2387"/>
  <c r="K2387" s="1"/>
  <c r="I2155"/>
  <c r="I2110"/>
  <c r="K2110" s="1"/>
  <c r="I1813"/>
  <c r="K1813" s="1"/>
  <c r="I1711"/>
  <c r="K1711" s="1"/>
  <c r="I1510"/>
  <c r="I2716"/>
  <c r="I1438"/>
  <c r="K1438" s="1"/>
  <c r="I1397"/>
  <c r="K1397" s="1"/>
  <c r="I1849"/>
  <c r="I1495"/>
  <c r="K1495" s="1"/>
  <c r="I1410"/>
  <c r="K1410" s="1"/>
  <c r="I1362"/>
  <c r="K1362" s="1"/>
  <c r="I1341"/>
  <c r="K1341" s="1"/>
  <c r="I1256"/>
  <c r="I1231"/>
  <c r="K1231" s="1"/>
  <c r="I1205"/>
  <c r="K1205" s="1"/>
  <c r="I888"/>
  <c r="I2742"/>
  <c r="K2742" s="1"/>
  <c r="I2135"/>
  <c r="K2135" s="1"/>
  <c r="I1227"/>
  <c r="I904"/>
  <c r="K904" s="1"/>
  <c r="I870"/>
  <c r="I814"/>
  <c r="I2030"/>
  <c r="I1327"/>
  <c r="K1327" s="1"/>
  <c r="I1261"/>
  <c r="P1149"/>
  <c r="I510"/>
  <c r="I493"/>
  <c r="K493" s="1"/>
  <c r="P368"/>
  <c r="R368" s="1"/>
  <c r="P353"/>
  <c r="R353" s="1"/>
  <c r="I342"/>
  <c r="P301"/>
  <c r="R301" s="1"/>
  <c r="P289"/>
  <c r="R289" s="1"/>
  <c r="I277"/>
  <c r="K277" s="1"/>
  <c r="I201"/>
  <c r="P84"/>
  <c r="R84" s="1"/>
  <c r="I2011"/>
  <c r="I1522"/>
  <c r="K1522" s="1"/>
  <c r="I1237"/>
  <c r="K1237" s="1"/>
  <c r="P508"/>
  <c r="R508" s="1"/>
  <c r="I451"/>
  <c r="K451" s="1"/>
  <c r="I362"/>
  <c r="P312"/>
  <c r="R312" s="1"/>
  <c r="I216"/>
  <c r="K216" s="1"/>
  <c r="I2431"/>
  <c r="V714"/>
  <c r="I417"/>
  <c r="K417" s="1"/>
  <c r="P395"/>
  <c r="R395" s="1"/>
  <c r="I1423"/>
  <c r="K1423" s="1"/>
  <c r="V649"/>
  <c r="I386"/>
  <c r="P341"/>
  <c r="R341" s="1"/>
  <c r="P324"/>
  <c r="R324" s="1"/>
  <c r="I318"/>
  <c r="I303"/>
  <c r="K303" s="1"/>
  <c r="I231"/>
  <c r="I1309"/>
  <c r="I1831"/>
  <c r="K1831" s="1"/>
  <c r="P1526"/>
  <c r="R1526" s="1"/>
  <c r="P526"/>
  <c r="R526" s="1"/>
  <c r="I3123"/>
  <c r="I2411"/>
  <c r="K2411" s="1"/>
  <c r="I2108"/>
  <c r="K2108" s="1"/>
  <c r="I2055"/>
  <c r="K2055" s="1"/>
  <c r="I1995"/>
  <c r="I2013"/>
  <c r="I1974"/>
  <c r="I1633"/>
  <c r="I2079"/>
  <c r="K2079" s="1"/>
  <c r="I2032"/>
  <c r="I2029"/>
  <c r="I2010"/>
  <c r="I1945"/>
  <c r="J3046"/>
  <c r="K3046" s="1"/>
  <c r="K3048" s="1"/>
  <c r="X83"/>
  <c r="V113"/>
  <c r="X113" s="1"/>
  <c r="V3118"/>
  <c r="D31"/>
  <c r="I2837"/>
  <c r="I3541"/>
  <c r="AK70"/>
  <c r="AJ70"/>
  <c r="AG70" s="1"/>
  <c r="C665" s="1"/>
  <c r="AL70"/>
  <c r="AI70"/>
  <c r="I1911"/>
  <c r="K1911" s="1"/>
  <c r="I1827"/>
  <c r="K1827" s="1"/>
  <c r="AE1206"/>
  <c r="AL1205"/>
  <c r="AF1362"/>
  <c r="AD1379"/>
  <c r="I3997"/>
  <c r="V1412"/>
  <c r="X1396"/>
  <c r="P1469"/>
  <c r="R1452"/>
  <c r="AA37"/>
  <c r="AE37" s="1"/>
  <c r="I244" s="1"/>
  <c r="K244" s="1"/>
  <c r="AA36"/>
  <c r="AE36" s="1"/>
  <c r="I245" s="1"/>
  <c r="K245" s="1"/>
  <c r="AA35"/>
  <c r="AE35" s="1"/>
  <c r="I256" s="1"/>
  <c r="K256" s="1"/>
  <c r="I3708"/>
  <c r="K3708" s="1"/>
  <c r="V3673"/>
  <c r="I3797"/>
  <c r="I3771"/>
  <c r="K3771" s="1"/>
  <c r="I3751"/>
  <c r="K3751" s="1"/>
  <c r="AH3108"/>
  <c r="I3725"/>
  <c r="I3344"/>
  <c r="K3344" s="1"/>
  <c r="P2362"/>
  <c r="R2362" s="1"/>
  <c r="P1550"/>
  <c r="R1550" s="1"/>
  <c r="V1338"/>
  <c r="P3517"/>
  <c r="P1379"/>
  <c r="R1379" s="1"/>
  <c r="I2369"/>
  <c r="K2369" s="1"/>
  <c r="P2375"/>
  <c r="R2375" s="1"/>
  <c r="C66"/>
  <c r="I3798"/>
  <c r="K3798" s="1"/>
  <c r="V3674"/>
  <c r="P1551"/>
  <c r="R1551" s="1"/>
  <c r="D16"/>
  <c r="I74"/>
  <c r="K74" s="1"/>
  <c r="I55"/>
  <c r="K55" s="1"/>
  <c r="I158"/>
  <c r="K158" s="1"/>
  <c r="I20"/>
  <c r="K20" s="1"/>
  <c r="I2128"/>
  <c r="K2128" s="1"/>
  <c r="I2148"/>
  <c r="I1972"/>
  <c r="I1759"/>
  <c r="K1759" s="1"/>
  <c r="I178"/>
  <c r="K178" s="1"/>
  <c r="P579"/>
  <c r="R579" s="1"/>
  <c r="P471"/>
  <c r="R471" s="1"/>
  <c r="P143"/>
  <c r="I83"/>
  <c r="I484"/>
  <c r="K484" s="1"/>
  <c r="P434"/>
  <c r="I170"/>
  <c r="K170" s="1"/>
  <c r="I3007"/>
  <c r="K3007" s="1"/>
  <c r="P153"/>
  <c r="R153" s="1"/>
  <c r="R156" s="1"/>
  <c r="I3285"/>
  <c r="I2638"/>
  <c r="I2683"/>
  <c r="I747"/>
  <c r="I745"/>
  <c r="P484"/>
  <c r="R484" s="1"/>
  <c r="P541"/>
  <c r="R541" s="1"/>
  <c r="AL1200"/>
  <c r="J631"/>
  <c r="J632" s="1"/>
  <c r="J633" s="1"/>
  <c r="J634" s="1"/>
  <c r="J616"/>
  <c r="V594" s="1"/>
  <c r="J600"/>
  <c r="J594"/>
  <c r="J562"/>
  <c r="T1184"/>
  <c r="J662"/>
  <c r="J663" s="1"/>
  <c r="J664" s="1"/>
  <c r="J601"/>
  <c r="J596"/>
  <c r="T1160"/>
  <c r="J593"/>
  <c r="J598"/>
  <c r="J597"/>
  <c r="J617"/>
  <c r="V595" s="1"/>
  <c r="J538"/>
  <c r="J539" s="1"/>
  <c r="J540" s="1"/>
  <c r="V881"/>
  <c r="K881"/>
  <c r="I897"/>
  <c r="K897" s="1"/>
  <c r="P1119"/>
  <c r="R1119" s="1"/>
  <c r="R1098"/>
  <c r="X1413"/>
  <c r="AD1411"/>
  <c r="V1425"/>
  <c r="X1425" s="1"/>
  <c r="R1431"/>
  <c r="P1447"/>
  <c r="W42"/>
  <c r="C10"/>
  <c r="AA12"/>
  <c r="AE19"/>
  <c r="I29"/>
  <c r="K29" s="1"/>
  <c r="AI43"/>
  <c r="P54"/>
  <c r="R54" s="1"/>
  <c r="K412"/>
  <c r="P503"/>
  <c r="R503" s="1"/>
  <c r="J615"/>
  <c r="V593" s="1"/>
  <c r="K732"/>
  <c r="K734" s="1"/>
  <c r="K803" s="1"/>
  <c r="I1650"/>
  <c r="I2014"/>
  <c r="K2182"/>
  <c r="K2184" s="1"/>
  <c r="K2186" s="1"/>
  <c r="C70"/>
  <c r="V644"/>
  <c r="I2777"/>
  <c r="K2777" s="1"/>
  <c r="I2714"/>
  <c r="K2714" s="1"/>
  <c r="I1537"/>
  <c r="K1537" s="1"/>
  <c r="I1520"/>
  <c r="K1520" s="1"/>
  <c r="I2720"/>
  <c r="K2720" s="1"/>
  <c r="P1524"/>
  <c r="R1524" s="1"/>
  <c r="I1149"/>
  <c r="K1149" s="1"/>
  <c r="K1154" s="1"/>
  <c r="K1156" s="1"/>
  <c r="I1508"/>
  <c r="I1550"/>
  <c r="K1550" s="1"/>
  <c r="I1163"/>
  <c r="K1163" s="1"/>
  <c r="K1167" s="1"/>
  <c r="K1169" s="1"/>
  <c r="I1535"/>
  <c r="K1535" s="1"/>
  <c r="K1540" s="1"/>
  <c r="K1542" s="1"/>
  <c r="I2350"/>
  <c r="K2350" s="1"/>
  <c r="P892"/>
  <c r="R892" s="1"/>
  <c r="R895" s="1"/>
  <c r="R897" s="1"/>
  <c r="P796"/>
  <c r="R796" s="1"/>
  <c r="I2370"/>
  <c r="I764"/>
  <c r="K764" s="1"/>
  <c r="I728"/>
  <c r="K728" s="1"/>
  <c r="P2338"/>
  <c r="R2338" s="1"/>
  <c r="I2323"/>
  <c r="K2323" s="1"/>
  <c r="K2325" s="1"/>
  <c r="K2326" s="1"/>
  <c r="I2331" s="1"/>
  <c r="K2331" s="1"/>
  <c r="K2332" s="1"/>
  <c r="K2333" s="1"/>
  <c r="K517"/>
  <c r="K285"/>
  <c r="V717"/>
  <c r="I821"/>
  <c r="K821" s="1"/>
  <c r="I2245"/>
  <c r="K2245" s="1"/>
  <c r="P947"/>
  <c r="R947" s="1"/>
  <c r="I3737"/>
  <c r="K3737" s="1"/>
  <c r="P2411"/>
  <c r="R2411" s="1"/>
  <c r="R2416" s="1"/>
  <c r="R2418" s="1"/>
  <c r="P1304"/>
  <c r="I3343"/>
  <c r="I3769"/>
  <c r="K3769" s="1"/>
  <c r="K3774" s="1"/>
  <c r="K3776" s="1"/>
  <c r="V3672"/>
  <c r="I3796"/>
  <c r="K3796" s="1"/>
  <c r="I3706"/>
  <c r="K3706" s="1"/>
  <c r="I3724"/>
  <c r="K3724" s="1"/>
  <c r="P1549"/>
  <c r="R1549" s="1"/>
  <c r="R1554" s="1"/>
  <c r="P1543" s="1"/>
  <c r="R1543" s="1"/>
  <c r="AH3107"/>
  <c r="P1404"/>
  <c r="AH450"/>
  <c r="W436"/>
  <c r="J688"/>
  <c r="K688" s="1"/>
  <c r="I689" s="1"/>
  <c r="K689" s="1"/>
  <c r="I690" s="1"/>
  <c r="K690" s="1"/>
  <c r="I691" s="1"/>
  <c r="K691" s="1"/>
  <c r="I692" s="1"/>
  <c r="K692" s="1"/>
  <c r="W404"/>
  <c r="J708"/>
  <c r="I1324"/>
  <c r="K1324" s="1"/>
  <c r="P9"/>
  <c r="R9" s="1"/>
  <c r="I1021"/>
  <c r="P754"/>
  <c r="R754" s="1"/>
  <c r="P738"/>
  <c r="R738" s="1"/>
  <c r="I956"/>
  <c r="P723"/>
  <c r="R723" s="1"/>
  <c r="K2666"/>
  <c r="I3104"/>
  <c r="P2673"/>
  <c r="I3006"/>
  <c r="K3006" s="1"/>
  <c r="C143"/>
  <c r="I246"/>
  <c r="K246" s="1"/>
  <c r="AG390"/>
  <c r="AG426" s="1"/>
  <c r="AI426" s="1"/>
  <c r="AG313"/>
  <c r="AI313" s="1"/>
  <c r="AG337"/>
  <c r="AI337" s="1"/>
  <c r="AG366"/>
  <c r="AI366" s="1"/>
  <c r="P442"/>
  <c r="R442" s="1"/>
  <c r="P504"/>
  <c r="R504" s="1"/>
  <c r="I3525"/>
  <c r="I2869"/>
  <c r="I3672"/>
  <c r="D679"/>
  <c r="P1117"/>
  <c r="R1117" s="1"/>
  <c r="P1400"/>
  <c r="R1096"/>
  <c r="P3516"/>
  <c r="R3516" s="1"/>
  <c r="P2361"/>
  <c r="R2361" s="1"/>
  <c r="P1378"/>
  <c r="R1378" s="1"/>
  <c r="V1337"/>
  <c r="I2300"/>
  <c r="I3726"/>
  <c r="P3518"/>
  <c r="R3518" s="1"/>
  <c r="I3752"/>
  <c r="K3752" s="1"/>
  <c r="I3345"/>
  <c r="K3345" s="1"/>
  <c r="P2413"/>
  <c r="R2413" s="1"/>
  <c r="V1339"/>
  <c r="P1380"/>
  <c r="R1380" s="1"/>
  <c r="P1305"/>
  <c r="R1305" s="1"/>
  <c r="P2412"/>
  <c r="R2412" s="1"/>
  <c r="D14"/>
  <c r="I3321"/>
  <c r="K3321" s="1"/>
  <c r="P3191"/>
  <c r="I3149"/>
  <c r="I2816"/>
  <c r="I2636"/>
  <c r="I2665"/>
  <c r="AA33"/>
  <c r="AE33" s="1"/>
  <c r="AE32"/>
  <c r="C141" s="1"/>
  <c r="I3174"/>
  <c r="P1308"/>
  <c r="R1308" s="1"/>
  <c r="P485"/>
  <c r="R485" s="1"/>
  <c r="P550"/>
  <c r="R550" s="1"/>
  <c r="K2063"/>
  <c r="K2065" s="1"/>
  <c r="AI390"/>
  <c r="X13"/>
  <c r="X15"/>
  <c r="AE16"/>
  <c r="P23"/>
  <c r="P25"/>
  <c r="R25" s="1"/>
  <c r="C35"/>
  <c r="X36"/>
  <c r="X37" s="1"/>
  <c r="AM43"/>
  <c r="AA44"/>
  <c r="P53"/>
  <c r="R53" s="1"/>
  <c r="P69"/>
  <c r="R69" s="1"/>
  <c r="P380"/>
  <c r="R380" s="1"/>
  <c r="AH413"/>
  <c r="AT402" s="1"/>
  <c r="P554"/>
  <c r="R554" s="1"/>
  <c r="J595"/>
  <c r="J599"/>
  <c r="AL1204"/>
  <c r="I1260"/>
  <c r="I1384"/>
  <c r="K1384" s="1"/>
  <c r="K3214"/>
  <c r="AG830"/>
  <c r="AH686"/>
  <c r="AH688" s="1"/>
  <c r="P1057"/>
  <c r="R1057" s="1"/>
  <c r="R955"/>
  <c r="K1078"/>
  <c r="I1093"/>
  <c r="K1093" s="1"/>
  <c r="AF1372"/>
  <c r="AD1389"/>
  <c r="AF1389" s="1"/>
  <c r="V1404"/>
  <c r="X1388"/>
  <c r="R1414"/>
  <c r="V1375"/>
  <c r="P1449"/>
  <c r="R1433"/>
  <c r="P2649"/>
  <c r="R2649" s="1"/>
  <c r="V2610"/>
  <c r="K2642"/>
  <c r="C664"/>
  <c r="R800"/>
  <c r="R802" s="1"/>
  <c r="R1436"/>
  <c r="I900"/>
  <c r="K900" s="1"/>
  <c r="V884"/>
  <c r="AD1377"/>
  <c r="AF1360"/>
  <c r="P1411"/>
  <c r="V1355"/>
  <c r="R1394"/>
  <c r="I2488"/>
  <c r="I2540"/>
  <c r="K2469"/>
  <c r="P2860"/>
  <c r="R2860" s="1"/>
  <c r="R2827"/>
  <c r="K706"/>
  <c r="I708" s="1"/>
  <c r="K708" s="1"/>
  <c r="I709" s="1"/>
  <c r="K709" s="1"/>
  <c r="I710" s="1"/>
  <c r="K710" s="1"/>
  <c r="I711" s="1"/>
  <c r="K711" s="1"/>
  <c r="I712" s="1"/>
  <c r="K712" s="1"/>
  <c r="K606"/>
  <c r="V584"/>
  <c r="X584" s="1"/>
  <c r="P2435"/>
  <c r="K2428"/>
  <c r="K961"/>
  <c r="P954"/>
  <c r="R954" s="1"/>
  <c r="I2840"/>
  <c r="K994"/>
  <c r="I1028"/>
  <c r="K998"/>
  <c r="I3105"/>
  <c r="AG1066"/>
  <c r="AI1066" s="1"/>
  <c r="P1050"/>
  <c r="R1050" s="1"/>
  <c r="P991"/>
  <c r="R991" s="1"/>
  <c r="K1057"/>
  <c r="AF1358"/>
  <c r="AD1375"/>
  <c r="AD1378"/>
  <c r="AF1361"/>
  <c r="I3245"/>
  <c r="K3245" s="1"/>
  <c r="K3200"/>
  <c r="P3330"/>
  <c r="R3229"/>
  <c r="V681"/>
  <c r="AF650"/>
  <c r="AH650" s="1"/>
  <c r="X650"/>
  <c r="I2838"/>
  <c r="K992"/>
  <c r="P1120"/>
  <c r="R1120" s="1"/>
  <c r="R1099"/>
  <c r="I3994"/>
  <c r="AF1357"/>
  <c r="AD1374"/>
  <c r="V1390"/>
  <c r="X1373"/>
  <c r="P1445"/>
  <c r="R1429"/>
  <c r="I2509"/>
  <c r="K2487"/>
  <c r="P3370"/>
  <c r="R3370" s="1"/>
  <c r="R3301"/>
  <c r="P3404"/>
  <c r="R3404" s="1"/>
  <c r="P3398"/>
  <c r="R3398" s="1"/>
  <c r="R3364"/>
  <c r="K3524"/>
  <c r="F3525"/>
  <c r="M3544"/>
  <c r="M3545"/>
  <c r="AG1196"/>
  <c r="K1526"/>
  <c r="K1528" s="1"/>
  <c r="I2574"/>
  <c r="K2780"/>
  <c r="K381"/>
  <c r="M565"/>
  <c r="P1224"/>
  <c r="P1448"/>
  <c r="K1809"/>
  <c r="V899"/>
  <c r="X899" s="1"/>
  <c r="X883"/>
  <c r="P1121"/>
  <c r="R1121" s="1"/>
  <c r="R1100"/>
  <c r="AG1070"/>
  <c r="AI1070" s="1"/>
  <c r="P1054"/>
  <c r="R1054" s="1"/>
  <c r="AG1072"/>
  <c r="AI1072" s="1"/>
  <c r="K1063"/>
  <c r="P1056"/>
  <c r="R1056" s="1"/>
  <c r="V1410"/>
  <c r="X1394"/>
  <c r="P1430"/>
  <c r="R1413"/>
  <c r="V1374"/>
  <c r="R1415"/>
  <c r="V1376"/>
  <c r="P1451"/>
  <c r="R1435"/>
  <c r="P2647"/>
  <c r="R2647" s="1"/>
  <c r="K2640"/>
  <c r="V2608"/>
  <c r="K3326"/>
  <c r="I3395"/>
  <c r="I3329"/>
  <c r="R3269"/>
  <c r="AL46"/>
  <c r="AK69"/>
  <c r="P1072"/>
  <c r="R1072" s="1"/>
  <c r="P1382"/>
  <c r="R1382" s="1"/>
  <c r="I1576"/>
  <c r="K1576" s="1"/>
  <c r="I1616"/>
  <c r="K1616" s="1"/>
  <c r="I2316"/>
  <c r="K2316" s="1"/>
  <c r="AI2619"/>
  <c r="P2337"/>
  <c r="R2337" s="1"/>
  <c r="R2340" s="1"/>
  <c r="R2341" s="1"/>
  <c r="I1589"/>
  <c r="I2842"/>
  <c r="K996"/>
  <c r="AD1352"/>
  <c r="X1354"/>
  <c r="I3993"/>
  <c r="AF1356"/>
  <c r="AD1373"/>
  <c r="V1414"/>
  <c r="X1398"/>
  <c r="P2651"/>
  <c r="R2651" s="1"/>
  <c r="V2612"/>
  <c r="I3110"/>
  <c r="P2679"/>
  <c r="K2672"/>
  <c r="I4074"/>
  <c r="K4074" s="1"/>
  <c r="X3124"/>
  <c r="V3141"/>
  <c r="V3123"/>
  <c r="R3162"/>
  <c r="P3163"/>
  <c r="K3156"/>
  <c r="I3355"/>
  <c r="K3355" s="1"/>
  <c r="K3368"/>
  <c r="P3531"/>
  <c r="R3531" s="1"/>
  <c r="K3527"/>
  <c r="I3543"/>
  <c r="K3964"/>
  <c r="I3981"/>
  <c r="K3981" s="1"/>
  <c r="AI46"/>
  <c r="P460"/>
  <c r="R460" s="1"/>
  <c r="I2977"/>
  <c r="P1453"/>
  <c r="R1437"/>
  <c r="K3198"/>
  <c r="I3243"/>
  <c r="K3243" s="1"/>
  <c r="I2765"/>
  <c r="K1872"/>
  <c r="I1925"/>
  <c r="K1925" s="1"/>
  <c r="K1924"/>
  <c r="P2026"/>
  <c r="R2026" s="1"/>
  <c r="K2026"/>
  <c r="M2583"/>
  <c r="O2583" s="1"/>
  <c r="O2585" s="1"/>
  <c r="O2586" s="1"/>
  <c r="P2577"/>
  <c r="R2577" s="1"/>
  <c r="K2576"/>
  <c r="P3195"/>
  <c r="R3195" s="1"/>
  <c r="P2646"/>
  <c r="R2646" s="1"/>
  <c r="V2607"/>
  <c r="K2639"/>
  <c r="P3445"/>
  <c r="R3445" s="1"/>
  <c r="P3332"/>
  <c r="R3332" s="1"/>
  <c r="P3298"/>
  <c r="P3265"/>
  <c r="V3544"/>
  <c r="K3544"/>
  <c r="AG3544"/>
  <c r="P3548"/>
  <c r="R3548" s="1"/>
  <c r="S3540"/>
  <c r="X3540" s="1"/>
  <c r="S3541"/>
  <c r="P1052"/>
  <c r="R1052" s="1"/>
  <c r="P1055"/>
  <c r="R1055" s="1"/>
  <c r="P1443"/>
  <c r="R1529"/>
  <c r="R1531" s="1"/>
  <c r="K1684"/>
  <c r="K1699"/>
  <c r="P2062"/>
  <c r="P2063" s="1"/>
  <c r="K3170"/>
  <c r="I2975"/>
  <c r="K2839"/>
  <c r="I2979"/>
  <c r="K2843"/>
  <c r="I3227"/>
  <c r="K3227" s="1"/>
  <c r="K3212"/>
  <c r="P1632"/>
  <c r="R1632" s="1"/>
  <c r="K1630"/>
  <c r="P1988"/>
  <c r="R1988" s="1"/>
  <c r="K1988"/>
  <c r="I2315"/>
  <c r="K2315" s="1"/>
  <c r="K2320" s="1"/>
  <c r="P2299"/>
  <c r="R2299" s="1"/>
  <c r="H3856"/>
  <c r="K2611"/>
  <c r="K3057"/>
  <c r="P3160"/>
  <c r="K3153"/>
  <c r="R3233"/>
  <c r="P3334"/>
  <c r="R3334" s="1"/>
  <c r="P3447"/>
  <c r="R3447" s="1"/>
  <c r="P3300"/>
  <c r="K3432"/>
  <c r="I3610"/>
  <c r="V3685"/>
  <c r="AG3654"/>
  <c r="AI3654" s="1"/>
  <c r="X3655"/>
  <c r="AG1071"/>
  <c r="AI1071" s="1"/>
  <c r="K1553"/>
  <c r="K1555" s="1"/>
  <c r="I3492" s="1"/>
  <c r="K3492" s="1"/>
  <c r="K2087"/>
  <c r="K2089" s="1"/>
  <c r="K2473"/>
  <c r="K2475" s="1"/>
  <c r="P2512"/>
  <c r="M2516" s="1"/>
  <c r="E2762"/>
  <c r="K2817"/>
  <c r="S2785"/>
  <c r="X2785" s="1"/>
  <c r="I3109"/>
  <c r="P2678"/>
  <c r="P3405"/>
  <c r="P3371"/>
  <c r="R3371" s="1"/>
  <c r="R3302"/>
  <c r="K3959"/>
  <c r="I3976"/>
  <c r="K3976" s="1"/>
  <c r="AG2619"/>
  <c r="K3739"/>
  <c r="K3740" s="1"/>
  <c r="I4040"/>
  <c r="K4040" s="1"/>
  <c r="K2641"/>
  <c r="V2609"/>
  <c r="P3444"/>
  <c r="R3444" s="1"/>
  <c r="I3526"/>
  <c r="P3297"/>
  <c r="P3331"/>
  <c r="R3331" s="1"/>
  <c r="P3264"/>
  <c r="R3230"/>
  <c r="P3448"/>
  <c r="R3448" s="1"/>
  <c r="P3335"/>
  <c r="R3335" s="1"/>
  <c r="I3396"/>
  <c r="K3327"/>
  <c r="R3528"/>
  <c r="V3556"/>
  <c r="K4026"/>
  <c r="I4039"/>
  <c r="K4039" s="1"/>
  <c r="X2789"/>
  <c r="X2791"/>
  <c r="P3270"/>
  <c r="R3544"/>
  <c r="K3587"/>
  <c r="K3588" s="1"/>
  <c r="P3533"/>
  <c r="R3533" s="1"/>
  <c r="K3529"/>
  <c r="I3545"/>
  <c r="H3878"/>
  <c r="H3894" s="1"/>
  <c r="J3894" s="1"/>
  <c r="J3857"/>
  <c r="P3402"/>
  <c r="R3402" s="1"/>
  <c r="I3547"/>
  <c r="K3694"/>
  <c r="S3521"/>
  <c r="S3520"/>
  <c r="X3520" s="1"/>
  <c r="K3942"/>
  <c r="I3958"/>
  <c r="AI3556"/>
  <c r="G3901"/>
  <c r="G3902" s="1"/>
  <c r="P3532"/>
  <c r="R3532" s="1"/>
  <c r="AI3540"/>
  <c r="F14" i="9"/>
  <c r="D5"/>
  <c r="D6" s="1"/>
  <c r="F15"/>
  <c r="O10"/>
  <c r="O5"/>
  <c r="O6" s="1"/>
  <c r="L5"/>
  <c r="L6" s="1"/>
  <c r="L11"/>
  <c r="N36"/>
  <c r="M36"/>
  <c r="I5"/>
  <c r="I6" s="1"/>
  <c r="F11"/>
  <c r="P33"/>
  <c r="P34"/>
  <c r="Q34" s="1"/>
  <c r="P35"/>
  <c r="Q35" s="1"/>
  <c r="F13"/>
  <c r="F5"/>
  <c r="F6" s="1"/>
  <c r="R5"/>
  <c r="R6" s="1"/>
  <c r="I3549" i="10" l="1"/>
  <c r="I3111"/>
  <c r="I2673"/>
  <c r="I2874"/>
  <c r="K2874" s="1"/>
  <c r="I3493"/>
  <c r="K3493" s="1"/>
  <c r="I1138"/>
  <c r="K2374"/>
  <c r="K2376" s="1"/>
  <c r="I3481"/>
  <c r="K3481" s="1"/>
  <c r="P2824"/>
  <c r="I3106"/>
  <c r="K2668"/>
  <c r="P2675"/>
  <c r="L82"/>
  <c r="K82"/>
  <c r="V806"/>
  <c r="K812"/>
  <c r="X647"/>
  <c r="AF647"/>
  <c r="AH647" s="1"/>
  <c r="K1225"/>
  <c r="P1220"/>
  <c r="V3572"/>
  <c r="X3556"/>
  <c r="AA2607"/>
  <c r="X2609"/>
  <c r="AG2623"/>
  <c r="AI2623" s="1"/>
  <c r="M2077"/>
  <c r="R2063"/>
  <c r="AA2610"/>
  <c r="X2612"/>
  <c r="AG2660"/>
  <c r="AI2660" s="1"/>
  <c r="AG2626"/>
  <c r="AI2626" s="1"/>
  <c r="I3989"/>
  <c r="AF1352"/>
  <c r="AD1369"/>
  <c r="AG2622"/>
  <c r="AI2622" s="1"/>
  <c r="X2608"/>
  <c r="AA2606"/>
  <c r="P3365"/>
  <c r="R3365" s="1"/>
  <c r="R3330"/>
  <c r="I2510"/>
  <c r="K2488"/>
  <c r="K2492" s="1"/>
  <c r="K2494" s="1"/>
  <c r="AD1335"/>
  <c r="AE1335" s="1"/>
  <c r="X1337"/>
  <c r="K3672"/>
  <c r="I3693"/>
  <c r="K3693" s="1"/>
  <c r="P3194"/>
  <c r="I2819"/>
  <c r="P949"/>
  <c r="R949" s="1"/>
  <c r="K956"/>
  <c r="AS3107"/>
  <c r="AU3107" s="1"/>
  <c r="AJ3107"/>
  <c r="I3171"/>
  <c r="K1508"/>
  <c r="K1513" s="1"/>
  <c r="K1515" s="1"/>
  <c r="C167"/>
  <c r="C81"/>
  <c r="I3811"/>
  <c r="K3811" s="1"/>
  <c r="K3797"/>
  <c r="K3801" s="1"/>
  <c r="I3791" s="1"/>
  <c r="P3794" s="1"/>
  <c r="R3794" s="1"/>
  <c r="R3796" s="1"/>
  <c r="R3797" s="1"/>
  <c r="K3997"/>
  <c r="P1542"/>
  <c r="R1542" s="1"/>
  <c r="I2973"/>
  <c r="K2837"/>
  <c r="P2029"/>
  <c r="R2029" s="1"/>
  <c r="K2029"/>
  <c r="K1974"/>
  <c r="P1974"/>
  <c r="R1974" s="1"/>
  <c r="K342"/>
  <c r="V342"/>
  <c r="P2030"/>
  <c r="R2030" s="1"/>
  <c r="K2030"/>
  <c r="P1179"/>
  <c r="R1179" s="1"/>
  <c r="R1148"/>
  <c r="AF648"/>
  <c r="AH648" s="1"/>
  <c r="X648"/>
  <c r="V807"/>
  <c r="K813"/>
  <c r="I2721"/>
  <c r="K2721" s="1"/>
  <c r="K2725" s="1"/>
  <c r="K2727" s="1"/>
  <c r="K2715"/>
  <c r="P2377"/>
  <c r="R2377" s="1"/>
  <c r="K2371"/>
  <c r="P1606"/>
  <c r="R1606" s="1"/>
  <c r="K1605"/>
  <c r="I1617"/>
  <c r="P2160"/>
  <c r="R2160" s="1"/>
  <c r="K2153"/>
  <c r="I1647"/>
  <c r="I1578"/>
  <c r="K1578" s="1"/>
  <c r="I1591"/>
  <c r="K1591" s="1"/>
  <c r="I1563"/>
  <c r="K1563" s="1"/>
  <c r="I1306"/>
  <c r="K1306" s="1"/>
  <c r="I1257"/>
  <c r="I2129"/>
  <c r="K2129" s="1"/>
  <c r="I1286"/>
  <c r="K1286" s="1"/>
  <c r="I810"/>
  <c r="I53"/>
  <c r="K53" s="1"/>
  <c r="I2427"/>
  <c r="I63"/>
  <c r="K63" s="1"/>
  <c r="I1228"/>
  <c r="I506"/>
  <c r="I2149"/>
  <c r="I273"/>
  <c r="K273" s="1"/>
  <c r="I72"/>
  <c r="K72" s="1"/>
  <c r="I27"/>
  <c r="K27" s="1"/>
  <c r="I35"/>
  <c r="K35" s="1"/>
  <c r="I18"/>
  <c r="K18" s="1"/>
  <c r="I44"/>
  <c r="K44" s="1"/>
  <c r="I9"/>
  <c r="K3284"/>
  <c r="V3252"/>
  <c r="X3252" s="1"/>
  <c r="AX109"/>
  <c r="AW109"/>
  <c r="AT403"/>
  <c r="AT404" s="1"/>
  <c r="AT405" s="1"/>
  <c r="AT406" s="1"/>
  <c r="AT407" s="1"/>
  <c r="AT408" s="1"/>
  <c r="AH415"/>
  <c r="AH416" s="1"/>
  <c r="AH417" s="1"/>
  <c r="AH418" s="1"/>
  <c r="AH419" s="1"/>
  <c r="AH420" s="1"/>
  <c r="AH421" s="1"/>
  <c r="AH422" s="1"/>
  <c r="AH423" s="1"/>
  <c r="AH424" s="1"/>
  <c r="P3399"/>
  <c r="R3399" s="1"/>
  <c r="R3296"/>
  <c r="K1971"/>
  <c r="P1971"/>
  <c r="R1971" s="1"/>
  <c r="I2902"/>
  <c r="K2902" s="1"/>
  <c r="K508"/>
  <c r="K360"/>
  <c r="V360"/>
  <c r="R3264"/>
  <c r="I3324"/>
  <c r="P2083"/>
  <c r="R2083" s="1"/>
  <c r="K3109"/>
  <c r="I3631"/>
  <c r="K3631" s="1"/>
  <c r="K3610"/>
  <c r="AI3544"/>
  <c r="AG3560"/>
  <c r="P3367"/>
  <c r="R3367" s="1"/>
  <c r="P3401"/>
  <c r="R3401" s="1"/>
  <c r="R3298"/>
  <c r="AG2621"/>
  <c r="AI2621" s="1"/>
  <c r="AA2605"/>
  <c r="X2607"/>
  <c r="L3209"/>
  <c r="P2984"/>
  <c r="R2984" s="1"/>
  <c r="I3062"/>
  <c r="K2977"/>
  <c r="R3163"/>
  <c r="V3122"/>
  <c r="K3110"/>
  <c r="P2084"/>
  <c r="R2084" s="1"/>
  <c r="X1414"/>
  <c r="AD1412"/>
  <c r="I1604"/>
  <c r="K1604" s="1"/>
  <c r="K1589"/>
  <c r="V1391"/>
  <c r="X1374"/>
  <c r="AD1408"/>
  <c r="X1410"/>
  <c r="P1465"/>
  <c r="R1448"/>
  <c r="K2574"/>
  <c r="I2609"/>
  <c r="P2575"/>
  <c r="R2575" s="1"/>
  <c r="I4010"/>
  <c r="K3994"/>
  <c r="K2838"/>
  <c r="I2974"/>
  <c r="P2079"/>
  <c r="R2079" s="1"/>
  <c r="K3105"/>
  <c r="K2840"/>
  <c r="I2976"/>
  <c r="I3749"/>
  <c r="R2435"/>
  <c r="I2575"/>
  <c r="K2540"/>
  <c r="K2544" s="1"/>
  <c r="K2547" s="1"/>
  <c r="K2550" s="1"/>
  <c r="R1411"/>
  <c r="V1372"/>
  <c r="P1428"/>
  <c r="P1466"/>
  <c r="R1449"/>
  <c r="X1404"/>
  <c r="AD1402"/>
  <c r="I1754"/>
  <c r="K1754" s="1"/>
  <c r="I186"/>
  <c r="K186" s="1"/>
  <c r="K191" s="1"/>
  <c r="I156"/>
  <c r="K156" s="1"/>
  <c r="P2672"/>
  <c r="K2665"/>
  <c r="I3103"/>
  <c r="P3224"/>
  <c r="P3260"/>
  <c r="R3260" s="1"/>
  <c r="R3191"/>
  <c r="P3294"/>
  <c r="P2300"/>
  <c r="R2300" s="1"/>
  <c r="K2300"/>
  <c r="P1095"/>
  <c r="K1021"/>
  <c r="P1421"/>
  <c r="V1365"/>
  <c r="R1404"/>
  <c r="I3369"/>
  <c r="K3343"/>
  <c r="K3348" s="1"/>
  <c r="K3350" s="1"/>
  <c r="AF1411"/>
  <c r="AD1428"/>
  <c r="AF1428" s="1"/>
  <c r="I3425"/>
  <c r="K3425" s="1"/>
  <c r="K2638"/>
  <c r="V2606"/>
  <c r="P2645"/>
  <c r="R2645" s="1"/>
  <c r="R143"/>
  <c r="R146" s="1"/>
  <c r="P128"/>
  <c r="R128" s="1"/>
  <c r="R131" s="1"/>
  <c r="I1773"/>
  <c r="K1773" s="1"/>
  <c r="I1181"/>
  <c r="I788"/>
  <c r="K788" s="1"/>
  <c r="I766"/>
  <c r="K766" s="1"/>
  <c r="R3517"/>
  <c r="R3520" s="1"/>
  <c r="R3521" s="1"/>
  <c r="I3508" s="1"/>
  <c r="K3508" s="1"/>
  <c r="P3509"/>
  <c r="R3509" s="1"/>
  <c r="R3511" s="1"/>
  <c r="R3512" s="1"/>
  <c r="AD1410"/>
  <c r="X1412"/>
  <c r="P3545"/>
  <c r="R3545" s="1"/>
  <c r="K3541"/>
  <c r="AG3541"/>
  <c r="V3541"/>
  <c r="P2011"/>
  <c r="R2011" s="1"/>
  <c r="K2010"/>
  <c r="P1635"/>
  <c r="R1635" s="1"/>
  <c r="R1639" s="1"/>
  <c r="K1633"/>
  <c r="K231"/>
  <c r="P237"/>
  <c r="R237" s="1"/>
  <c r="V888"/>
  <c r="K888"/>
  <c r="P1865"/>
  <c r="K1849"/>
  <c r="I3173"/>
  <c r="K1510"/>
  <c r="P2162"/>
  <c r="R2162" s="1"/>
  <c r="K2155"/>
  <c r="I3467"/>
  <c r="P3468"/>
  <c r="R3468" s="1"/>
  <c r="I3829"/>
  <c r="K3829" s="1"/>
  <c r="K3462"/>
  <c r="K586"/>
  <c r="V586"/>
  <c r="X586" s="1"/>
  <c r="V317"/>
  <c r="K317"/>
  <c r="P2033"/>
  <c r="R2033" s="1"/>
  <c r="K2033"/>
  <c r="I2413"/>
  <c r="K2413" s="1"/>
  <c r="K2401"/>
  <c r="K1226"/>
  <c r="P1221"/>
  <c r="P3293"/>
  <c r="R3190"/>
  <c r="P3259"/>
  <c r="R3259" s="1"/>
  <c r="P3223"/>
  <c r="I3810"/>
  <c r="K3810" s="1"/>
  <c r="K3750"/>
  <c r="P3469"/>
  <c r="R3469" s="1"/>
  <c r="I3830"/>
  <c r="K3830" s="1"/>
  <c r="K3463"/>
  <c r="P1092"/>
  <c r="AG1065"/>
  <c r="AI1065" s="1"/>
  <c r="P990"/>
  <c r="R990" s="1"/>
  <c r="P1067"/>
  <c r="R1067" s="1"/>
  <c r="K1056"/>
  <c r="P1862"/>
  <c r="K1846"/>
  <c r="W36"/>
  <c r="W13"/>
  <c r="AW134"/>
  <c r="AX134" s="1"/>
  <c r="W406"/>
  <c r="W407"/>
  <c r="W408" s="1"/>
  <c r="V316"/>
  <c r="K316"/>
  <c r="P199"/>
  <c r="P167"/>
  <c r="R167" s="1"/>
  <c r="K199"/>
  <c r="P2436"/>
  <c r="R2436" s="1"/>
  <c r="K2429"/>
  <c r="I2338"/>
  <c r="K2338" s="1"/>
  <c r="K2339" s="1"/>
  <c r="K2340" s="1"/>
  <c r="I2344" s="1"/>
  <c r="K1996"/>
  <c r="P1996"/>
  <c r="R1996" s="1"/>
  <c r="R384"/>
  <c r="R386" s="1"/>
  <c r="P415" s="1"/>
  <c r="R415" s="1"/>
  <c r="R590"/>
  <c r="R592" s="1"/>
  <c r="L2761"/>
  <c r="K2795" s="1"/>
  <c r="K1637"/>
  <c r="K1640" s="1"/>
  <c r="K3008"/>
  <c r="K3710"/>
  <c r="K3711" s="1"/>
  <c r="K261"/>
  <c r="K263" s="1"/>
  <c r="R398"/>
  <c r="R400" s="1"/>
  <c r="R745"/>
  <c r="R747" s="1"/>
  <c r="K2254"/>
  <c r="K116"/>
  <c r="K118" s="1"/>
  <c r="R489"/>
  <c r="R491" s="1"/>
  <c r="P3366"/>
  <c r="R3366" s="1"/>
  <c r="P3400"/>
  <c r="R3400" s="1"/>
  <c r="R3297"/>
  <c r="I3532"/>
  <c r="R3405"/>
  <c r="P3369"/>
  <c r="R3369" s="1"/>
  <c r="P3403"/>
  <c r="R3403" s="1"/>
  <c r="R3300"/>
  <c r="L3178"/>
  <c r="R1443"/>
  <c r="P1460"/>
  <c r="V3524"/>
  <c r="X3524" s="1"/>
  <c r="V3560"/>
  <c r="X3544"/>
  <c r="V3543"/>
  <c r="AG3543"/>
  <c r="P3547"/>
  <c r="R3547" s="1"/>
  <c r="K3543"/>
  <c r="I4073"/>
  <c r="K4073" s="1"/>
  <c r="V3140"/>
  <c r="X3123"/>
  <c r="K3329"/>
  <c r="I3398"/>
  <c r="I3431" s="1"/>
  <c r="K3431" s="1"/>
  <c r="X1376"/>
  <c r="V1393"/>
  <c r="P1446"/>
  <c r="R1430"/>
  <c r="R1224"/>
  <c r="T1224" s="1"/>
  <c r="P1287"/>
  <c r="R1287" s="1"/>
  <c r="AF1374"/>
  <c r="AD1391"/>
  <c r="AF1391" s="1"/>
  <c r="AF1375"/>
  <c r="AD1392"/>
  <c r="AF1392" s="1"/>
  <c r="I1065"/>
  <c r="K1028"/>
  <c r="AF1377"/>
  <c r="AD1394"/>
  <c r="AF1394" s="1"/>
  <c r="W596"/>
  <c r="W595"/>
  <c r="W594"/>
  <c r="W593"/>
  <c r="R23"/>
  <c r="I1603"/>
  <c r="I1575"/>
  <c r="K1575" s="1"/>
  <c r="K1582" s="1"/>
  <c r="K1584" s="1"/>
  <c r="I3602"/>
  <c r="I2866"/>
  <c r="K2866" s="1"/>
  <c r="K2816"/>
  <c r="P2823"/>
  <c r="AG2789"/>
  <c r="AI2789" s="1"/>
  <c r="I1592"/>
  <c r="K1592" s="1"/>
  <c r="I1579"/>
  <c r="K1579" s="1"/>
  <c r="I1566"/>
  <c r="K1566" s="1"/>
  <c r="X1339"/>
  <c r="AD1337"/>
  <c r="AE1337" s="1"/>
  <c r="R1400"/>
  <c r="R1406" s="1"/>
  <c r="P1417"/>
  <c r="V1361"/>
  <c r="K2869"/>
  <c r="I3058"/>
  <c r="K3104"/>
  <c r="P2078"/>
  <c r="AG3666"/>
  <c r="AI3666" s="1"/>
  <c r="X3672"/>
  <c r="R1150"/>
  <c r="P1181" s="1"/>
  <c r="R1181" s="1"/>
  <c r="V809"/>
  <c r="K2370"/>
  <c r="P2376"/>
  <c r="R2376" s="1"/>
  <c r="R2381" s="1"/>
  <c r="R2383" s="1"/>
  <c r="I1305"/>
  <c r="K1305" s="1"/>
  <c r="I1646"/>
  <c r="K1646" s="1"/>
  <c r="I505"/>
  <c r="I3645"/>
  <c r="K3645" s="1"/>
  <c r="K1650"/>
  <c r="AA13"/>
  <c r="AE12"/>
  <c r="V897"/>
  <c r="X897" s="1"/>
  <c r="X881"/>
  <c r="I1785"/>
  <c r="K1785" s="1"/>
  <c r="I1784"/>
  <c r="K1784" s="1"/>
  <c r="K747"/>
  <c r="K2148"/>
  <c r="P2155"/>
  <c r="R2155" s="1"/>
  <c r="AG3668"/>
  <c r="AI3668" s="1"/>
  <c r="X3674"/>
  <c r="AJ3108"/>
  <c r="AS3108"/>
  <c r="AU3108" s="1"/>
  <c r="X3673"/>
  <c r="AG3667"/>
  <c r="AI3667" s="1"/>
  <c r="P1500"/>
  <c r="R1469"/>
  <c r="AD1396"/>
  <c r="AF1396" s="1"/>
  <c r="AF1379"/>
  <c r="I1808"/>
  <c r="I1910"/>
  <c r="K1910" s="1"/>
  <c r="I3485"/>
  <c r="K3485" s="1"/>
  <c r="I1090"/>
  <c r="K1090" s="1"/>
  <c r="I1075"/>
  <c r="K1075" s="1"/>
  <c r="P2032"/>
  <c r="R2032" s="1"/>
  <c r="K2032"/>
  <c r="K2013"/>
  <c r="P2014"/>
  <c r="R2014" s="1"/>
  <c r="V318"/>
  <c r="K318"/>
  <c r="AF649"/>
  <c r="AH649" s="1"/>
  <c r="X649"/>
  <c r="X714"/>
  <c r="AA714" s="1"/>
  <c r="V684"/>
  <c r="K362"/>
  <c r="V362"/>
  <c r="R1149"/>
  <c r="P1180"/>
  <c r="R1180" s="1"/>
  <c r="K814"/>
  <c r="V808"/>
  <c r="V361"/>
  <c r="K361"/>
  <c r="V557"/>
  <c r="X557" s="1"/>
  <c r="X533"/>
  <c r="AD532"/>
  <c r="I3172"/>
  <c r="K1509"/>
  <c r="K200"/>
  <c r="P168"/>
  <c r="R168" s="1"/>
  <c r="P200"/>
  <c r="K341"/>
  <c r="V341"/>
  <c r="I2903"/>
  <c r="K2903" s="1"/>
  <c r="K509"/>
  <c r="K886"/>
  <c r="V886"/>
  <c r="K1308"/>
  <c r="P1337"/>
  <c r="P1306"/>
  <c r="R1306" s="1"/>
  <c r="I3644"/>
  <c r="K3644" s="1"/>
  <c r="K1649"/>
  <c r="I3580"/>
  <c r="K2351"/>
  <c r="I3567"/>
  <c r="K1946"/>
  <c r="P2161"/>
  <c r="R2161" s="1"/>
  <c r="K2154"/>
  <c r="P2437"/>
  <c r="R2437" s="1"/>
  <c r="K2430"/>
  <c r="K3461"/>
  <c r="I3828"/>
  <c r="K3828" s="1"/>
  <c r="I3466"/>
  <c r="P3467"/>
  <c r="R3467" s="1"/>
  <c r="M118"/>
  <c r="M135" s="1"/>
  <c r="M97"/>
  <c r="M103" s="1"/>
  <c r="I1590"/>
  <c r="K1590" s="1"/>
  <c r="K1577"/>
  <c r="I3422"/>
  <c r="K3422" s="1"/>
  <c r="K2635"/>
  <c r="P2642"/>
  <c r="R2642" s="1"/>
  <c r="V2603"/>
  <c r="AG2788"/>
  <c r="AI2788" s="1"/>
  <c r="I2865"/>
  <c r="K2865" s="1"/>
  <c r="K2877" s="1"/>
  <c r="K2879" s="1"/>
  <c r="K2815"/>
  <c r="P2822"/>
  <c r="C79"/>
  <c r="I257"/>
  <c r="K257" s="1"/>
  <c r="P2298"/>
  <c r="R2298" s="1"/>
  <c r="R2304" s="1"/>
  <c r="R2306" s="1"/>
  <c r="K2298"/>
  <c r="R1048"/>
  <c r="R1059" s="1"/>
  <c r="R1061" s="1"/>
  <c r="P1049"/>
  <c r="R1049" s="1"/>
  <c r="X712"/>
  <c r="AA712" s="1"/>
  <c r="V682"/>
  <c r="K384"/>
  <c r="V384"/>
  <c r="I3465"/>
  <c r="I3827"/>
  <c r="K3827" s="1"/>
  <c r="P3466"/>
  <c r="R3466" s="1"/>
  <c r="K3460"/>
  <c r="I3975"/>
  <c r="K3975" s="1"/>
  <c r="K3958"/>
  <c r="P3337"/>
  <c r="R3270"/>
  <c r="P2986"/>
  <c r="R2986" s="1"/>
  <c r="I3064"/>
  <c r="K2979"/>
  <c r="AD1390"/>
  <c r="AF1390" s="1"/>
  <c r="AF1373"/>
  <c r="P1468"/>
  <c r="R1451"/>
  <c r="P2516"/>
  <c r="R2516" s="1"/>
  <c r="K2509"/>
  <c r="V1406"/>
  <c r="X1390"/>
  <c r="AD1395"/>
  <c r="AF1395" s="1"/>
  <c r="AF1378"/>
  <c r="AG2624"/>
  <c r="AI2624" s="1"/>
  <c r="X2610"/>
  <c r="AA2608" s="1"/>
  <c r="V1392"/>
  <c r="X1375"/>
  <c r="V1289"/>
  <c r="X1289" s="1"/>
  <c r="K1260"/>
  <c r="K3174"/>
  <c r="I3273"/>
  <c r="K3273" s="1"/>
  <c r="I3187"/>
  <c r="I3423"/>
  <c r="K3423" s="1"/>
  <c r="P2643"/>
  <c r="R2643" s="1"/>
  <c r="K2636"/>
  <c r="V2604"/>
  <c r="R1304"/>
  <c r="P1323"/>
  <c r="AF644"/>
  <c r="AH644" s="1"/>
  <c r="X644"/>
  <c r="P2015"/>
  <c r="R2015" s="1"/>
  <c r="K2014"/>
  <c r="P1464"/>
  <c r="R1447"/>
  <c r="J563"/>
  <c r="W565"/>
  <c r="AE564" s="1"/>
  <c r="AL564" s="1"/>
  <c r="I1786"/>
  <c r="K1786" s="1"/>
  <c r="K745"/>
  <c r="K751" s="1"/>
  <c r="K753" s="1"/>
  <c r="I759" s="1"/>
  <c r="K759" s="1"/>
  <c r="V3253"/>
  <c r="X3253" s="1"/>
  <c r="K3285"/>
  <c r="I3663"/>
  <c r="R434"/>
  <c r="K1972"/>
  <c r="P1972"/>
  <c r="R1972" s="1"/>
  <c r="AD1336"/>
  <c r="AE1336" s="1"/>
  <c r="X1338"/>
  <c r="K3725"/>
  <c r="K3727" s="1"/>
  <c r="I3719" s="1"/>
  <c r="K3719" s="1"/>
  <c r="K3720" s="1"/>
  <c r="K3721" s="1"/>
  <c r="P3725"/>
  <c r="R3725" s="1"/>
  <c r="R3727" s="1"/>
  <c r="P3719" s="1"/>
  <c r="R3719" s="1"/>
  <c r="AE1207"/>
  <c r="AL1206"/>
  <c r="K386"/>
  <c r="V386"/>
  <c r="P169"/>
  <c r="R169" s="1"/>
  <c r="P201"/>
  <c r="K201"/>
  <c r="I2904"/>
  <c r="K2904" s="1"/>
  <c r="K510"/>
  <c r="K1227"/>
  <c r="P1222"/>
  <c r="V514"/>
  <c r="X514" s="1"/>
  <c r="X481"/>
  <c r="AD481"/>
  <c r="AF481" s="1"/>
  <c r="K1848"/>
  <c r="P1864"/>
  <c r="X381"/>
  <c r="V412"/>
  <c r="X412" s="1"/>
  <c r="I3389"/>
  <c r="I3479" s="1"/>
  <c r="K3479" s="1"/>
  <c r="K3496" s="1"/>
  <c r="I1129"/>
  <c r="K1129" s="1"/>
  <c r="I987"/>
  <c r="K987" s="1"/>
  <c r="I952"/>
  <c r="K952" s="1"/>
  <c r="I1055"/>
  <c r="P212"/>
  <c r="R212" s="1"/>
  <c r="R223" s="1"/>
  <c r="R226" s="1"/>
  <c r="I1017"/>
  <c r="K1017" s="1"/>
  <c r="I923"/>
  <c r="K923" s="1"/>
  <c r="V3547"/>
  <c r="K3547"/>
  <c r="AG3547"/>
  <c r="P3551"/>
  <c r="R3551" s="1"/>
  <c r="AG3545"/>
  <c r="V3545"/>
  <c r="P3549"/>
  <c r="R3549" s="1"/>
  <c r="K3545"/>
  <c r="K3526"/>
  <c r="P3530"/>
  <c r="R3530" s="1"/>
  <c r="I3542"/>
  <c r="X3685"/>
  <c r="V3703"/>
  <c r="R3160"/>
  <c r="P3196"/>
  <c r="R3196" s="1"/>
  <c r="H3877"/>
  <c r="J3856"/>
  <c r="L3193"/>
  <c r="P2982"/>
  <c r="R2982" s="1"/>
  <c r="K2975"/>
  <c r="I3060"/>
  <c r="I3325"/>
  <c r="R3265"/>
  <c r="I2766"/>
  <c r="K2766" s="1"/>
  <c r="K2765"/>
  <c r="P1470"/>
  <c r="R1453"/>
  <c r="X3141"/>
  <c r="V3166"/>
  <c r="X3166" s="1"/>
  <c r="K3993"/>
  <c r="I4009"/>
  <c r="K2842"/>
  <c r="I2978"/>
  <c r="P1462"/>
  <c r="R1445"/>
  <c r="V767"/>
  <c r="X767" s="1"/>
  <c r="V735"/>
  <c r="X735" s="1"/>
  <c r="X681"/>
  <c r="X1355"/>
  <c r="AD1353"/>
  <c r="X884"/>
  <c r="V900"/>
  <c r="X900" s="1"/>
  <c r="AH689"/>
  <c r="AH692"/>
  <c r="AH690"/>
  <c r="I3506"/>
  <c r="K3506" s="1"/>
  <c r="C78"/>
  <c r="I36"/>
  <c r="C142"/>
  <c r="C140"/>
  <c r="P3156"/>
  <c r="K3149"/>
  <c r="K3726"/>
  <c r="P3726"/>
  <c r="R3726" s="1"/>
  <c r="S2323"/>
  <c r="R2363"/>
  <c r="R2365" s="1"/>
  <c r="R2367" s="1"/>
  <c r="P2356" s="1"/>
  <c r="R2356" s="1"/>
  <c r="K3525"/>
  <c r="P3529"/>
  <c r="X717"/>
  <c r="V687"/>
  <c r="I3459"/>
  <c r="I2132"/>
  <c r="K2132" s="1"/>
  <c r="K2136" s="1"/>
  <c r="I1811"/>
  <c r="K1811" s="1"/>
  <c r="I1481"/>
  <c r="K1481" s="1"/>
  <c r="I2740"/>
  <c r="K2740" s="1"/>
  <c r="I2152"/>
  <c r="I2009"/>
  <c r="I1947"/>
  <c r="I1648"/>
  <c r="I1468"/>
  <c r="K1468" s="1"/>
  <c r="I2700"/>
  <c r="K2700" s="1"/>
  <c r="I1829"/>
  <c r="K1829" s="1"/>
  <c r="I1395"/>
  <c r="K1395" s="1"/>
  <c r="I1203"/>
  <c r="K1203" s="1"/>
  <c r="I901"/>
  <c r="K901" s="1"/>
  <c r="I2386"/>
  <c r="I1456"/>
  <c r="K1456" s="1"/>
  <c r="I1436"/>
  <c r="K1436" s="1"/>
  <c r="I1224"/>
  <c r="I1913"/>
  <c r="K1913" s="1"/>
  <c r="I1359"/>
  <c r="K1359" s="1"/>
  <c r="I885"/>
  <c r="I867"/>
  <c r="I623"/>
  <c r="K623" s="1"/>
  <c r="V532"/>
  <c r="P524"/>
  <c r="R524" s="1"/>
  <c r="R531" s="1"/>
  <c r="R533" s="1"/>
  <c r="V480"/>
  <c r="I414"/>
  <c r="K414" s="1"/>
  <c r="P322"/>
  <c r="R322" s="1"/>
  <c r="I1307"/>
  <c r="I1274"/>
  <c r="I585"/>
  <c r="I529"/>
  <c r="K529" s="1"/>
  <c r="P506"/>
  <c r="R506" s="1"/>
  <c r="R513" s="1"/>
  <c r="R515" s="1"/>
  <c r="I462"/>
  <c r="K462" s="1"/>
  <c r="P365"/>
  <c r="R365" s="1"/>
  <c r="P351"/>
  <c r="R351" s="1"/>
  <c r="P339"/>
  <c r="R339" s="1"/>
  <c r="P270"/>
  <c r="R270" s="1"/>
  <c r="P183"/>
  <c r="R183" s="1"/>
  <c r="I607"/>
  <c r="K607" s="1"/>
  <c r="I490"/>
  <c r="K490" s="1"/>
  <c r="I448"/>
  <c r="K448" s="1"/>
  <c r="I383"/>
  <c r="P310"/>
  <c r="R310" s="1"/>
  <c r="I1408"/>
  <c r="K1408" s="1"/>
  <c r="I653"/>
  <c r="K653" s="1"/>
  <c r="I429"/>
  <c r="K429" s="1"/>
  <c r="I359"/>
  <c r="P299"/>
  <c r="R299" s="1"/>
  <c r="I1253"/>
  <c r="P552"/>
  <c r="R552" s="1"/>
  <c r="R559" s="1"/>
  <c r="R561" s="1"/>
  <c r="P367"/>
  <c r="R367" s="1"/>
  <c r="I315"/>
  <c r="I300"/>
  <c r="K300" s="1"/>
  <c r="I2028"/>
  <c r="I1847"/>
  <c r="P81"/>
  <c r="R81" s="1"/>
  <c r="I553"/>
  <c r="K553" s="1"/>
  <c r="I1421"/>
  <c r="K1421" s="1"/>
  <c r="I1325"/>
  <c r="K1325" s="1"/>
  <c r="K1330" s="1"/>
  <c r="K1332" s="1"/>
  <c r="I1989" s="1"/>
  <c r="I339"/>
  <c r="I1381"/>
  <c r="K1381" s="1"/>
  <c r="I397"/>
  <c r="W541"/>
  <c r="AE540" s="1"/>
  <c r="AL540" s="1"/>
  <c r="J541"/>
  <c r="J665"/>
  <c r="W489"/>
  <c r="I2684"/>
  <c r="I2698"/>
  <c r="K2698" s="1"/>
  <c r="K2683"/>
  <c r="K83"/>
  <c r="I98"/>
  <c r="I113"/>
  <c r="K113" s="1"/>
  <c r="I4067"/>
  <c r="K4067" s="1"/>
  <c r="X3118"/>
  <c r="V3135"/>
  <c r="I3566"/>
  <c r="K1945"/>
  <c r="P1995"/>
  <c r="R1995" s="1"/>
  <c r="K1995"/>
  <c r="P3123"/>
  <c r="R3123" s="1"/>
  <c r="R3125" s="1"/>
  <c r="K3123"/>
  <c r="K3125" s="1"/>
  <c r="P1307"/>
  <c r="K1309"/>
  <c r="K2431"/>
  <c r="P2438"/>
  <c r="R2438" s="1"/>
  <c r="P2012"/>
  <c r="R2012" s="1"/>
  <c r="K2011"/>
  <c r="V1290"/>
  <c r="X1290" s="1"/>
  <c r="K1261"/>
  <c r="I3931"/>
  <c r="K870"/>
  <c r="I3310"/>
  <c r="K3310" s="1"/>
  <c r="P863"/>
  <c r="R863" s="1"/>
  <c r="V870"/>
  <c r="X870" s="1"/>
  <c r="K1256"/>
  <c r="V1285"/>
  <c r="X1285" s="1"/>
  <c r="K2716"/>
  <c r="I2722"/>
  <c r="K2722" s="1"/>
  <c r="V385"/>
  <c r="K385"/>
  <c r="AD1268"/>
  <c r="AF1268" s="1"/>
  <c r="K1275"/>
  <c r="I1289"/>
  <c r="K1289" s="1"/>
  <c r="K230"/>
  <c r="P236"/>
  <c r="R236" s="1"/>
  <c r="I3929"/>
  <c r="V868"/>
  <c r="X868" s="1"/>
  <c r="I3308"/>
  <c r="K3308" s="1"/>
  <c r="K868"/>
  <c r="P861"/>
  <c r="R861" s="1"/>
  <c r="V683"/>
  <c r="X713"/>
  <c r="AA713" s="1"/>
  <c r="V1284"/>
  <c r="X1284" s="1"/>
  <c r="K1255"/>
  <c r="K1976"/>
  <c r="P1976"/>
  <c r="R1976" s="1"/>
  <c r="P1997"/>
  <c r="R1997" s="1"/>
  <c r="K1997"/>
  <c r="X138"/>
  <c r="X135"/>
  <c r="X136" s="1"/>
  <c r="X81"/>
  <c r="X86" s="1"/>
  <c r="X88" s="1"/>
  <c r="V112"/>
  <c r="X112" s="1"/>
  <c r="X116" s="1"/>
  <c r="X118" s="1"/>
  <c r="X120" s="1"/>
  <c r="X121" s="1"/>
  <c r="V82"/>
  <c r="X82" s="1"/>
  <c r="P3155"/>
  <c r="R3155" s="1"/>
  <c r="K3148"/>
  <c r="K3159" s="1"/>
  <c r="K3161" s="1"/>
  <c r="I3102"/>
  <c r="P2671"/>
  <c r="K2664"/>
  <c r="Z47"/>
  <c r="AE47" s="1"/>
  <c r="AE46"/>
  <c r="I3282"/>
  <c r="K1104"/>
  <c r="W521"/>
  <c r="AE488"/>
  <c r="I1019"/>
  <c r="I954"/>
  <c r="K954" s="1"/>
  <c r="I989"/>
  <c r="K989" s="1"/>
  <c r="P946"/>
  <c r="R946" s="1"/>
  <c r="R945"/>
  <c r="P1858"/>
  <c r="R1858" s="1"/>
  <c r="K1842"/>
  <c r="AS197"/>
  <c r="AU197" s="1"/>
  <c r="AU165"/>
  <c r="P992"/>
  <c r="R992" s="1"/>
  <c r="AG1067"/>
  <c r="AI1067" s="1"/>
  <c r="P1069"/>
  <c r="R1069" s="1"/>
  <c r="P1051"/>
  <c r="R1051" s="1"/>
  <c r="K1058"/>
  <c r="P3158"/>
  <c r="R3158" s="1"/>
  <c r="K3151"/>
  <c r="I3662"/>
  <c r="R433"/>
  <c r="R446" s="1"/>
  <c r="R448" s="1"/>
  <c r="K2147"/>
  <c r="P2154"/>
  <c r="R2154" s="1"/>
  <c r="P235"/>
  <c r="R235" s="1"/>
  <c r="K229"/>
  <c r="V1283"/>
  <c r="X1283" s="1"/>
  <c r="K1254"/>
  <c r="K340"/>
  <c r="V340"/>
  <c r="V1288"/>
  <c r="X1288" s="1"/>
  <c r="K1259"/>
  <c r="P1178"/>
  <c r="R1178" s="1"/>
  <c r="R1147"/>
  <c r="K1975"/>
  <c r="P1975"/>
  <c r="R1975" s="1"/>
  <c r="K612"/>
  <c r="K249"/>
  <c r="K251" s="1"/>
  <c r="K925"/>
  <c r="K86"/>
  <c r="K88" s="1"/>
  <c r="K2353"/>
  <c r="K2354" s="1"/>
  <c r="X2783"/>
  <c r="R730"/>
  <c r="R732" s="1"/>
  <c r="R464"/>
  <c r="R466" s="1"/>
  <c r="P36" i="9"/>
  <c r="Q33"/>
  <c r="Q36" s="1"/>
  <c r="P1989" i="10" l="1"/>
  <c r="R1989" s="1"/>
  <c r="K1989"/>
  <c r="P2449"/>
  <c r="R2449" s="1"/>
  <c r="K2344"/>
  <c r="T1642"/>
  <c r="R1642"/>
  <c r="X92"/>
  <c r="X93" s="1"/>
  <c r="X89"/>
  <c r="V1282"/>
  <c r="X1282" s="1"/>
  <c r="K1253"/>
  <c r="I1288"/>
  <c r="K1288" s="1"/>
  <c r="K1274"/>
  <c r="AD1267"/>
  <c r="AF1267" s="1"/>
  <c r="I142"/>
  <c r="I19"/>
  <c r="K19" s="1"/>
  <c r="I45"/>
  <c r="K45" s="1"/>
  <c r="K36"/>
  <c r="K40" s="1"/>
  <c r="AD1370"/>
  <c r="AF1353"/>
  <c r="P629"/>
  <c r="R629" s="1"/>
  <c r="I154"/>
  <c r="K154" s="1"/>
  <c r="K163" s="1"/>
  <c r="P22"/>
  <c r="P3472"/>
  <c r="R3472" s="1"/>
  <c r="I3833"/>
  <c r="K3833" s="1"/>
  <c r="K3466"/>
  <c r="X341"/>
  <c r="AG341"/>
  <c r="AI341" s="1"/>
  <c r="X808"/>
  <c r="V823"/>
  <c r="X823" s="1"/>
  <c r="V1461"/>
  <c r="R1500"/>
  <c r="P1434"/>
  <c r="R1417"/>
  <c r="R1423" s="1"/>
  <c r="V1378"/>
  <c r="P2856"/>
  <c r="R2856" s="1"/>
  <c r="R2823"/>
  <c r="X3140"/>
  <c r="V3165"/>
  <c r="X3165" s="1"/>
  <c r="P3396"/>
  <c r="R3396" s="1"/>
  <c r="R3293"/>
  <c r="P3362"/>
  <c r="R3362" s="1"/>
  <c r="V3249"/>
  <c r="X3249" s="1"/>
  <c r="AF1402"/>
  <c r="AD1419"/>
  <c r="AF1419" s="1"/>
  <c r="I2610"/>
  <c r="K2575"/>
  <c r="P2576"/>
  <c r="R2576" s="1"/>
  <c r="H3854"/>
  <c r="K2609"/>
  <c r="P2517"/>
  <c r="R2517" s="1"/>
  <c r="K2510"/>
  <c r="AW197"/>
  <c r="AX197"/>
  <c r="K3102"/>
  <c r="P2076"/>
  <c r="R2076" s="1"/>
  <c r="I3947"/>
  <c r="K3929"/>
  <c r="I3949"/>
  <c r="K3931"/>
  <c r="R1307"/>
  <c r="R1311" s="1"/>
  <c r="R1313" s="1"/>
  <c r="V1305"/>
  <c r="V397"/>
  <c r="K397"/>
  <c r="I3079"/>
  <c r="K3079" s="1"/>
  <c r="P3067"/>
  <c r="R3067" s="1"/>
  <c r="K3060"/>
  <c r="R1323"/>
  <c r="R1326" s="1"/>
  <c r="R1328" s="1"/>
  <c r="S1328" s="1"/>
  <c r="AD1323"/>
  <c r="AF1323" s="1"/>
  <c r="AF1326" s="1"/>
  <c r="AF1328" s="1"/>
  <c r="AG393"/>
  <c r="V415"/>
  <c r="X415" s="1"/>
  <c r="X384"/>
  <c r="AG370"/>
  <c r="AI370" s="1"/>
  <c r="X361"/>
  <c r="X3560"/>
  <c r="V3576"/>
  <c r="K120"/>
  <c r="K121" s="1"/>
  <c r="K122" s="1"/>
  <c r="K123" s="1"/>
  <c r="L118"/>
  <c r="R199"/>
  <c r="V199"/>
  <c r="X199" s="1"/>
  <c r="P1196"/>
  <c r="R1196" s="1"/>
  <c r="R1200" s="1"/>
  <c r="R1202" s="1"/>
  <c r="K1181"/>
  <c r="K1185" s="1"/>
  <c r="K1187" s="1"/>
  <c r="R1095"/>
  <c r="P1116"/>
  <c r="I3061"/>
  <c r="K2976"/>
  <c r="P2983"/>
  <c r="R2983" s="1"/>
  <c r="I3059"/>
  <c r="P2981"/>
  <c r="R2981" s="1"/>
  <c r="K2974"/>
  <c r="X1391"/>
  <c r="V1407"/>
  <c r="K1228"/>
  <c r="P1223"/>
  <c r="I3642"/>
  <c r="K3642" s="1"/>
  <c r="K1647"/>
  <c r="V3587"/>
  <c r="X3572"/>
  <c r="P2857"/>
  <c r="R2857" s="1"/>
  <c r="R2824"/>
  <c r="I3533"/>
  <c r="P3537" s="1"/>
  <c r="R3537" s="1"/>
  <c r="K1138"/>
  <c r="K1141" s="1"/>
  <c r="K1143" s="1"/>
  <c r="AW165"/>
  <c r="AX165" s="1"/>
  <c r="V416"/>
  <c r="X416" s="1"/>
  <c r="X385"/>
  <c r="AG394"/>
  <c r="X3135"/>
  <c r="V3160"/>
  <c r="X3160" s="1"/>
  <c r="M98"/>
  <c r="M99" s="1"/>
  <c r="K98"/>
  <c r="K101" s="1"/>
  <c r="K103" s="1"/>
  <c r="K2684"/>
  <c r="K2691" s="1"/>
  <c r="K2692" s="1"/>
  <c r="I2685"/>
  <c r="K2685" s="1"/>
  <c r="P1863"/>
  <c r="K1847"/>
  <c r="V359"/>
  <c r="K359"/>
  <c r="V556"/>
  <c r="X556" s="1"/>
  <c r="X532"/>
  <c r="AD531"/>
  <c r="I3643"/>
  <c r="K3643" s="1"/>
  <c r="K1648"/>
  <c r="K3459"/>
  <c r="I3826"/>
  <c r="K3826" s="1"/>
  <c r="P3465"/>
  <c r="R3465" s="1"/>
  <c r="I1588"/>
  <c r="K1588" s="1"/>
  <c r="K1595" s="1"/>
  <c r="K1597" s="1"/>
  <c r="I1615"/>
  <c r="P1493"/>
  <c r="V1423"/>
  <c r="X1423" s="1"/>
  <c r="R1462"/>
  <c r="R1470"/>
  <c r="P1501"/>
  <c r="K3325"/>
  <c r="I3394"/>
  <c r="K3542"/>
  <c r="P3546"/>
  <c r="R3546" s="1"/>
  <c r="V3542"/>
  <c r="AG3542"/>
  <c r="AG3563"/>
  <c r="AI3547"/>
  <c r="AE1208"/>
  <c r="AL1207"/>
  <c r="I3684"/>
  <c r="K3684" s="1"/>
  <c r="K3663"/>
  <c r="P1495"/>
  <c r="R1464"/>
  <c r="P1478"/>
  <c r="I3832"/>
  <c r="K3832" s="1"/>
  <c r="P3471"/>
  <c r="R3471" s="1"/>
  <c r="K3465"/>
  <c r="K3580"/>
  <c r="K3582" s="1"/>
  <c r="K3583" s="1"/>
  <c r="K3593" s="1"/>
  <c r="I3594" s="1"/>
  <c r="I3589"/>
  <c r="K3589" s="1"/>
  <c r="K3591" s="1"/>
  <c r="K3592" s="1"/>
  <c r="J3594" s="1"/>
  <c r="J3595" s="1"/>
  <c r="J3596" s="1"/>
  <c r="J3597" s="1"/>
  <c r="R1337"/>
  <c r="AD1193"/>
  <c r="V1304"/>
  <c r="V200"/>
  <c r="X200" s="1"/>
  <c r="R200"/>
  <c r="K3172"/>
  <c r="I3185"/>
  <c r="X684"/>
  <c r="V770"/>
  <c r="X770" s="1"/>
  <c r="V738"/>
  <c r="X738" s="1"/>
  <c r="C71"/>
  <c r="P1144" s="1"/>
  <c r="V708"/>
  <c r="V803"/>
  <c r="K505"/>
  <c r="I2899"/>
  <c r="K2899" s="1"/>
  <c r="I1080"/>
  <c r="AG1074"/>
  <c r="AI1074" s="1"/>
  <c r="P999"/>
  <c r="R999" s="1"/>
  <c r="K1065"/>
  <c r="P1463"/>
  <c r="R1446"/>
  <c r="P405"/>
  <c r="R405" s="1"/>
  <c r="P404"/>
  <c r="R404" s="1"/>
  <c r="R407" s="1"/>
  <c r="R409" s="1"/>
  <c r="P416" s="1"/>
  <c r="R416" s="1"/>
  <c r="P1893"/>
  <c r="R1893" s="1"/>
  <c r="R1862"/>
  <c r="I3834"/>
  <c r="K3834" s="1"/>
  <c r="K3467"/>
  <c r="P3473"/>
  <c r="R3473" s="1"/>
  <c r="I3186"/>
  <c r="K3173"/>
  <c r="X888"/>
  <c r="V904"/>
  <c r="X904" s="1"/>
  <c r="AG3557"/>
  <c r="AI3557" s="1"/>
  <c r="AI3541"/>
  <c r="AD1427"/>
  <c r="AF1427" s="1"/>
  <c r="AF1410"/>
  <c r="I3356"/>
  <c r="K3356" s="1"/>
  <c r="K3369"/>
  <c r="P3397"/>
  <c r="R3397" s="1"/>
  <c r="P3363"/>
  <c r="R3363" s="1"/>
  <c r="R3294"/>
  <c r="K3103"/>
  <c r="P2077"/>
  <c r="I3646"/>
  <c r="K3749"/>
  <c r="I4025"/>
  <c r="K4010"/>
  <c r="AF1412"/>
  <c r="AD1429"/>
  <c r="AF1429" s="1"/>
  <c r="I4072"/>
  <c r="K4072" s="1"/>
  <c r="X3122"/>
  <c r="V3139"/>
  <c r="I3748"/>
  <c r="K3748" s="1"/>
  <c r="K3754" s="1"/>
  <c r="K3755" s="1"/>
  <c r="K9"/>
  <c r="I2900"/>
  <c r="K2900" s="1"/>
  <c r="K506"/>
  <c r="K1257"/>
  <c r="V1286"/>
  <c r="X1286" s="1"/>
  <c r="P1618"/>
  <c r="R1618" s="1"/>
  <c r="K1617"/>
  <c r="X807"/>
  <c r="V822"/>
  <c r="X822" s="1"/>
  <c r="P3263"/>
  <c r="R3194"/>
  <c r="AD1386"/>
  <c r="AF1386" s="1"/>
  <c r="AF1369"/>
  <c r="R2077"/>
  <c r="M2078"/>
  <c r="R2078" s="1"/>
  <c r="K3106"/>
  <c r="P2080"/>
  <c r="R2080" s="1"/>
  <c r="K2673"/>
  <c r="P2680"/>
  <c r="K3434"/>
  <c r="K3436" s="1"/>
  <c r="K23"/>
  <c r="L2693"/>
  <c r="R2521"/>
  <c r="R2523" s="1"/>
  <c r="K1917"/>
  <c r="K1919" s="1"/>
  <c r="I1926" s="1"/>
  <c r="K1926" s="1"/>
  <c r="K1929" s="1"/>
  <c r="K1653"/>
  <c r="K1655" s="1"/>
  <c r="R3203"/>
  <c r="R3205" s="1"/>
  <c r="K49"/>
  <c r="K2845"/>
  <c r="K2847" s="1"/>
  <c r="K1000"/>
  <c r="K1002" s="1"/>
  <c r="K2514"/>
  <c r="K2517" s="1"/>
  <c r="AI3671"/>
  <c r="R418"/>
  <c r="R420" s="1"/>
  <c r="K58"/>
  <c r="AU3111"/>
  <c r="P597"/>
  <c r="R597" s="1"/>
  <c r="K92"/>
  <c r="P610"/>
  <c r="R610" s="1"/>
  <c r="K89"/>
  <c r="W490"/>
  <c r="J666"/>
  <c r="V513"/>
  <c r="X513" s="1"/>
  <c r="X480"/>
  <c r="AD480"/>
  <c r="AF480" s="1"/>
  <c r="I3928"/>
  <c r="V867"/>
  <c r="X867" s="1"/>
  <c r="I3307"/>
  <c r="K3307" s="1"/>
  <c r="P860"/>
  <c r="R860" s="1"/>
  <c r="K867"/>
  <c r="K1224"/>
  <c r="P1219"/>
  <c r="K2009"/>
  <c r="K2017" s="1"/>
  <c r="P2010"/>
  <c r="R2010" s="1"/>
  <c r="R2020" s="1"/>
  <c r="V3717"/>
  <c r="X3703"/>
  <c r="AI3545"/>
  <c r="AG3561"/>
  <c r="V3563"/>
  <c r="X3547"/>
  <c r="V3527"/>
  <c r="X3527" s="1"/>
  <c r="P1091"/>
  <c r="P989"/>
  <c r="R989" s="1"/>
  <c r="R1000" s="1"/>
  <c r="R1002" s="1"/>
  <c r="K1055"/>
  <c r="K1066" s="1"/>
  <c r="K1068" s="1"/>
  <c r="P1066"/>
  <c r="R1066" s="1"/>
  <c r="AG1064"/>
  <c r="AI1064" s="1"/>
  <c r="AI1075" s="1"/>
  <c r="AI1077" s="1"/>
  <c r="P1285"/>
  <c r="R1285" s="1"/>
  <c r="R1222"/>
  <c r="T1222" s="1"/>
  <c r="P1264"/>
  <c r="P1227"/>
  <c r="W566"/>
  <c r="AE565" s="1"/>
  <c r="AL565" s="1"/>
  <c r="J564"/>
  <c r="P3372"/>
  <c r="R3337"/>
  <c r="P3570"/>
  <c r="R3570" s="1"/>
  <c r="K3567"/>
  <c r="V902"/>
  <c r="X902" s="1"/>
  <c r="X886"/>
  <c r="X362"/>
  <c r="AG371"/>
  <c r="AI371" s="1"/>
  <c r="I2737"/>
  <c r="K2737" s="1"/>
  <c r="K2747" s="1"/>
  <c r="K2749" s="1"/>
  <c r="I2767" s="1"/>
  <c r="K2767" s="1"/>
  <c r="I1826"/>
  <c r="K1826" s="1"/>
  <c r="K1836" s="1"/>
  <c r="K1838" s="1"/>
  <c r="I1882" s="1"/>
  <c r="K1882" s="1"/>
  <c r="K1884" s="1"/>
  <c r="K1808"/>
  <c r="K1818" s="1"/>
  <c r="K1820" s="1"/>
  <c r="I1874" s="1"/>
  <c r="K1874" s="1"/>
  <c r="K1876" s="1"/>
  <c r="I2930"/>
  <c r="I2939"/>
  <c r="K2939" s="1"/>
  <c r="AI3543"/>
  <c r="AG3559"/>
  <c r="L2223"/>
  <c r="K2257"/>
  <c r="K2290" s="1"/>
  <c r="M2258"/>
  <c r="AS67"/>
  <c r="AG317"/>
  <c r="AI317" s="1"/>
  <c r="X317"/>
  <c r="P1896"/>
  <c r="R1896" s="1"/>
  <c r="R1865"/>
  <c r="AG2654"/>
  <c r="AI2654" s="1"/>
  <c r="AA2604"/>
  <c r="AG2620"/>
  <c r="AI2620" s="1"/>
  <c r="X2606"/>
  <c r="X1365"/>
  <c r="AD1363"/>
  <c r="R1428"/>
  <c r="P1444"/>
  <c r="K2973"/>
  <c r="P2980"/>
  <c r="R2980" s="1"/>
  <c r="I3184"/>
  <c r="K3171"/>
  <c r="K3176" s="1"/>
  <c r="K3177" s="1"/>
  <c r="I4008"/>
  <c r="K4008" s="1"/>
  <c r="K3989"/>
  <c r="I3990"/>
  <c r="I4020"/>
  <c r="P1262"/>
  <c r="R1220"/>
  <c r="T1220" s="1"/>
  <c r="P1225"/>
  <c r="P1283"/>
  <c r="R1283" s="1"/>
  <c r="V3549"/>
  <c r="P3553"/>
  <c r="R3553" s="1"/>
  <c r="AG3549"/>
  <c r="AG3565" s="1"/>
  <c r="W522"/>
  <c r="AE489"/>
  <c r="P2028"/>
  <c r="R2028" s="1"/>
  <c r="R2039" s="1"/>
  <c r="K2028"/>
  <c r="K2036" s="1"/>
  <c r="V383"/>
  <c r="K383"/>
  <c r="K585"/>
  <c r="K589" s="1"/>
  <c r="K591" s="1"/>
  <c r="I592" s="1"/>
  <c r="K592" s="1"/>
  <c r="I593" s="1"/>
  <c r="K593" s="1"/>
  <c r="I594" s="1"/>
  <c r="K594" s="1"/>
  <c r="I595" s="1"/>
  <c r="K595" s="1"/>
  <c r="I596" s="1"/>
  <c r="K596" s="1"/>
  <c r="V585"/>
  <c r="X585" s="1"/>
  <c r="X589" s="1"/>
  <c r="X591" s="1"/>
  <c r="X592" s="1"/>
  <c r="X593" s="1"/>
  <c r="X594" s="1"/>
  <c r="X595" s="1"/>
  <c r="X596" s="1"/>
  <c r="X597" s="1"/>
  <c r="Z592" s="1"/>
  <c r="Z593" s="1"/>
  <c r="Z594" s="1"/>
  <c r="Z595" s="1"/>
  <c r="Z596" s="1"/>
  <c r="K2386"/>
  <c r="I2400"/>
  <c r="I3568"/>
  <c r="K1947"/>
  <c r="K1950" s="1"/>
  <c r="V741"/>
  <c r="X741" s="1"/>
  <c r="X687"/>
  <c r="I3063"/>
  <c r="K2978"/>
  <c r="P2985"/>
  <c r="R2985" s="1"/>
  <c r="V3561"/>
  <c r="V3525"/>
  <c r="X3525" s="1"/>
  <c r="X3545"/>
  <c r="P1895"/>
  <c r="R1895" s="1"/>
  <c r="R1864"/>
  <c r="AG395"/>
  <c r="V417"/>
  <c r="X417" s="1"/>
  <c r="X386"/>
  <c r="V1408"/>
  <c r="X1392"/>
  <c r="AF532"/>
  <c r="AD556"/>
  <c r="AF556" s="1"/>
  <c r="AK532"/>
  <c r="X318"/>
  <c r="AG318"/>
  <c r="AI318" s="1"/>
  <c r="AS68"/>
  <c r="AE13"/>
  <c r="C72" s="1"/>
  <c r="AA14"/>
  <c r="V824"/>
  <c r="X824" s="1"/>
  <c r="X809"/>
  <c r="V773"/>
  <c r="X773" s="1"/>
  <c r="I3996"/>
  <c r="X1361"/>
  <c r="X1367" s="1"/>
  <c r="AD1359"/>
  <c r="I3625"/>
  <c r="K3625" s="1"/>
  <c r="K3633" s="1"/>
  <c r="K3635" s="1"/>
  <c r="K3602"/>
  <c r="K3612" s="1"/>
  <c r="K3614" s="1"/>
  <c r="V1409"/>
  <c r="X1393"/>
  <c r="W37"/>
  <c r="W14"/>
  <c r="W15" s="1"/>
  <c r="P1114"/>
  <c r="R1092"/>
  <c r="P1497"/>
  <c r="R1466"/>
  <c r="V1427"/>
  <c r="X1427" s="1"/>
  <c r="P1496"/>
  <c r="R1465"/>
  <c r="V1426"/>
  <c r="X1426" s="1"/>
  <c r="AI3560"/>
  <c r="V3623"/>
  <c r="AG369"/>
  <c r="AI369" s="1"/>
  <c r="X360"/>
  <c r="K810"/>
  <c r="P1146"/>
  <c r="V645"/>
  <c r="V805"/>
  <c r="P2085"/>
  <c r="R2085" s="1"/>
  <c r="K3111"/>
  <c r="K614"/>
  <c r="I614"/>
  <c r="I3683"/>
  <c r="K3683" s="1"/>
  <c r="K3697" s="1"/>
  <c r="K3699" s="1"/>
  <c r="K3662"/>
  <c r="P1093"/>
  <c r="K1019"/>
  <c r="K1030" s="1"/>
  <c r="K1032" s="1"/>
  <c r="K3282"/>
  <c r="K3293" s="1"/>
  <c r="K3295" s="1"/>
  <c r="V3250"/>
  <c r="X3250" s="1"/>
  <c r="V737"/>
  <c r="X737" s="1"/>
  <c r="X683"/>
  <c r="V769"/>
  <c r="X769" s="1"/>
  <c r="K2355"/>
  <c r="L2320"/>
  <c r="AG340"/>
  <c r="AI340" s="1"/>
  <c r="X340"/>
  <c r="R3126"/>
  <c r="T3125"/>
  <c r="P3569"/>
  <c r="R3569" s="1"/>
  <c r="K3566"/>
  <c r="W542"/>
  <c r="AE541" s="1"/>
  <c r="AL541" s="1"/>
  <c r="J542"/>
  <c r="K339"/>
  <c r="V339"/>
  <c r="K315"/>
  <c r="V315"/>
  <c r="P1336"/>
  <c r="K1307"/>
  <c r="V885"/>
  <c r="K885"/>
  <c r="P2159"/>
  <c r="R2159" s="1"/>
  <c r="K2152"/>
  <c r="K2156" s="1"/>
  <c r="V3557"/>
  <c r="R3529"/>
  <c r="V3116"/>
  <c r="R3156"/>
  <c r="I2130"/>
  <c r="K2130" s="1"/>
  <c r="K2138" s="1"/>
  <c r="K2140" s="1"/>
  <c r="I1755"/>
  <c r="K1755" s="1"/>
  <c r="K1762" s="1"/>
  <c r="K1764" s="1"/>
  <c r="I2150"/>
  <c r="P1145"/>
  <c r="I54"/>
  <c r="K54" s="1"/>
  <c r="I507"/>
  <c r="I64"/>
  <c r="K64" s="1"/>
  <c r="I73"/>
  <c r="K73" s="1"/>
  <c r="K77" s="1"/>
  <c r="P10"/>
  <c r="R10" s="1"/>
  <c r="R14" s="1"/>
  <c r="I274"/>
  <c r="K274" s="1"/>
  <c r="I811"/>
  <c r="I28"/>
  <c r="K28" s="1"/>
  <c r="K32" s="1"/>
  <c r="I10"/>
  <c r="K10" s="1"/>
  <c r="K4009"/>
  <c r="I4024"/>
  <c r="H3893"/>
  <c r="J3893" s="1"/>
  <c r="J3877"/>
  <c r="V201"/>
  <c r="X201" s="1"/>
  <c r="R201"/>
  <c r="I779"/>
  <c r="K779" s="1"/>
  <c r="K794" s="1"/>
  <c r="K796" s="1"/>
  <c r="K770"/>
  <c r="K772" s="1"/>
  <c r="I2358" s="1"/>
  <c r="AA2602"/>
  <c r="AG2652"/>
  <c r="AI2652" s="1"/>
  <c r="AG2618"/>
  <c r="AI2618" s="1"/>
  <c r="X2604"/>
  <c r="K3187"/>
  <c r="I3370"/>
  <c r="X1406"/>
  <c r="AD1404"/>
  <c r="P1499"/>
  <c r="R1468"/>
  <c r="P3071"/>
  <c r="R3071" s="1"/>
  <c r="I3083"/>
  <c r="K3083" s="1"/>
  <c r="K3064"/>
  <c r="X682"/>
  <c r="V768"/>
  <c r="X768" s="1"/>
  <c r="V736"/>
  <c r="X736" s="1"/>
  <c r="R2822"/>
  <c r="P2855"/>
  <c r="R2855" s="1"/>
  <c r="AG2617"/>
  <c r="AI2617" s="1"/>
  <c r="AI2629" s="1"/>
  <c r="AI2631" s="1"/>
  <c r="X2603"/>
  <c r="AA2601"/>
  <c r="AA2612" s="1"/>
  <c r="AA2613" s="1"/>
  <c r="AG2651"/>
  <c r="AI2651" s="1"/>
  <c r="I3077"/>
  <c r="K3077" s="1"/>
  <c r="P3065"/>
  <c r="R3065" s="1"/>
  <c r="K3058"/>
  <c r="P1604"/>
  <c r="R1604" s="1"/>
  <c r="R1609" s="1"/>
  <c r="R1611" s="1"/>
  <c r="C880" s="1"/>
  <c r="K1603"/>
  <c r="K1608" s="1"/>
  <c r="K1610" s="1"/>
  <c r="V3523"/>
  <c r="X3523" s="1"/>
  <c r="V3559"/>
  <c r="X3543"/>
  <c r="P1491"/>
  <c r="P1477"/>
  <c r="R1460"/>
  <c r="V1421"/>
  <c r="X1421" s="1"/>
  <c r="I3548"/>
  <c r="P3536"/>
  <c r="R3536" s="1"/>
  <c r="K3532"/>
  <c r="AS66"/>
  <c r="AG316"/>
  <c r="AI316" s="1"/>
  <c r="X316"/>
  <c r="P3437"/>
  <c r="R3437" s="1"/>
  <c r="P3325"/>
  <c r="R3325" s="1"/>
  <c r="R3223"/>
  <c r="R3238" s="1"/>
  <c r="R3240" s="1"/>
  <c r="R1221"/>
  <c r="T1221" s="1"/>
  <c r="P1263"/>
  <c r="P1284"/>
  <c r="R1284" s="1"/>
  <c r="P1226"/>
  <c r="X3541"/>
  <c r="V3521"/>
  <c r="X3521" s="1"/>
  <c r="P1438"/>
  <c r="V1382"/>
  <c r="R1421"/>
  <c r="P3438"/>
  <c r="R3438" s="1"/>
  <c r="R3224"/>
  <c r="P3326"/>
  <c r="R3326" s="1"/>
  <c r="V1389"/>
  <c r="X1372"/>
  <c r="AD1425"/>
  <c r="AF1425" s="1"/>
  <c r="AF1408"/>
  <c r="P3069"/>
  <c r="R3069" s="1"/>
  <c r="I3081"/>
  <c r="K3081" s="1"/>
  <c r="K3062"/>
  <c r="I3393"/>
  <c r="K3324"/>
  <c r="K2149"/>
  <c r="P2156"/>
  <c r="R2156" s="1"/>
  <c r="P2434"/>
  <c r="R2434" s="1"/>
  <c r="K2427"/>
  <c r="AG342"/>
  <c r="AI342" s="1"/>
  <c r="X342"/>
  <c r="P643"/>
  <c r="R643" s="1"/>
  <c r="R647" s="1"/>
  <c r="P50"/>
  <c r="R50" s="1"/>
  <c r="AG2791"/>
  <c r="AI2791" s="1"/>
  <c r="P2826"/>
  <c r="V2787"/>
  <c r="X2787" s="1"/>
  <c r="K2819"/>
  <c r="V821"/>
  <c r="X821" s="1"/>
  <c r="X806"/>
  <c r="K1854"/>
  <c r="K1856" s="1"/>
  <c r="I1890" s="1"/>
  <c r="K1312"/>
  <c r="K1314" s="1"/>
  <c r="K68"/>
  <c r="K1569"/>
  <c r="K2769"/>
  <c r="R2580"/>
  <c r="R2582" s="1"/>
  <c r="K2717"/>
  <c r="K2718" s="1"/>
  <c r="R957"/>
  <c r="R959" s="1"/>
  <c r="K2676"/>
  <c r="K2678" s="1"/>
  <c r="K2703"/>
  <c r="K2704" s="1"/>
  <c r="K2705" s="1"/>
  <c r="K964"/>
  <c r="K966" s="1"/>
  <c r="K2304"/>
  <c r="K2306" s="1"/>
  <c r="X3677"/>
  <c r="K2579"/>
  <c r="K2582" s="1"/>
  <c r="K2585" s="1"/>
  <c r="AJ3111"/>
  <c r="I1407" l="1"/>
  <c r="K1407" s="1"/>
  <c r="K1414" s="1"/>
  <c r="K1416" s="1"/>
  <c r="P166"/>
  <c r="R166" s="1"/>
  <c r="AS135"/>
  <c r="I447"/>
  <c r="K447" s="1"/>
  <c r="K454" s="1"/>
  <c r="K456" s="1"/>
  <c r="I461" s="1"/>
  <c r="K461" s="1"/>
  <c r="K465" s="1"/>
  <c r="K467" s="1"/>
  <c r="K469" s="1"/>
  <c r="I382"/>
  <c r="I413"/>
  <c r="K413" s="1"/>
  <c r="K420" s="1"/>
  <c r="K422" s="1"/>
  <c r="P234"/>
  <c r="R234" s="1"/>
  <c r="I1202"/>
  <c r="K1202" s="1"/>
  <c r="K1213" s="1"/>
  <c r="K1215" s="1"/>
  <c r="I2443" s="1"/>
  <c r="K2443" s="1"/>
  <c r="I489"/>
  <c r="K489" s="1"/>
  <c r="K497" s="1"/>
  <c r="K499" s="1"/>
  <c r="P364"/>
  <c r="R364" s="1"/>
  <c r="R372" s="1"/>
  <c r="R374" s="1"/>
  <c r="I358"/>
  <c r="AS110"/>
  <c r="AU110" s="1"/>
  <c r="I3457"/>
  <c r="I2426"/>
  <c r="I1435"/>
  <c r="K1435" s="1"/>
  <c r="I1708"/>
  <c r="K1708" s="1"/>
  <c r="P1335"/>
  <c r="I1251"/>
  <c r="I1420"/>
  <c r="K1420" s="1"/>
  <c r="K1426" s="1"/>
  <c r="K1428" s="1"/>
  <c r="I1356"/>
  <c r="K1356" s="1"/>
  <c r="I1222"/>
  <c r="I622"/>
  <c r="K622" s="1"/>
  <c r="K627" s="1"/>
  <c r="K629" s="1"/>
  <c r="I630" s="1"/>
  <c r="K630" s="1"/>
  <c r="I631" s="1"/>
  <c r="K631" s="1"/>
  <c r="I632" s="1"/>
  <c r="K632" s="1"/>
  <c r="I633" s="1"/>
  <c r="K633" s="1"/>
  <c r="I634" s="1"/>
  <c r="K634" s="1"/>
  <c r="P350"/>
  <c r="R350" s="1"/>
  <c r="R356" s="1"/>
  <c r="R358" s="1"/>
  <c r="I1338"/>
  <c r="K1338" s="1"/>
  <c r="K1344" s="1"/>
  <c r="K1346" s="1"/>
  <c r="P198"/>
  <c r="I1378"/>
  <c r="K1378" s="1"/>
  <c r="P298"/>
  <c r="R298" s="1"/>
  <c r="R304" s="1"/>
  <c r="R306" s="1"/>
  <c r="P51"/>
  <c r="R51" s="1"/>
  <c r="I228"/>
  <c r="K228" s="1"/>
  <c r="K234" s="1"/>
  <c r="K236" s="1"/>
  <c r="R2165"/>
  <c r="R2167" s="1"/>
  <c r="X1382"/>
  <c r="X1384" s="1"/>
  <c r="V1399"/>
  <c r="P1289"/>
  <c r="R1289" s="1"/>
  <c r="P1268"/>
  <c r="R1226"/>
  <c r="T1226" s="1"/>
  <c r="P3552"/>
  <c r="R3552" s="1"/>
  <c r="V3548"/>
  <c r="K3548"/>
  <c r="AG3548"/>
  <c r="V1452"/>
  <c r="P1537"/>
  <c r="R1537" s="1"/>
  <c r="R1491"/>
  <c r="R1145"/>
  <c r="P1176"/>
  <c r="R1176" s="1"/>
  <c r="AG339"/>
  <c r="AI339" s="1"/>
  <c r="X339"/>
  <c r="AD1407"/>
  <c r="X1409"/>
  <c r="P1267"/>
  <c r="R1225"/>
  <c r="T1225" s="1"/>
  <c r="P1288"/>
  <c r="R1288" s="1"/>
  <c r="K3990"/>
  <c r="I3991"/>
  <c r="K3184"/>
  <c r="I3199"/>
  <c r="P1113"/>
  <c r="R1091"/>
  <c r="AI3561"/>
  <c r="V3624"/>
  <c r="P2346"/>
  <c r="R2346" s="1"/>
  <c r="I1769"/>
  <c r="K1769" s="1"/>
  <c r="K1777" s="1"/>
  <c r="K93"/>
  <c r="X3139"/>
  <c r="V3164"/>
  <c r="X3164" s="1"/>
  <c r="K3646"/>
  <c r="P3470"/>
  <c r="R3470" s="1"/>
  <c r="P1494"/>
  <c r="R1463"/>
  <c r="V1424"/>
  <c r="X1424" s="1"/>
  <c r="X708"/>
  <c r="AA708" s="1"/>
  <c r="V678"/>
  <c r="R1493"/>
  <c r="V1454"/>
  <c r="AF531"/>
  <c r="AD555"/>
  <c r="AF555" s="1"/>
  <c r="AK531"/>
  <c r="P3068"/>
  <c r="R3068" s="1"/>
  <c r="K3061"/>
  <c r="I3080"/>
  <c r="K3080" s="1"/>
  <c r="P1484"/>
  <c r="R1477"/>
  <c r="V1438"/>
  <c r="AD1421"/>
  <c r="AF1421" s="1"/>
  <c r="AF1404"/>
  <c r="P1177"/>
  <c r="R1177" s="1"/>
  <c r="R1146"/>
  <c r="AF1359"/>
  <c r="AF1365" s="1"/>
  <c r="AD1376"/>
  <c r="AU68"/>
  <c r="AS94"/>
  <c r="K4020"/>
  <c r="I4035"/>
  <c r="K4035" s="1"/>
  <c r="I4021"/>
  <c r="V3579"/>
  <c r="X3563"/>
  <c r="P3714"/>
  <c r="R3714" s="1"/>
  <c r="R3721" s="1"/>
  <c r="R3722" s="1"/>
  <c r="X3717"/>
  <c r="AS3116"/>
  <c r="AS3117" s="1"/>
  <c r="AS3118" s="1"/>
  <c r="AT3116"/>
  <c r="AT3117" s="1"/>
  <c r="AT3118" s="1"/>
  <c r="I3271"/>
  <c r="K3271" s="1"/>
  <c r="L3237" s="1"/>
  <c r="K3186"/>
  <c r="I3257"/>
  <c r="K3257" s="1"/>
  <c r="X803"/>
  <c r="V818"/>
  <c r="X818" s="1"/>
  <c r="P1538"/>
  <c r="R1538" s="1"/>
  <c r="V1456"/>
  <c r="R1495"/>
  <c r="AE1209"/>
  <c r="AE1210" s="1"/>
  <c r="AL1208"/>
  <c r="V3558"/>
  <c r="V3522"/>
  <c r="X3522" s="1"/>
  <c r="X3542"/>
  <c r="P1286"/>
  <c r="R1286" s="1"/>
  <c r="P1265"/>
  <c r="R1223"/>
  <c r="T1223" s="1"/>
  <c r="AG429"/>
  <c r="AI429" s="1"/>
  <c r="AI393"/>
  <c r="V1325"/>
  <c r="X1325" s="1"/>
  <c r="X1305"/>
  <c r="V1395"/>
  <c r="X1378"/>
  <c r="X1461"/>
  <c r="AD1459"/>
  <c r="AF1459" s="1"/>
  <c r="W592"/>
  <c r="R22"/>
  <c r="R28" s="1"/>
  <c r="R30" s="1"/>
  <c r="AF1370"/>
  <c r="AD1387"/>
  <c r="AF1387" s="1"/>
  <c r="P2350"/>
  <c r="R2350" s="1"/>
  <c r="K142"/>
  <c r="K146" s="1"/>
  <c r="V1243"/>
  <c r="R1263"/>
  <c r="P1240"/>
  <c r="R1240" s="1"/>
  <c r="V3575"/>
  <c r="X3559"/>
  <c r="V1460"/>
  <c r="R1499"/>
  <c r="I2901"/>
  <c r="K2901" s="1"/>
  <c r="K507"/>
  <c r="K513" s="1"/>
  <c r="K515" s="1"/>
  <c r="AS65"/>
  <c r="AG315"/>
  <c r="AI315" s="1"/>
  <c r="X315"/>
  <c r="J543"/>
  <c r="W543"/>
  <c r="AE542" s="1"/>
  <c r="AL542" s="1"/>
  <c r="P1115"/>
  <c r="R1093"/>
  <c r="I615"/>
  <c r="K615"/>
  <c r="V710"/>
  <c r="AF645"/>
  <c r="AH645" s="1"/>
  <c r="X645"/>
  <c r="V1458"/>
  <c r="R1497"/>
  <c r="AK556"/>
  <c r="AM556" s="1"/>
  <c r="AM532"/>
  <c r="AD1406"/>
  <c r="X1408"/>
  <c r="V3577"/>
  <c r="X3561"/>
  <c r="I2412"/>
  <c r="K2400"/>
  <c r="K2405" s="1"/>
  <c r="V3529"/>
  <c r="V3565"/>
  <c r="V3581" s="1"/>
  <c r="V1303"/>
  <c r="R1262"/>
  <c r="V1242"/>
  <c r="P1239"/>
  <c r="R1239" s="1"/>
  <c r="K2930"/>
  <c r="I2949"/>
  <c r="W567"/>
  <c r="AE566" s="1"/>
  <c r="AL566" s="1"/>
  <c r="J565"/>
  <c r="P1282"/>
  <c r="R1282" s="1"/>
  <c r="P1261"/>
  <c r="R1219"/>
  <c r="T1219" s="1"/>
  <c r="L89"/>
  <c r="M89" s="1"/>
  <c r="K90"/>
  <c r="K91" s="1"/>
  <c r="I3809"/>
  <c r="K3809" s="1"/>
  <c r="K3814" s="1"/>
  <c r="K3816" s="1"/>
  <c r="P66"/>
  <c r="R66" s="1"/>
  <c r="P321"/>
  <c r="R321" s="1"/>
  <c r="R327" s="1"/>
  <c r="R329" s="1"/>
  <c r="I1273"/>
  <c r="AD1334"/>
  <c r="AE1334" s="1"/>
  <c r="AE1338" s="1"/>
  <c r="AE1339" s="1"/>
  <c r="V1343" s="1"/>
  <c r="X1343" s="1"/>
  <c r="P309"/>
  <c r="R309" s="1"/>
  <c r="R315" s="1"/>
  <c r="R317" s="1"/>
  <c r="I213"/>
  <c r="K213" s="1"/>
  <c r="K14"/>
  <c r="N14"/>
  <c r="K4025"/>
  <c r="I4036"/>
  <c r="K4036" s="1"/>
  <c r="AK1193"/>
  <c r="AM1193" s="1"/>
  <c r="AF1193"/>
  <c r="AI3542"/>
  <c r="AG3558"/>
  <c r="R1863"/>
  <c r="R1870" s="1"/>
  <c r="R1872" s="1"/>
  <c r="P1881" s="1"/>
  <c r="R1881" s="1"/>
  <c r="R1883" s="1"/>
  <c r="P1894"/>
  <c r="R1894" s="1"/>
  <c r="V429"/>
  <c r="X429" s="1"/>
  <c r="X397"/>
  <c r="I3965"/>
  <c r="K3949"/>
  <c r="R3374"/>
  <c r="R3376" s="1"/>
  <c r="R57"/>
  <c r="R60" s="1"/>
  <c r="R3073"/>
  <c r="R3075" s="1"/>
  <c r="K3677"/>
  <c r="K3679" s="1"/>
  <c r="K3359"/>
  <c r="K3360" s="1"/>
  <c r="X3261"/>
  <c r="X3263" s="1"/>
  <c r="K2981"/>
  <c r="K2983" s="1"/>
  <c r="K3649"/>
  <c r="K3650" s="1"/>
  <c r="K3114"/>
  <c r="K3116" s="1"/>
  <c r="I3923"/>
  <c r="I880"/>
  <c r="P2096"/>
  <c r="V3637"/>
  <c r="X3637" s="1"/>
  <c r="R1114"/>
  <c r="P1269"/>
  <c r="R1227"/>
  <c r="T1227" s="1"/>
  <c r="P1290"/>
  <c r="R1290" s="1"/>
  <c r="K3928"/>
  <c r="I3946"/>
  <c r="W491"/>
  <c r="J667"/>
  <c r="I338"/>
  <c r="P182"/>
  <c r="R182" s="1"/>
  <c r="AS88"/>
  <c r="AU88" s="1"/>
  <c r="K1080"/>
  <c r="K1081" s="1"/>
  <c r="K1083" s="1"/>
  <c r="P1076"/>
  <c r="I1095"/>
  <c r="R1501"/>
  <c r="V1462"/>
  <c r="X359"/>
  <c r="AG368"/>
  <c r="AI368" s="1"/>
  <c r="V3604"/>
  <c r="X3604" s="1"/>
  <c r="X3587"/>
  <c r="I3963"/>
  <c r="K3947"/>
  <c r="K2610"/>
  <c r="K2614" s="1"/>
  <c r="K2617" s="1"/>
  <c r="M2617" s="1"/>
  <c r="H3855"/>
  <c r="K1890"/>
  <c r="K1892" s="1"/>
  <c r="I1899"/>
  <c r="K1899" s="1"/>
  <c r="K1901" s="1"/>
  <c r="X1389"/>
  <c r="V1405"/>
  <c r="I2360"/>
  <c r="I2362"/>
  <c r="I2356"/>
  <c r="I2388" s="1"/>
  <c r="K2388" s="1"/>
  <c r="V3573"/>
  <c r="X3557"/>
  <c r="V901"/>
  <c r="X901" s="1"/>
  <c r="X885"/>
  <c r="AD3623"/>
  <c r="AF3623" s="1"/>
  <c r="X3623"/>
  <c r="P1539"/>
  <c r="R1539" s="1"/>
  <c r="R1496"/>
  <c r="V1457"/>
  <c r="X383"/>
  <c r="V414"/>
  <c r="X414" s="1"/>
  <c r="AG392"/>
  <c r="P1461"/>
  <c r="R1444"/>
  <c r="AU67"/>
  <c r="AS93"/>
  <c r="AI3559"/>
  <c r="V3622"/>
  <c r="AH3115"/>
  <c r="AH3116" s="1"/>
  <c r="AH3117" s="1"/>
  <c r="AJ3115"/>
  <c r="AJ3116" s="1"/>
  <c r="AJ3117" s="1"/>
  <c r="AI3115"/>
  <c r="AI3116" s="1"/>
  <c r="AI3117" s="1"/>
  <c r="V3661"/>
  <c r="V3709"/>
  <c r="R2826"/>
  <c r="P2859"/>
  <c r="R2859" s="1"/>
  <c r="P1454"/>
  <c r="R1438"/>
  <c r="AS92"/>
  <c r="AU66"/>
  <c r="I3357"/>
  <c r="K3357" s="1"/>
  <c r="K3370"/>
  <c r="K3372" s="1"/>
  <c r="K3373" s="1"/>
  <c r="K4024"/>
  <c r="I4037"/>
  <c r="K4037" s="1"/>
  <c r="K811"/>
  <c r="V804"/>
  <c r="V646"/>
  <c r="K2150"/>
  <c r="K2158" s="1"/>
  <c r="K2160" s="1"/>
  <c r="P2157"/>
  <c r="R2157" s="1"/>
  <c r="I4066"/>
  <c r="K4066" s="1"/>
  <c r="K4076" s="1"/>
  <c r="K4078" s="1"/>
  <c r="X3116"/>
  <c r="X3126" s="1"/>
  <c r="X3128" s="1"/>
  <c r="V3133"/>
  <c r="R1336"/>
  <c r="AD1192"/>
  <c r="V1302"/>
  <c r="X805"/>
  <c r="V820"/>
  <c r="X820" s="1"/>
  <c r="I4012"/>
  <c r="K3996"/>
  <c r="AA15"/>
  <c r="AE14"/>
  <c r="AI395"/>
  <c r="AG431"/>
  <c r="AI431" s="1"/>
  <c r="AS395"/>
  <c r="AU395" s="1"/>
  <c r="I3082"/>
  <c r="K3082" s="1"/>
  <c r="K3063"/>
  <c r="P3070"/>
  <c r="R3070" s="1"/>
  <c r="P3571"/>
  <c r="R3571" s="1"/>
  <c r="K3568"/>
  <c r="K604"/>
  <c r="I597"/>
  <c r="K597" s="1"/>
  <c r="I598" s="1"/>
  <c r="K598" s="1"/>
  <c r="I599" s="1"/>
  <c r="K599" s="1"/>
  <c r="I600" s="1"/>
  <c r="K600" s="1"/>
  <c r="I601" s="1"/>
  <c r="K601" s="1"/>
  <c r="I3998"/>
  <c r="AF1363"/>
  <c r="AD1380"/>
  <c r="P3406"/>
  <c r="R3372"/>
  <c r="R1264"/>
  <c r="P1241"/>
  <c r="R1241" s="1"/>
  <c r="V1244"/>
  <c r="W523"/>
  <c r="AE490"/>
  <c r="I1480"/>
  <c r="K1480" s="1"/>
  <c r="K1485" s="1"/>
  <c r="K1487" s="1"/>
  <c r="I3254"/>
  <c r="K3254" s="1"/>
  <c r="K3260" s="1"/>
  <c r="K3262" s="1"/>
  <c r="I1455"/>
  <c r="K1455" s="1"/>
  <c r="K1460" s="1"/>
  <c r="K1462" s="1"/>
  <c r="I1467"/>
  <c r="K1467" s="1"/>
  <c r="K1472" s="1"/>
  <c r="K1474" s="1"/>
  <c r="I1394"/>
  <c r="K1394" s="1"/>
  <c r="K1400" s="1"/>
  <c r="K1402" s="1"/>
  <c r="P630" s="1"/>
  <c r="R630" s="1"/>
  <c r="I299"/>
  <c r="K299" s="1"/>
  <c r="K306" s="1"/>
  <c r="K308" s="1"/>
  <c r="AG314"/>
  <c r="AI314" s="1"/>
  <c r="I314"/>
  <c r="K314" s="1"/>
  <c r="K321" s="1"/>
  <c r="K323" s="1"/>
  <c r="I198"/>
  <c r="K198" s="1"/>
  <c r="P80"/>
  <c r="R80" s="1"/>
  <c r="R87" s="1"/>
  <c r="R89" s="1"/>
  <c r="P656" s="1"/>
  <c r="R656" s="1"/>
  <c r="AS64"/>
  <c r="AU64" s="1"/>
  <c r="V314"/>
  <c r="X314" s="1"/>
  <c r="X321" s="1"/>
  <c r="X323" s="1"/>
  <c r="X325" s="1"/>
  <c r="P338"/>
  <c r="R338" s="1"/>
  <c r="R344" s="1"/>
  <c r="R346" s="1"/>
  <c r="R3263"/>
  <c r="R3272" s="1"/>
  <c r="R3274" s="1"/>
  <c r="I3323"/>
  <c r="K3323" s="1"/>
  <c r="K3331" s="1"/>
  <c r="K3333" s="1"/>
  <c r="P1175"/>
  <c r="R1175" s="1"/>
  <c r="R1144"/>
  <c r="I3270"/>
  <c r="K3270" s="1"/>
  <c r="L3236" s="1"/>
  <c r="K3185"/>
  <c r="I3256"/>
  <c r="K3256" s="1"/>
  <c r="V1324"/>
  <c r="X1324" s="1"/>
  <c r="X1304"/>
  <c r="P1485"/>
  <c r="R1478"/>
  <c r="V1439"/>
  <c r="V3626"/>
  <c r="AI3563"/>
  <c r="P1616"/>
  <c r="R1616" s="1"/>
  <c r="R1621" s="1"/>
  <c r="R1623" s="1"/>
  <c r="K1615"/>
  <c r="K1620" s="1"/>
  <c r="K1622" s="1"/>
  <c r="K104"/>
  <c r="K106"/>
  <c r="K107" s="1"/>
  <c r="AS394"/>
  <c r="AU394" s="1"/>
  <c r="AG430"/>
  <c r="AI430" s="1"/>
  <c r="AI394"/>
  <c r="AD1405"/>
  <c r="X1407"/>
  <c r="I3078"/>
  <c r="K3078" s="1"/>
  <c r="K3085" s="1"/>
  <c r="K3087" s="1"/>
  <c r="K3059"/>
  <c r="K3066" s="1"/>
  <c r="K3068" s="1"/>
  <c r="P3066"/>
  <c r="R3066" s="1"/>
  <c r="V3639"/>
  <c r="X3639" s="1"/>
  <c r="R1116"/>
  <c r="V3591"/>
  <c r="X3576"/>
  <c r="J3854"/>
  <c r="H3875"/>
  <c r="P1450"/>
  <c r="R1434"/>
  <c r="K3571"/>
  <c r="R1440"/>
  <c r="R1901"/>
  <c r="R1903" s="1"/>
  <c r="P1912" s="1"/>
  <c r="R1912" s="1"/>
  <c r="R1914" s="1"/>
  <c r="R3339"/>
  <c r="R3341" s="1"/>
  <c r="R3574"/>
  <c r="R2988"/>
  <c r="R2990" s="1"/>
  <c r="K2907"/>
  <c r="K2909" s="1"/>
  <c r="K2913" s="1"/>
  <c r="K2915" s="1"/>
  <c r="K3594"/>
  <c r="I3595" s="1"/>
  <c r="K3595" s="1"/>
  <c r="I3596" s="1"/>
  <c r="K3596" s="1"/>
  <c r="I3597" s="1"/>
  <c r="K3597" s="1"/>
  <c r="R2087"/>
  <c r="R2089" s="1"/>
  <c r="R3305"/>
  <c r="R3307" s="1"/>
  <c r="I552" l="1"/>
  <c r="K552" s="1"/>
  <c r="K557" s="1"/>
  <c r="K559" s="1"/>
  <c r="I561" s="1"/>
  <c r="K561" s="1"/>
  <c r="I562" s="1"/>
  <c r="K562" s="1"/>
  <c r="I563" s="1"/>
  <c r="K563" s="1"/>
  <c r="I564" s="1"/>
  <c r="K564" s="1"/>
  <c r="I565" s="1"/>
  <c r="K565" s="1"/>
  <c r="I566" s="1"/>
  <c r="K566" s="1"/>
  <c r="I567" s="1"/>
  <c r="K567" s="1"/>
  <c r="I568" s="1"/>
  <c r="K568" s="1"/>
  <c r="I569" s="1"/>
  <c r="K569" s="1"/>
  <c r="I570" s="1"/>
  <c r="K570" s="1"/>
  <c r="I571" s="1"/>
  <c r="K571" s="1"/>
  <c r="I572" s="1"/>
  <c r="K572" s="1"/>
  <c r="I573" s="1"/>
  <c r="K573" s="1"/>
  <c r="I528"/>
  <c r="K528" s="1"/>
  <c r="K533" s="1"/>
  <c r="K535" s="1"/>
  <c r="I537" s="1"/>
  <c r="K537" s="1"/>
  <c r="I538" s="1"/>
  <c r="K538" s="1"/>
  <c r="I539" s="1"/>
  <c r="K539" s="1"/>
  <c r="I540" s="1"/>
  <c r="K540" s="1"/>
  <c r="I541" s="1"/>
  <c r="K541" s="1"/>
  <c r="I542" s="1"/>
  <c r="K542" s="1"/>
  <c r="I543" s="1"/>
  <c r="K543" s="1"/>
  <c r="I544" s="1"/>
  <c r="K519"/>
  <c r="K521" s="1"/>
  <c r="AF1399"/>
  <c r="I2929"/>
  <c r="K2929" s="1"/>
  <c r="K2916"/>
  <c r="H3891"/>
  <c r="J3891" s="1"/>
  <c r="J3875"/>
  <c r="AF1380"/>
  <c r="AD1397"/>
  <c r="AF1397" s="1"/>
  <c r="I4027"/>
  <c r="K4012"/>
  <c r="P1541"/>
  <c r="R1541" s="1"/>
  <c r="X804"/>
  <c r="V819"/>
  <c r="X819" s="1"/>
  <c r="X3709"/>
  <c r="X3711" s="1"/>
  <c r="X3712" s="1"/>
  <c r="V3723"/>
  <c r="X3723" s="1"/>
  <c r="X3725" s="1"/>
  <c r="X3726" s="1"/>
  <c r="K3946"/>
  <c r="I3962"/>
  <c r="P1246"/>
  <c r="R1246" s="1"/>
  <c r="P1385"/>
  <c r="R1385" s="1"/>
  <c r="R1269"/>
  <c r="V1249"/>
  <c r="V880"/>
  <c r="I896"/>
  <c r="K896" s="1"/>
  <c r="K880"/>
  <c r="I862"/>
  <c r="I3982"/>
  <c r="K3982" s="1"/>
  <c r="K3965"/>
  <c r="I2445"/>
  <c r="K2445" s="1"/>
  <c r="K2412"/>
  <c r="K2417" s="1"/>
  <c r="I616"/>
  <c r="K616"/>
  <c r="AS89"/>
  <c r="AU65"/>
  <c r="V764"/>
  <c r="X764" s="1"/>
  <c r="V732"/>
  <c r="X732" s="1"/>
  <c r="X678"/>
  <c r="AD3624"/>
  <c r="AF3624" s="1"/>
  <c r="X3624"/>
  <c r="K3199"/>
  <c r="K3202" s="1"/>
  <c r="K3204" s="1"/>
  <c r="I3213"/>
  <c r="I3244"/>
  <c r="AD1424"/>
  <c r="AF1424" s="1"/>
  <c r="AF1407"/>
  <c r="AI3548"/>
  <c r="AG3564"/>
  <c r="V198"/>
  <c r="X198" s="1"/>
  <c r="R198"/>
  <c r="P1218"/>
  <c r="K1222"/>
  <c r="K1240" s="1"/>
  <c r="K1243" s="1"/>
  <c r="P286" s="1"/>
  <c r="R286" s="1"/>
  <c r="R291" s="1"/>
  <c r="R293" s="1"/>
  <c r="V1334"/>
  <c r="X1334" s="1"/>
  <c r="V1301"/>
  <c r="AD1191"/>
  <c r="R1335"/>
  <c r="R1340" s="1"/>
  <c r="R1342" s="1"/>
  <c r="R1343" s="1"/>
  <c r="R1344" s="1"/>
  <c r="R1345" s="1"/>
  <c r="R1346" s="1"/>
  <c r="R1347" s="1"/>
  <c r="Q1343" s="1"/>
  <c r="Q1344" s="1"/>
  <c r="P1375"/>
  <c r="R1375" s="1"/>
  <c r="P3463"/>
  <c r="R3463" s="1"/>
  <c r="R3476" s="1"/>
  <c r="R3478" s="1"/>
  <c r="K3457"/>
  <c r="K3470" s="1"/>
  <c r="K3472" s="1"/>
  <c r="I3824"/>
  <c r="K3824" s="1"/>
  <c r="K3837" s="1"/>
  <c r="K3839" s="1"/>
  <c r="K382"/>
  <c r="K389" s="1"/>
  <c r="K391" s="1"/>
  <c r="I396" s="1"/>
  <c r="K396" s="1"/>
  <c r="K400" s="1"/>
  <c r="K402" s="1"/>
  <c r="K404" s="1"/>
  <c r="V382"/>
  <c r="P1467"/>
  <c r="R1450"/>
  <c r="AD3626"/>
  <c r="AF3626" s="1"/>
  <c r="X3626"/>
  <c r="AD1249"/>
  <c r="X1244"/>
  <c r="P3450"/>
  <c r="R3406"/>
  <c r="R3408" s="1"/>
  <c r="R3410" s="1"/>
  <c r="V1322"/>
  <c r="X1322" s="1"/>
  <c r="X1302"/>
  <c r="AG428"/>
  <c r="AS392"/>
  <c r="AU392" s="1"/>
  <c r="AI392"/>
  <c r="AG406"/>
  <c r="AI406" s="1"/>
  <c r="W524"/>
  <c r="AE491"/>
  <c r="P2102"/>
  <c r="R2096"/>
  <c r="V1241"/>
  <c r="R1261"/>
  <c r="P1238"/>
  <c r="R1238" s="1"/>
  <c r="K2949"/>
  <c r="I2958"/>
  <c r="K2958" s="1"/>
  <c r="X710"/>
  <c r="AA710" s="1"/>
  <c r="V680"/>
  <c r="V3638"/>
  <c r="X3638" s="1"/>
  <c r="R1115"/>
  <c r="X1395"/>
  <c r="V1411"/>
  <c r="AD1393"/>
  <c r="AF1393" s="1"/>
  <c r="AF1376"/>
  <c r="R1484"/>
  <c r="V1445"/>
  <c r="AK555"/>
  <c r="AM555" s="1"/>
  <c r="AM531"/>
  <c r="V3636"/>
  <c r="X3636" s="1"/>
  <c r="X3647" s="1"/>
  <c r="X3649" s="1"/>
  <c r="R1113"/>
  <c r="X1452"/>
  <c r="AD1450"/>
  <c r="AF1450" s="1"/>
  <c r="V1415"/>
  <c r="X1399"/>
  <c r="K1251"/>
  <c r="K1264" s="1"/>
  <c r="K1266" s="1"/>
  <c r="V1280"/>
  <c r="X1280" s="1"/>
  <c r="X1293" s="1"/>
  <c r="X1295" s="1"/>
  <c r="K2426"/>
  <c r="K2435" s="1"/>
  <c r="K2437" s="1"/>
  <c r="P2433"/>
  <c r="R2433" s="1"/>
  <c r="R2442" s="1"/>
  <c r="R2444" s="1"/>
  <c r="P269"/>
  <c r="R269" s="1"/>
  <c r="R273" s="1"/>
  <c r="R275" s="1"/>
  <c r="R277" s="1"/>
  <c r="R278" s="1"/>
  <c r="R279" s="1"/>
  <c r="R280" s="1"/>
  <c r="I428"/>
  <c r="K428" s="1"/>
  <c r="K432" s="1"/>
  <c r="K434" s="1"/>
  <c r="K436" s="1"/>
  <c r="K437" s="1"/>
  <c r="K438" s="1"/>
  <c r="K439" s="1"/>
  <c r="K440" s="1"/>
  <c r="AD1422"/>
  <c r="AF1422" s="1"/>
  <c r="AF1405"/>
  <c r="R1485"/>
  <c r="V1446"/>
  <c r="K3998"/>
  <c r="I4014"/>
  <c r="I3504"/>
  <c r="K3504" s="1"/>
  <c r="I3502"/>
  <c r="K3502" s="1"/>
  <c r="K3516" s="1"/>
  <c r="K3517" s="1"/>
  <c r="AE15"/>
  <c r="V3158"/>
  <c r="X3158" s="1"/>
  <c r="X3168" s="1"/>
  <c r="X3170" s="1"/>
  <c r="X3133"/>
  <c r="X3143" s="1"/>
  <c r="X3145" s="1"/>
  <c r="R1461"/>
  <c r="P1492"/>
  <c r="V1422"/>
  <c r="X1422" s="1"/>
  <c r="X1457"/>
  <c r="AD1455"/>
  <c r="AF1455" s="1"/>
  <c r="X3573"/>
  <c r="V3588"/>
  <c r="X1405"/>
  <c r="AD1403"/>
  <c r="H3876"/>
  <c r="J3855"/>
  <c r="J3859" s="1"/>
  <c r="J3861" s="1"/>
  <c r="X1462"/>
  <c r="AD1460"/>
  <c r="AF1460" s="1"/>
  <c r="J668"/>
  <c r="J669" s="1"/>
  <c r="J670" s="1"/>
  <c r="J671" s="1"/>
  <c r="J672" s="1"/>
  <c r="W492"/>
  <c r="I1993"/>
  <c r="I1973"/>
  <c r="I2107"/>
  <c r="K2107" s="1"/>
  <c r="K2113" s="1"/>
  <c r="P598"/>
  <c r="R598" s="1"/>
  <c r="P612"/>
  <c r="R612" s="1"/>
  <c r="P625"/>
  <c r="R625" s="1"/>
  <c r="X1242"/>
  <c r="AD1247"/>
  <c r="X3577"/>
  <c r="V3592"/>
  <c r="X3575"/>
  <c r="V3590"/>
  <c r="I4022"/>
  <c r="K4021"/>
  <c r="X1454"/>
  <c r="AD1452"/>
  <c r="AF1452" s="1"/>
  <c r="K3991"/>
  <c r="I3992"/>
  <c r="K3992" s="1"/>
  <c r="P1244"/>
  <c r="R1244" s="1"/>
  <c r="V1247"/>
  <c r="P1383"/>
  <c r="R1383" s="1"/>
  <c r="R1267"/>
  <c r="V3564"/>
  <c r="V3528"/>
  <c r="X3528" s="1"/>
  <c r="X3548"/>
  <c r="P657"/>
  <c r="R657" s="1"/>
  <c r="P614"/>
  <c r="R614" s="1"/>
  <c r="P600"/>
  <c r="R600" s="1"/>
  <c r="K1442"/>
  <c r="K1444" s="1"/>
  <c r="I1991" s="1"/>
  <c r="L1414"/>
  <c r="K358"/>
  <c r="K365" s="1"/>
  <c r="K367" s="1"/>
  <c r="K369" s="1"/>
  <c r="V358"/>
  <c r="AS166"/>
  <c r="AU166" s="1"/>
  <c r="AU135"/>
  <c r="AU71"/>
  <c r="AU73" s="1"/>
  <c r="AU75" s="1"/>
  <c r="AU76" s="1"/>
  <c r="AU77" s="1"/>
  <c r="AU78" s="1"/>
  <c r="AU79" s="1"/>
  <c r="AI321"/>
  <c r="AI323" s="1"/>
  <c r="AH652"/>
  <c r="AH654" s="1"/>
  <c r="AH656" s="1"/>
  <c r="R1545"/>
  <c r="R1547" s="1"/>
  <c r="S1547" s="1"/>
  <c r="X1439"/>
  <c r="AD1437"/>
  <c r="AF1437" s="1"/>
  <c r="AK1192"/>
  <c r="AM1192" s="1"/>
  <c r="AF1192"/>
  <c r="I1110"/>
  <c r="K1110" s="1"/>
  <c r="K1112" s="1"/>
  <c r="K1114" s="1"/>
  <c r="K1095"/>
  <c r="K1097" s="1"/>
  <c r="K1099" s="1"/>
  <c r="I1287"/>
  <c r="K1287" s="1"/>
  <c r="K1292" s="1"/>
  <c r="K1294" s="1"/>
  <c r="AD1266"/>
  <c r="AF1266" s="1"/>
  <c r="AF1271" s="1"/>
  <c r="AF1273" s="1"/>
  <c r="K1273"/>
  <c r="K1278" s="1"/>
  <c r="K1280" s="1"/>
  <c r="V1323"/>
  <c r="X1323" s="1"/>
  <c r="X1303"/>
  <c r="AD1423"/>
  <c r="AF1423" s="1"/>
  <c r="AF1406"/>
  <c r="X1458"/>
  <c r="AD1456"/>
  <c r="AF1456" s="1"/>
  <c r="X1460"/>
  <c r="AD1458"/>
  <c r="AF1458" s="1"/>
  <c r="R1494"/>
  <c r="V1455"/>
  <c r="X3591"/>
  <c r="V3608"/>
  <c r="X3608" s="1"/>
  <c r="V709"/>
  <c r="AF646"/>
  <c r="AH646" s="1"/>
  <c r="X646"/>
  <c r="X652" s="1"/>
  <c r="X654" s="1"/>
  <c r="X656" s="1"/>
  <c r="AU92"/>
  <c r="AS112"/>
  <c r="AS113"/>
  <c r="AU93"/>
  <c r="Z325"/>
  <c r="X326"/>
  <c r="K325"/>
  <c r="P627"/>
  <c r="R627" s="1"/>
  <c r="P626"/>
  <c r="R626" s="1"/>
  <c r="I177"/>
  <c r="K177" s="1"/>
  <c r="K181" s="1"/>
  <c r="C73"/>
  <c r="V707"/>
  <c r="V802"/>
  <c r="P1471"/>
  <c r="R1454"/>
  <c r="AG3662"/>
  <c r="AI3662" s="1"/>
  <c r="AI3663" s="1"/>
  <c r="AI3664" s="1"/>
  <c r="V3691"/>
  <c r="X3691" s="1"/>
  <c r="X3697" s="1"/>
  <c r="X3698" s="1"/>
  <c r="X3661"/>
  <c r="X3669" s="1"/>
  <c r="X3670" s="1"/>
  <c r="AD3622"/>
  <c r="AF3622" s="1"/>
  <c r="X3622"/>
  <c r="I2940"/>
  <c r="K2940" s="1"/>
  <c r="I2931"/>
  <c r="K3963"/>
  <c r="I3980"/>
  <c r="K3980" s="1"/>
  <c r="P1102"/>
  <c r="R1076"/>
  <c r="R1077" s="1"/>
  <c r="R1079" s="1"/>
  <c r="V338"/>
  <c r="K338"/>
  <c r="K345" s="1"/>
  <c r="K347" s="1"/>
  <c r="K349" s="1"/>
  <c r="I3941"/>
  <c r="K3923"/>
  <c r="V3621"/>
  <c r="AI3558"/>
  <c r="W568"/>
  <c r="AE567" s="1"/>
  <c r="AL567" s="1"/>
  <c r="J566"/>
  <c r="J567" s="1"/>
  <c r="J568" s="1"/>
  <c r="J569" s="1"/>
  <c r="J570" s="1"/>
  <c r="J571" s="1"/>
  <c r="J572" s="1"/>
  <c r="J573" s="1"/>
  <c r="W544"/>
  <c r="AE543" s="1"/>
  <c r="AL543" s="1"/>
  <c r="J544"/>
  <c r="X1243"/>
  <c r="AD1248"/>
  <c r="R1265"/>
  <c r="P1242"/>
  <c r="R1242" s="1"/>
  <c r="V1245"/>
  <c r="X3558"/>
  <c r="V3574"/>
  <c r="AD1454"/>
  <c r="AF1454" s="1"/>
  <c r="X1456"/>
  <c r="X3579"/>
  <c r="V3594"/>
  <c r="AS114"/>
  <c r="AU94"/>
  <c r="X1438"/>
  <c r="AD1436"/>
  <c r="AF1436" s="1"/>
  <c r="V1248"/>
  <c r="P1384"/>
  <c r="R1384" s="1"/>
  <c r="R1268"/>
  <c r="P1245"/>
  <c r="R1245" s="1"/>
  <c r="I1379"/>
  <c r="K1379" s="1"/>
  <c r="K1387" s="1"/>
  <c r="K1389" s="1"/>
  <c r="I1357"/>
  <c r="K1357" s="1"/>
  <c r="V1335"/>
  <c r="X1335" s="1"/>
  <c r="AW110"/>
  <c r="AX110" s="1"/>
  <c r="K470"/>
  <c r="K471" s="1"/>
  <c r="K472" s="1"/>
  <c r="P659"/>
  <c r="R659" s="1"/>
  <c r="X1401"/>
  <c r="R1456"/>
  <c r="R1457" s="1"/>
  <c r="K3189"/>
  <c r="K3190" s="1"/>
  <c r="K1365"/>
  <c r="K1367" s="1"/>
  <c r="K2448"/>
  <c r="K2450" s="1"/>
  <c r="X659" l="1"/>
  <c r="X657"/>
  <c r="L349"/>
  <c r="K350"/>
  <c r="X707"/>
  <c r="V677"/>
  <c r="K370"/>
  <c r="L370"/>
  <c r="J369"/>
  <c r="J3876"/>
  <c r="H3892"/>
  <c r="J3892" s="1"/>
  <c r="P2348"/>
  <c r="P233"/>
  <c r="R233" s="1"/>
  <c r="R240" s="1"/>
  <c r="R242" s="1"/>
  <c r="C74"/>
  <c r="I169"/>
  <c r="K169" s="1"/>
  <c r="K173" s="1"/>
  <c r="X1415"/>
  <c r="AD1413"/>
  <c r="V413"/>
  <c r="X413" s="1"/>
  <c r="X420" s="1"/>
  <c r="X422" s="1"/>
  <c r="V428" s="1"/>
  <c r="X428" s="1"/>
  <c r="X432" s="1"/>
  <c r="X434" s="1"/>
  <c r="X436" s="1"/>
  <c r="X437" s="1"/>
  <c r="X438" s="1"/>
  <c r="X439" s="1"/>
  <c r="X440" s="1"/>
  <c r="AG391"/>
  <c r="X382"/>
  <c r="X389" s="1"/>
  <c r="X391" s="1"/>
  <c r="V396" s="1"/>
  <c r="X396" s="1"/>
  <c r="X400" s="1"/>
  <c r="X402" s="1"/>
  <c r="X404" s="1"/>
  <c r="X405" s="1"/>
  <c r="X406" s="1"/>
  <c r="X407" s="1"/>
  <c r="X408" s="1"/>
  <c r="X1301"/>
  <c r="X1308" s="1"/>
  <c r="X1310" s="1"/>
  <c r="X1311" s="1"/>
  <c r="X1312" s="1"/>
  <c r="X1313" s="1"/>
  <c r="X1314" s="1"/>
  <c r="X1315" s="1"/>
  <c r="W1311" s="1"/>
  <c r="W1312" s="1"/>
  <c r="V1321"/>
  <c r="X1321" s="1"/>
  <c r="X1328" s="1"/>
  <c r="X1330" s="1"/>
  <c r="K617"/>
  <c r="I617"/>
  <c r="AD1250"/>
  <c r="X1245"/>
  <c r="P1123"/>
  <c r="R1102"/>
  <c r="R1103" s="1"/>
  <c r="R1105" s="1"/>
  <c r="X802"/>
  <c r="X813" s="1"/>
  <c r="V817"/>
  <c r="X817" s="1"/>
  <c r="X828" s="1"/>
  <c r="AA817" s="1"/>
  <c r="AA818" s="1"/>
  <c r="AA819" s="1"/>
  <c r="AA820" s="1"/>
  <c r="AA821" s="1"/>
  <c r="AA822" s="1"/>
  <c r="AA823" s="1"/>
  <c r="AA824" s="1"/>
  <c r="AA825" s="1"/>
  <c r="AA826" s="1"/>
  <c r="V3605"/>
  <c r="X3588"/>
  <c r="K4014"/>
  <c r="I4029"/>
  <c r="V1469"/>
  <c r="X1469" s="1"/>
  <c r="X1445"/>
  <c r="X1411"/>
  <c r="X1417" s="1"/>
  <c r="AD1409"/>
  <c r="V766"/>
  <c r="X766" s="1"/>
  <c r="V734"/>
  <c r="X734" s="1"/>
  <c r="X680"/>
  <c r="P2109"/>
  <c r="R2102"/>
  <c r="AF1249"/>
  <c r="AD1221"/>
  <c r="AF1221" s="1"/>
  <c r="V1428"/>
  <c r="X1428" s="1"/>
  <c r="P1498"/>
  <c r="R1467"/>
  <c r="AF1191"/>
  <c r="AF1196" s="1"/>
  <c r="AF1198" s="1"/>
  <c r="AF1199" s="1"/>
  <c r="AF1200" s="1"/>
  <c r="AF1201" s="1"/>
  <c r="AF1202" s="1"/>
  <c r="AF1203" s="1"/>
  <c r="AF1204" s="1"/>
  <c r="AF1205" s="1"/>
  <c r="AF1206" s="1"/>
  <c r="AF1207" s="1"/>
  <c r="AF1208" s="1"/>
  <c r="AF1209" s="1"/>
  <c r="AF1210" s="1"/>
  <c r="AK1191"/>
  <c r="AM1191" s="1"/>
  <c r="AM1196" s="1"/>
  <c r="AM1198" s="1"/>
  <c r="AM1199" s="1"/>
  <c r="AM1200" s="1"/>
  <c r="AM1201" s="1"/>
  <c r="AM1202" s="1"/>
  <c r="AM1203" s="1"/>
  <c r="AM1204" s="1"/>
  <c r="AM1205" s="1"/>
  <c r="AM1206" s="1"/>
  <c r="AM1207" s="1"/>
  <c r="AM1208" s="1"/>
  <c r="P1281"/>
  <c r="R1281" s="1"/>
  <c r="R1293" s="1"/>
  <c r="R1295" s="1"/>
  <c r="R1218"/>
  <c r="P1260"/>
  <c r="I3228"/>
  <c r="K3228" s="1"/>
  <c r="K3213"/>
  <c r="AS111"/>
  <c r="AU89"/>
  <c r="AU97" s="1"/>
  <c r="AU99" s="1"/>
  <c r="AU101" s="1"/>
  <c r="I2938"/>
  <c r="K2938" s="1"/>
  <c r="K2941" s="1"/>
  <c r="K2942" s="1"/>
  <c r="K2917"/>
  <c r="L472"/>
  <c r="K473"/>
  <c r="AD1220"/>
  <c r="AF1220" s="1"/>
  <c r="AF1248"/>
  <c r="I2950"/>
  <c r="K2931"/>
  <c r="P1502"/>
  <c r="V1432"/>
  <c r="X1432" s="1"/>
  <c r="P1479"/>
  <c r="R1471"/>
  <c r="Z326"/>
  <c r="X327"/>
  <c r="X328" s="1"/>
  <c r="X329" s="1"/>
  <c r="AU112"/>
  <c r="AS137"/>
  <c r="X709"/>
  <c r="AA709" s="1"/>
  <c r="V679"/>
  <c r="AI325"/>
  <c r="P599"/>
  <c r="AW166"/>
  <c r="AX166" s="1"/>
  <c r="K1991"/>
  <c r="P1991"/>
  <c r="R1991" s="1"/>
  <c r="K4022"/>
  <c r="I4023"/>
  <c r="K4023" s="1"/>
  <c r="K1993"/>
  <c r="P1993"/>
  <c r="R1993" s="1"/>
  <c r="V3627"/>
  <c r="AI3564"/>
  <c r="I3269"/>
  <c r="K3269" s="1"/>
  <c r="K3244"/>
  <c r="I3302"/>
  <c r="K3302" s="1"/>
  <c r="K862"/>
  <c r="V862"/>
  <c r="X862" s="1"/>
  <c r="P855"/>
  <c r="R855" s="1"/>
  <c r="X1249"/>
  <c r="AD1254"/>
  <c r="I3979"/>
  <c r="K3979" s="1"/>
  <c r="K3962"/>
  <c r="K4027"/>
  <c r="I4038"/>
  <c r="K4038" s="1"/>
  <c r="K522"/>
  <c r="K523" s="1"/>
  <c r="K524" s="1"/>
  <c r="L521"/>
  <c r="K2932"/>
  <c r="K2933" s="1"/>
  <c r="K544"/>
  <c r="I545" s="1"/>
  <c r="K545" s="1"/>
  <c r="I546" s="1"/>
  <c r="K4000"/>
  <c r="K4001" s="1"/>
  <c r="J3896"/>
  <c r="J3898" s="1"/>
  <c r="AD1253"/>
  <c r="X1248"/>
  <c r="AS139"/>
  <c r="AU114"/>
  <c r="J545"/>
  <c r="W545"/>
  <c r="AE544" s="1"/>
  <c r="AL544" s="1"/>
  <c r="AH659"/>
  <c r="AH661" s="1"/>
  <c r="AH662" s="1"/>
  <c r="AH663" s="1"/>
  <c r="AH664" s="1"/>
  <c r="AH665" s="1"/>
  <c r="AH666" s="1"/>
  <c r="AH657"/>
  <c r="V3580"/>
  <c r="X3564"/>
  <c r="R1492"/>
  <c r="V1453"/>
  <c r="L1339"/>
  <c r="L1337"/>
  <c r="I3957"/>
  <c r="K3941"/>
  <c r="X358"/>
  <c r="X365" s="1"/>
  <c r="X367" s="1"/>
  <c r="AG367"/>
  <c r="AI367" s="1"/>
  <c r="AI374" s="1"/>
  <c r="AI376" s="1"/>
  <c r="AI378" s="1"/>
  <c r="X1247"/>
  <c r="AD1252"/>
  <c r="X3590"/>
  <c r="V3607"/>
  <c r="X3607" s="1"/>
  <c r="AD1219"/>
  <c r="AF1219" s="1"/>
  <c r="AF1247"/>
  <c r="AE492"/>
  <c r="AE493" s="1"/>
  <c r="AE494" s="1"/>
  <c r="AE495" s="1"/>
  <c r="AE496" s="1"/>
  <c r="AE497" s="1"/>
  <c r="AE498" s="1"/>
  <c r="AE499" s="1"/>
  <c r="W525"/>
  <c r="W526" s="1"/>
  <c r="W527" s="1"/>
  <c r="X3594"/>
  <c r="V3611"/>
  <c r="X3611" s="1"/>
  <c r="X3574"/>
  <c r="V3589"/>
  <c r="X3621"/>
  <c r="AD3621"/>
  <c r="AF3621" s="1"/>
  <c r="X338"/>
  <c r="X345" s="1"/>
  <c r="X347" s="1"/>
  <c r="X349" s="1"/>
  <c r="X350" s="1"/>
  <c r="X351" s="1"/>
  <c r="X352" s="1"/>
  <c r="X353" s="1"/>
  <c r="AG338"/>
  <c r="AI338" s="1"/>
  <c r="AI345" s="1"/>
  <c r="AI347" s="1"/>
  <c r="AI349" s="1"/>
  <c r="AI350" s="1"/>
  <c r="AI351" s="1"/>
  <c r="AI352" s="1"/>
  <c r="AI353" s="1"/>
  <c r="AI354" s="1"/>
  <c r="AI355" s="1"/>
  <c r="AI356" s="1"/>
  <c r="AI357" s="1"/>
  <c r="AI358" s="1"/>
  <c r="AI359" s="1"/>
  <c r="AI360" s="1"/>
  <c r="AI361" s="1"/>
  <c r="AI362" s="1"/>
  <c r="I1707"/>
  <c r="K1707" s="1"/>
  <c r="K1713" s="1"/>
  <c r="K1715" s="1"/>
  <c r="P1143"/>
  <c r="I809"/>
  <c r="K809" s="1"/>
  <c r="K817" s="1"/>
  <c r="K819" s="1"/>
  <c r="P65"/>
  <c r="R65" s="1"/>
  <c r="R72" s="1"/>
  <c r="R74" s="1"/>
  <c r="P655" s="1"/>
  <c r="R655" s="1"/>
  <c r="P628"/>
  <c r="R628" s="1"/>
  <c r="I272"/>
  <c r="K272" s="1"/>
  <c r="K280" s="1"/>
  <c r="K282" s="1"/>
  <c r="I212"/>
  <c r="K212" s="1"/>
  <c r="K219" s="1"/>
  <c r="K221" s="1"/>
  <c r="P197"/>
  <c r="R197" s="1"/>
  <c r="R204" s="1"/>
  <c r="R206" s="1"/>
  <c r="K326"/>
  <c r="L325"/>
  <c r="AS138"/>
  <c r="AU113"/>
  <c r="AD1453"/>
  <c r="AF1453" s="1"/>
  <c r="X1455"/>
  <c r="AW135"/>
  <c r="AX135" s="1"/>
  <c r="X3592"/>
  <c r="V3609"/>
  <c r="X3609" s="1"/>
  <c r="K1973"/>
  <c r="K1979" s="1"/>
  <c r="P1973"/>
  <c r="R1973" s="1"/>
  <c r="R1980" s="1"/>
  <c r="AD1420"/>
  <c r="AF1420" s="1"/>
  <c r="AF1403"/>
  <c r="X1446"/>
  <c r="V1470"/>
  <c r="X1470" s="1"/>
  <c r="AD1246"/>
  <c r="X1241"/>
  <c r="AI428"/>
  <c r="AG443"/>
  <c r="AI443" s="1"/>
  <c r="I3530"/>
  <c r="R3450"/>
  <c r="R3452" s="1"/>
  <c r="R3454" s="1"/>
  <c r="J404"/>
  <c r="K405"/>
  <c r="X880"/>
  <c r="V896"/>
  <c r="X896" s="1"/>
  <c r="X1434"/>
  <c r="R1473"/>
  <c r="AF1382"/>
  <c r="R1388"/>
  <c r="R1390" s="1"/>
  <c r="X1347"/>
  <c r="X1349" s="1"/>
  <c r="K4016"/>
  <c r="K4017" s="1"/>
  <c r="J3880"/>
  <c r="J3882" s="1"/>
  <c r="L326" l="1"/>
  <c r="K327"/>
  <c r="AD1226"/>
  <c r="AF1226" s="1"/>
  <c r="AF1254"/>
  <c r="AX112"/>
  <c r="AW112"/>
  <c r="V1440"/>
  <c r="R1479"/>
  <c r="R1480" s="1"/>
  <c r="R1481" s="1"/>
  <c r="P1486"/>
  <c r="R1230"/>
  <c r="R1232" s="1"/>
  <c r="S1232" s="1"/>
  <c r="T1218"/>
  <c r="T1230" s="1"/>
  <c r="T1232" s="1"/>
  <c r="P2357"/>
  <c r="R2357" s="1"/>
  <c r="R2359" s="1"/>
  <c r="R2348"/>
  <c r="J370"/>
  <c r="K371"/>
  <c r="V531"/>
  <c r="X661"/>
  <c r="X662" s="1"/>
  <c r="X663" s="1"/>
  <c r="X664" s="1"/>
  <c r="X665" s="1"/>
  <c r="X666" s="1"/>
  <c r="R1143"/>
  <c r="R1154" s="1"/>
  <c r="R1158" s="1"/>
  <c r="P1174"/>
  <c r="R1174" s="1"/>
  <c r="R1185" s="1"/>
  <c r="R1186" s="1"/>
  <c r="R1187" s="1"/>
  <c r="R1188" s="1"/>
  <c r="AD1224"/>
  <c r="AF1224" s="1"/>
  <c r="AF1252"/>
  <c r="AW114"/>
  <c r="AX114" s="1"/>
  <c r="L3235"/>
  <c r="L3241" s="1"/>
  <c r="L3243" s="1"/>
  <c r="K3275"/>
  <c r="K3277" s="1"/>
  <c r="R599"/>
  <c r="P613"/>
  <c r="R613" s="1"/>
  <c r="AU137"/>
  <c r="AS168"/>
  <c r="AU168" s="1"/>
  <c r="L473"/>
  <c r="K474"/>
  <c r="AX101"/>
  <c r="AW101"/>
  <c r="AU102"/>
  <c r="R1260"/>
  <c r="R1272" s="1"/>
  <c r="R1274" s="1"/>
  <c r="V1240"/>
  <c r="P1237"/>
  <c r="R1237" s="1"/>
  <c r="R1249" s="1"/>
  <c r="R1251" s="1"/>
  <c r="AD1222"/>
  <c r="AF1222" s="1"/>
  <c r="AF1250"/>
  <c r="AD1430"/>
  <c r="AF1430" s="1"/>
  <c r="AF1413"/>
  <c r="L350"/>
  <c r="K351"/>
  <c r="AS169"/>
  <c r="AU169" s="1"/>
  <c r="AU138"/>
  <c r="I2994"/>
  <c r="K2994" s="1"/>
  <c r="K3001" s="1"/>
  <c r="K3003" s="1"/>
  <c r="K823"/>
  <c r="X369"/>
  <c r="V3595"/>
  <c r="X3580"/>
  <c r="W546"/>
  <c r="AE545" s="1"/>
  <c r="AL545" s="1"/>
  <c r="J546"/>
  <c r="AF1253"/>
  <c r="AD1225"/>
  <c r="AF1225" s="1"/>
  <c r="L3210"/>
  <c r="L3213" s="1"/>
  <c r="K3247"/>
  <c r="K3249" s="1"/>
  <c r="R1502"/>
  <c r="V1463"/>
  <c r="L3194"/>
  <c r="L3197" s="1"/>
  <c r="L3199" s="1"/>
  <c r="K3231"/>
  <c r="K3233" s="1"/>
  <c r="R2109"/>
  <c r="P2116"/>
  <c r="R2116" s="1"/>
  <c r="R2118" s="1"/>
  <c r="AD1426"/>
  <c r="AF1426" s="1"/>
  <c r="AF1432" s="1"/>
  <c r="AF1409"/>
  <c r="I4041"/>
  <c r="K4041" s="1"/>
  <c r="K4029"/>
  <c r="K4031" s="1"/>
  <c r="K4032" s="1"/>
  <c r="V197"/>
  <c r="X197" s="1"/>
  <c r="X204" s="1"/>
  <c r="X206" s="1"/>
  <c r="I197"/>
  <c r="X715"/>
  <c r="AA707"/>
  <c r="K4043"/>
  <c r="K4044" s="1"/>
  <c r="K2000"/>
  <c r="AF1415"/>
  <c r="R2001"/>
  <c r="J374"/>
  <c r="J405"/>
  <c r="K406"/>
  <c r="K407" s="1"/>
  <c r="K408" s="1"/>
  <c r="I2385"/>
  <c r="K2385" s="1"/>
  <c r="K2392" s="1"/>
  <c r="K2394" s="1"/>
  <c r="I1722"/>
  <c r="K1722" s="1"/>
  <c r="K1727" s="1"/>
  <c r="K1729" s="1"/>
  <c r="I1733"/>
  <c r="K1733" s="1"/>
  <c r="K1736" s="1"/>
  <c r="K1738" s="1"/>
  <c r="I1743" s="1"/>
  <c r="K1743" s="1"/>
  <c r="K1746" s="1"/>
  <c r="K1748" s="1"/>
  <c r="K3957"/>
  <c r="I3974"/>
  <c r="K3974" s="1"/>
  <c r="AS170"/>
  <c r="AU170" s="1"/>
  <c r="AU139"/>
  <c r="AI326"/>
  <c r="AJ325"/>
  <c r="I2959"/>
  <c r="K2959" s="1"/>
  <c r="K2950"/>
  <c r="AU111"/>
  <c r="AS136"/>
  <c r="P3534"/>
  <c r="R3534" s="1"/>
  <c r="R3538" s="1"/>
  <c r="R3539" s="1"/>
  <c r="K3530"/>
  <c r="K3534" s="1"/>
  <c r="K3535" s="1"/>
  <c r="I3546"/>
  <c r="AF1246"/>
  <c r="AD1218"/>
  <c r="AF1218" s="1"/>
  <c r="K287"/>
  <c r="K289" s="1"/>
  <c r="K290" s="1"/>
  <c r="K291" s="1"/>
  <c r="K292" s="1"/>
  <c r="K293" s="1"/>
  <c r="I639"/>
  <c r="K639" s="1"/>
  <c r="K643" s="1"/>
  <c r="K645" s="1"/>
  <c r="P658"/>
  <c r="R658" s="1"/>
  <c r="X1453"/>
  <c r="X1465" s="1"/>
  <c r="AD1451"/>
  <c r="AF1451" s="1"/>
  <c r="AW113"/>
  <c r="AX113" s="1"/>
  <c r="V3606"/>
  <c r="X3606" s="1"/>
  <c r="X3589"/>
  <c r="AI379"/>
  <c r="X3628"/>
  <c r="X3627"/>
  <c r="AD3627"/>
  <c r="AF3627" s="1"/>
  <c r="X679"/>
  <c r="V765"/>
  <c r="X765" s="1"/>
  <c r="V733"/>
  <c r="X733" s="1"/>
  <c r="I2948"/>
  <c r="K2948" s="1"/>
  <c r="K2918"/>
  <c r="I2957" s="1"/>
  <c r="K2957" s="1"/>
  <c r="K2960" s="1"/>
  <c r="K2961" s="1"/>
  <c r="L3179"/>
  <c r="L3182" s="1"/>
  <c r="L3184" s="1"/>
  <c r="K3216"/>
  <c r="K3218" s="1"/>
  <c r="V1459"/>
  <c r="R1498"/>
  <c r="R1504" s="1"/>
  <c r="X3605"/>
  <c r="V3620"/>
  <c r="P2833"/>
  <c r="I2826"/>
  <c r="R1123"/>
  <c r="R1124" s="1"/>
  <c r="R1126" s="1"/>
  <c r="K618"/>
  <c r="I618"/>
  <c r="AG427"/>
  <c r="AI427" s="1"/>
  <c r="AI434" s="1"/>
  <c r="AI436" s="1"/>
  <c r="AG442" s="1"/>
  <c r="AI442" s="1"/>
  <c r="AI446" s="1"/>
  <c r="AI448" s="1"/>
  <c r="AI450" s="1"/>
  <c r="AI451" s="1"/>
  <c r="AI452" s="1"/>
  <c r="AI453" s="1"/>
  <c r="AI454" s="1"/>
  <c r="AI455" s="1"/>
  <c r="AS391"/>
  <c r="AU391" s="1"/>
  <c r="AU398" s="1"/>
  <c r="AU400" s="1"/>
  <c r="AU402" s="1"/>
  <c r="AU403" s="1"/>
  <c r="AU404" s="1"/>
  <c r="AU405" s="1"/>
  <c r="AU406" s="1"/>
  <c r="AU407" s="1"/>
  <c r="AU408" s="1"/>
  <c r="AI391"/>
  <c r="AI398" s="1"/>
  <c r="AI400" s="1"/>
  <c r="AG405" s="1"/>
  <c r="AI405" s="1"/>
  <c r="AI409" s="1"/>
  <c r="AI411" s="1"/>
  <c r="AI413" s="1"/>
  <c r="AI414" s="1"/>
  <c r="AI415" s="1"/>
  <c r="AI416" s="1"/>
  <c r="AI417" s="1"/>
  <c r="AI418" s="1"/>
  <c r="AI419" s="1"/>
  <c r="AI420" s="1"/>
  <c r="AI421" s="1"/>
  <c r="AI422" s="1"/>
  <c r="AI423" s="1"/>
  <c r="AI424" s="1"/>
  <c r="AK424" s="1"/>
  <c r="AK425" s="1"/>
  <c r="V731"/>
  <c r="X731" s="1"/>
  <c r="X739" s="1"/>
  <c r="X740" s="1"/>
  <c r="V763"/>
  <c r="X763" s="1"/>
  <c r="X771" s="1"/>
  <c r="X772" s="1"/>
  <c r="X774" s="1"/>
  <c r="X677"/>
  <c r="R674"/>
  <c r="K546"/>
  <c r="I547" s="1"/>
  <c r="L371"/>
  <c r="X775" l="1"/>
  <c r="X776" s="1"/>
  <c r="X778" s="1"/>
  <c r="X779" s="1"/>
  <c r="X780" s="1"/>
  <c r="X781" s="1"/>
  <c r="X782" s="1"/>
  <c r="X783" s="1"/>
  <c r="X784" s="1"/>
  <c r="X785" s="1"/>
  <c r="I3922"/>
  <c r="K825"/>
  <c r="K826" s="1"/>
  <c r="K827" s="1"/>
  <c r="K828" s="1"/>
  <c r="K829" s="1"/>
  <c r="K830" s="1"/>
  <c r="K831" s="1"/>
  <c r="K832" s="1"/>
  <c r="K833" s="1"/>
  <c r="K834" s="1"/>
  <c r="K835" s="1"/>
  <c r="K836" s="1"/>
  <c r="K837" s="1"/>
  <c r="X1440"/>
  <c r="X1441" s="1"/>
  <c r="X1442" s="1"/>
  <c r="AD1438"/>
  <c r="AF1438" s="1"/>
  <c r="AF1439" s="1"/>
  <c r="AF1440" s="1"/>
  <c r="AW139"/>
  <c r="AX139" s="1"/>
  <c r="AW169"/>
  <c r="AX169" s="1"/>
  <c r="AD1244"/>
  <c r="X1240"/>
  <c r="X1252" s="1"/>
  <c r="X1254" s="1"/>
  <c r="V555"/>
  <c r="X555" s="1"/>
  <c r="X560" s="1"/>
  <c r="X562" s="1"/>
  <c r="V564" s="1"/>
  <c r="X564" s="1"/>
  <c r="V565" s="1"/>
  <c r="X565" s="1"/>
  <c r="V566" s="1"/>
  <c r="X566" s="1"/>
  <c r="V567" s="1"/>
  <c r="X567" s="1"/>
  <c r="V568" s="1"/>
  <c r="X568" s="1"/>
  <c r="X531"/>
  <c r="X536" s="1"/>
  <c r="X538" s="1"/>
  <c r="V540" s="1"/>
  <c r="X540" s="1"/>
  <c r="V541" s="1"/>
  <c r="X541" s="1"/>
  <c r="V542" s="1"/>
  <c r="X542" s="1"/>
  <c r="V543" s="1"/>
  <c r="X543" s="1"/>
  <c r="V544" s="1"/>
  <c r="X544" s="1"/>
  <c r="V545" s="1"/>
  <c r="X545" s="1"/>
  <c r="V546" s="1"/>
  <c r="X546" s="1"/>
  <c r="V547" s="1"/>
  <c r="X3620"/>
  <c r="AD3620"/>
  <c r="AF3620" s="1"/>
  <c r="AI380"/>
  <c r="AJ370"/>
  <c r="I651"/>
  <c r="K651" s="1"/>
  <c r="K657" s="1"/>
  <c r="K659" s="1"/>
  <c r="I661" s="1"/>
  <c r="K661" s="1"/>
  <c r="I662" s="1"/>
  <c r="K662" s="1"/>
  <c r="I663" s="1"/>
  <c r="K663" s="1"/>
  <c r="I664" s="1"/>
  <c r="K664" s="1"/>
  <c r="I665" s="1"/>
  <c r="K665" s="1"/>
  <c r="I666" s="1"/>
  <c r="K666" s="1"/>
  <c r="I667" s="1"/>
  <c r="K667" s="1"/>
  <c r="I668" s="1"/>
  <c r="K668" s="1"/>
  <c r="I669" s="1"/>
  <c r="K669" s="1"/>
  <c r="I670" s="1"/>
  <c r="K670" s="1"/>
  <c r="I671" s="1"/>
  <c r="K671" s="1"/>
  <c r="I672" s="1"/>
  <c r="K672" s="1"/>
  <c r="P615"/>
  <c r="R615" s="1"/>
  <c r="R619" s="1"/>
  <c r="P632"/>
  <c r="R632" s="1"/>
  <c r="R636" s="1"/>
  <c r="P601"/>
  <c r="R601" s="1"/>
  <c r="P3550"/>
  <c r="R3550" s="1"/>
  <c r="R3554" s="1"/>
  <c r="R3555" s="1"/>
  <c r="AG3546"/>
  <c r="K3546"/>
  <c r="K3550" s="1"/>
  <c r="K3551" s="1"/>
  <c r="V3546"/>
  <c r="AX111"/>
  <c r="AW111"/>
  <c r="AU117"/>
  <c r="AJ326"/>
  <c r="AJ327"/>
  <c r="AI327"/>
  <c r="AI328" s="1"/>
  <c r="AI329" s="1"/>
  <c r="L408"/>
  <c r="L409"/>
  <c r="P165"/>
  <c r="R165" s="1"/>
  <c r="R172" s="1"/>
  <c r="R174" s="1"/>
  <c r="K197"/>
  <c r="K204" s="1"/>
  <c r="K206" s="1"/>
  <c r="I1783" s="1"/>
  <c r="K1783" s="1"/>
  <c r="K1792" s="1"/>
  <c r="J547"/>
  <c r="W547"/>
  <c r="AE546" s="1"/>
  <c r="AL546" s="1"/>
  <c r="Z370"/>
  <c r="X370"/>
  <c r="AX138"/>
  <c r="AW138"/>
  <c r="AW168"/>
  <c r="AX168" s="1"/>
  <c r="R1486"/>
  <c r="R1487" s="1"/>
  <c r="V1447"/>
  <c r="K547"/>
  <c r="I548" s="1"/>
  <c r="X685"/>
  <c r="X686" s="1"/>
  <c r="AI456"/>
  <c r="AG455"/>
  <c r="K2826"/>
  <c r="K2827" s="1"/>
  <c r="K2829" s="1"/>
  <c r="I2645"/>
  <c r="AW170"/>
  <c r="AX170" s="1"/>
  <c r="X1463"/>
  <c r="AD1461"/>
  <c r="AF1461" s="1"/>
  <c r="K352"/>
  <c r="K353" s="1"/>
  <c r="L351"/>
  <c r="K475"/>
  <c r="L474"/>
  <c r="J371"/>
  <c r="K372"/>
  <c r="AW137"/>
  <c r="AX137"/>
  <c r="Z740"/>
  <c r="Z742" s="1"/>
  <c r="X742"/>
  <c r="P2866"/>
  <c r="P2652"/>
  <c r="R2652" s="1"/>
  <c r="R2654" s="1"/>
  <c r="R2656" s="1"/>
  <c r="R2833"/>
  <c r="R2834" s="1"/>
  <c r="R2836" s="1"/>
  <c r="V2794"/>
  <c r="AD1457"/>
  <c r="AF1457" s="1"/>
  <c r="AF1463" s="1"/>
  <c r="X1459"/>
  <c r="AU136"/>
  <c r="AS167"/>
  <c r="AS150"/>
  <c r="AU150" s="1"/>
  <c r="X716"/>
  <c r="AA715"/>
  <c r="X3595"/>
  <c r="V3612"/>
  <c r="X3612" s="1"/>
  <c r="AU103"/>
  <c r="AX102"/>
  <c r="AW102"/>
  <c r="R1160"/>
  <c r="R1161" s="1"/>
  <c r="R1162" s="1"/>
  <c r="R1163" s="1"/>
  <c r="R1164" s="1"/>
  <c r="R1165" s="1"/>
  <c r="R1166" s="1"/>
  <c r="R1167" s="1"/>
  <c r="R1168" s="1"/>
  <c r="R1169" s="1"/>
  <c r="R1170" s="1"/>
  <c r="R1171" s="1"/>
  <c r="R1172" s="1"/>
  <c r="R1173" s="1"/>
  <c r="S1161"/>
  <c r="M327"/>
  <c r="K328"/>
  <c r="K329" s="1"/>
  <c r="K2951"/>
  <c r="K2952" s="1"/>
  <c r="R605"/>
  <c r="AW136" l="1"/>
  <c r="AX136"/>
  <c r="AU142"/>
  <c r="Z744"/>
  <c r="Z743"/>
  <c r="Z686"/>
  <c r="Z688" s="1"/>
  <c r="X688"/>
  <c r="AD1216"/>
  <c r="AF1216" s="1"/>
  <c r="AF1229" s="1"/>
  <c r="AF1231" s="1"/>
  <c r="AF1244"/>
  <c r="AF1257" s="1"/>
  <c r="AF1259" s="1"/>
  <c r="AS182"/>
  <c r="AU167"/>
  <c r="AG2798"/>
  <c r="AI2798" s="1"/>
  <c r="AI2799" s="1"/>
  <c r="AI2801" s="1"/>
  <c r="X2794"/>
  <c r="X2795" s="1"/>
  <c r="X2797" s="1"/>
  <c r="X743"/>
  <c r="X744" s="1"/>
  <c r="X746" s="1"/>
  <c r="X747" s="1"/>
  <c r="X748" s="1"/>
  <c r="K373"/>
  <c r="J373" s="1"/>
  <c r="J372"/>
  <c r="X1447"/>
  <c r="X1448" s="1"/>
  <c r="X1449" s="1"/>
  <c r="V1471"/>
  <c r="X1471" s="1"/>
  <c r="X1472" s="1"/>
  <c r="X1473" s="1"/>
  <c r="AG3562"/>
  <c r="AI3546"/>
  <c r="AI3550" s="1"/>
  <c r="AI3551" s="1"/>
  <c r="AW150"/>
  <c r="AX150" s="1"/>
  <c r="P3165"/>
  <c r="R3165" s="1"/>
  <c r="R3166" s="1"/>
  <c r="R3168" s="1"/>
  <c r="R2866"/>
  <c r="R2867" s="1"/>
  <c r="R2869" s="1"/>
  <c r="L475"/>
  <c r="K476"/>
  <c r="X371"/>
  <c r="W548"/>
  <c r="AE547" s="1"/>
  <c r="AL547" s="1"/>
  <c r="J548"/>
  <c r="AX117"/>
  <c r="AW117"/>
  <c r="AU119"/>
  <c r="AI381"/>
  <c r="AI382" s="1"/>
  <c r="AJ371"/>
  <c r="K374"/>
  <c r="L353"/>
  <c r="L354"/>
  <c r="L355" s="1"/>
  <c r="AI457"/>
  <c r="AG456"/>
  <c r="R1488"/>
  <c r="S1448"/>
  <c r="K3922"/>
  <c r="K3934" s="1"/>
  <c r="I3940"/>
  <c r="AU104"/>
  <c r="AW103"/>
  <c r="AX103" s="1"/>
  <c r="X718"/>
  <c r="AA716"/>
  <c r="AA718" s="1"/>
  <c r="K2645"/>
  <c r="K2647" s="1"/>
  <c r="K2649" s="1"/>
  <c r="V2614"/>
  <c r="V3562"/>
  <c r="X3546"/>
  <c r="X3550" s="1"/>
  <c r="X3551" s="1"/>
  <c r="V3526"/>
  <c r="X3526" s="1"/>
  <c r="X3530" s="1"/>
  <c r="X3531" s="1"/>
  <c r="K548"/>
  <c r="I549" s="1"/>
  <c r="X547"/>
  <c r="V548" s="1"/>
  <c r="X749" l="1"/>
  <c r="X750" s="1"/>
  <c r="Z748"/>
  <c r="X689"/>
  <c r="X690" s="1"/>
  <c r="AA720"/>
  <c r="AA719"/>
  <c r="AI383"/>
  <c r="AX104"/>
  <c r="AU105"/>
  <c r="AW104"/>
  <c r="AX119"/>
  <c r="AU121"/>
  <c r="AW119"/>
  <c r="AU182"/>
  <c r="AS198"/>
  <c r="AU198" s="1"/>
  <c r="Z690"/>
  <c r="Z689"/>
  <c r="X2614"/>
  <c r="X2615" s="1"/>
  <c r="X2617" s="1"/>
  <c r="AG2662"/>
  <c r="AI2662" s="1"/>
  <c r="AI2663" s="1"/>
  <c r="AI2665" s="1"/>
  <c r="AI458"/>
  <c r="AG457"/>
  <c r="J549"/>
  <c r="W550" s="1"/>
  <c r="AE549" s="1"/>
  <c r="AL549" s="1"/>
  <c r="W549"/>
  <c r="AE548" s="1"/>
  <c r="AL548" s="1"/>
  <c r="K477"/>
  <c r="L476"/>
  <c r="AW167"/>
  <c r="AX167"/>
  <c r="AU173"/>
  <c r="AU144"/>
  <c r="AW142"/>
  <c r="AX142" s="1"/>
  <c r="V3578"/>
  <c r="X3562"/>
  <c r="X3566" s="1"/>
  <c r="X3567" s="1"/>
  <c r="X719"/>
  <c r="X720" s="1"/>
  <c r="X722" s="1"/>
  <c r="X723" s="1"/>
  <c r="X724" s="1"/>
  <c r="X725" s="1"/>
  <c r="X726" s="1"/>
  <c r="K3940"/>
  <c r="K3952" s="1"/>
  <c r="L3952" s="1"/>
  <c r="I3956"/>
  <c r="X372"/>
  <c r="X373" s="1"/>
  <c r="X374"/>
  <c r="Z371"/>
  <c r="AI3562"/>
  <c r="AI3566" s="1"/>
  <c r="AI3567" s="1"/>
  <c r="V3625"/>
  <c r="AK530"/>
  <c r="V499"/>
  <c r="X499" s="1"/>
  <c r="X503" s="1"/>
  <c r="X505" s="1"/>
  <c r="V511" s="1"/>
  <c r="X511" s="1"/>
  <c r="X517" s="1"/>
  <c r="X519" s="1"/>
  <c r="V521" s="1"/>
  <c r="X521" s="1"/>
  <c r="V522" s="1"/>
  <c r="X522" s="1"/>
  <c r="V523" s="1"/>
  <c r="X523" s="1"/>
  <c r="V524" s="1"/>
  <c r="X524" s="1"/>
  <c r="V525" s="1"/>
  <c r="X525" s="1"/>
  <c r="X548"/>
  <c r="V549" s="1"/>
  <c r="I2791" l="1"/>
  <c r="K2791" s="1"/>
  <c r="K2798" s="1"/>
  <c r="K2800" s="1"/>
  <c r="X692"/>
  <c r="X693" s="1"/>
  <c r="X694" s="1"/>
  <c r="X695" s="1"/>
  <c r="X696" s="1"/>
  <c r="X697" s="1"/>
  <c r="X698" s="1"/>
  <c r="X699" s="1"/>
  <c r="X700" s="1"/>
  <c r="X701" s="1"/>
  <c r="X702" s="1"/>
  <c r="X703" s="1"/>
  <c r="X704" s="1"/>
  <c r="AK554"/>
  <c r="AM554" s="1"/>
  <c r="AM559" s="1"/>
  <c r="AM561" s="1"/>
  <c r="AK563" s="1"/>
  <c r="AM563" s="1"/>
  <c r="AK564" s="1"/>
  <c r="AM564" s="1"/>
  <c r="AK565" s="1"/>
  <c r="AM565" s="1"/>
  <c r="AK566" s="1"/>
  <c r="AM566" s="1"/>
  <c r="AK567" s="1"/>
  <c r="AM567" s="1"/>
  <c r="AK568" s="1"/>
  <c r="AM568" s="1"/>
  <c r="AM530"/>
  <c r="AM535" s="1"/>
  <c r="AM537" s="1"/>
  <c r="AK539" s="1"/>
  <c r="AM539" s="1"/>
  <c r="AK540" s="1"/>
  <c r="AM540" s="1"/>
  <c r="AK541" s="1"/>
  <c r="AM541" s="1"/>
  <c r="AK542" s="1"/>
  <c r="AM542" s="1"/>
  <c r="AK543" s="1"/>
  <c r="AM543" s="1"/>
  <c r="AK544" s="1"/>
  <c r="AM544" s="1"/>
  <c r="AK545" s="1"/>
  <c r="AM545" s="1"/>
  <c r="AK546" s="1"/>
  <c r="AM546" s="1"/>
  <c r="AK547" s="1"/>
  <c r="AM547" s="1"/>
  <c r="AK548" s="1"/>
  <c r="AM548" s="1"/>
  <c r="AK549" s="1"/>
  <c r="AM549" s="1"/>
  <c r="AK550" s="1"/>
  <c r="AM550" s="1"/>
  <c r="AK551" s="1"/>
  <c r="V526"/>
  <c r="X526"/>
  <c r="V3593"/>
  <c r="X3578"/>
  <c r="X3582" s="1"/>
  <c r="X3583" s="1"/>
  <c r="K478"/>
  <c r="L477"/>
  <c r="I2343"/>
  <c r="K2343" s="1"/>
  <c r="K2345" s="1"/>
  <c r="I879"/>
  <c r="AD466"/>
  <c r="AF466" s="1"/>
  <c r="AF470" s="1"/>
  <c r="AF472" s="1"/>
  <c r="AD478" s="1"/>
  <c r="AF478" s="1"/>
  <c r="AF484" s="1"/>
  <c r="AF486" s="1"/>
  <c r="AD488" s="1"/>
  <c r="AF488" s="1"/>
  <c r="AD489" s="1"/>
  <c r="AF489" s="1"/>
  <c r="AD490" s="1"/>
  <c r="AF490" s="1"/>
  <c r="AD491" s="1"/>
  <c r="AF491" s="1"/>
  <c r="AD492" s="1"/>
  <c r="AF492" s="1"/>
  <c r="AF493" s="1"/>
  <c r="AF494" s="1"/>
  <c r="AF495" s="1"/>
  <c r="AF496" s="1"/>
  <c r="AF497" s="1"/>
  <c r="AF498" s="1"/>
  <c r="AF499" s="1"/>
  <c r="AF500" s="1"/>
  <c r="AD530"/>
  <c r="C879"/>
  <c r="I3973"/>
  <c r="K3973" s="1"/>
  <c r="K3985" s="1"/>
  <c r="K3956"/>
  <c r="K3968" s="1"/>
  <c r="AW144"/>
  <c r="AX144" s="1"/>
  <c r="AS149"/>
  <c r="AW105"/>
  <c r="AU106"/>
  <c r="AX105"/>
  <c r="X549"/>
  <c r="V550" s="1"/>
  <c r="X550" s="1"/>
  <c r="V551" s="1"/>
  <c r="X551" s="1"/>
  <c r="V552" s="1"/>
  <c r="X552" s="1"/>
  <c r="Z369"/>
  <c r="AA369" s="1"/>
  <c r="AX198"/>
  <c r="AW198"/>
  <c r="AU201"/>
  <c r="X751"/>
  <c r="X752" s="1"/>
  <c r="X753" s="1"/>
  <c r="X754" s="1"/>
  <c r="X755" s="1"/>
  <c r="Z750"/>
  <c r="Z751" s="1"/>
  <c r="AU175"/>
  <c r="AX173"/>
  <c r="AW173"/>
  <c r="AG458"/>
  <c r="AI459"/>
  <c r="AV121"/>
  <c r="AX121"/>
  <c r="AW121"/>
  <c r="AU122"/>
  <c r="P2448"/>
  <c r="R2448" s="1"/>
  <c r="R2450" s="1"/>
  <c r="P2108"/>
  <c r="R2108" s="1"/>
  <c r="R2111" s="1"/>
  <c r="P2095"/>
  <c r="V466"/>
  <c r="X466" s="1"/>
  <c r="X470" s="1"/>
  <c r="X472" s="1"/>
  <c r="V478" s="1"/>
  <c r="X478" s="1"/>
  <c r="X484" s="1"/>
  <c r="X486" s="1"/>
  <c r="V488" s="1"/>
  <c r="X488" s="1"/>
  <c r="V489" s="1"/>
  <c r="X489" s="1"/>
  <c r="V490" s="1"/>
  <c r="X490" s="1"/>
  <c r="V491" s="1"/>
  <c r="X491" s="1"/>
  <c r="V492" s="1"/>
  <c r="X492" s="1"/>
  <c r="X3625"/>
  <c r="X3629" s="1"/>
  <c r="X3630" s="1"/>
  <c r="AD3625"/>
  <c r="AF3625" s="1"/>
  <c r="AF3630" s="1"/>
  <c r="AF3631" s="1"/>
  <c r="AX182"/>
  <c r="AW182"/>
  <c r="K549"/>
  <c r="K479" l="1"/>
  <c r="L478"/>
  <c r="AD554"/>
  <c r="AF554" s="1"/>
  <c r="AF559" s="1"/>
  <c r="AF561" s="1"/>
  <c r="AF530"/>
  <c r="AF535" s="1"/>
  <c r="AF537" s="1"/>
  <c r="AD539" s="1"/>
  <c r="AF539" s="1"/>
  <c r="AD540" s="1"/>
  <c r="AF540" s="1"/>
  <c r="AD541" s="1"/>
  <c r="AF541" s="1"/>
  <c r="AD542" s="1"/>
  <c r="AF542" s="1"/>
  <c r="AD543" s="1"/>
  <c r="AF543" s="1"/>
  <c r="AD544" s="1"/>
  <c r="AF544" s="1"/>
  <c r="AD545" s="1"/>
  <c r="AF545" s="1"/>
  <c r="AD546" s="1"/>
  <c r="AF546" s="1"/>
  <c r="AD547" s="1"/>
  <c r="AF547" s="1"/>
  <c r="AD548" s="1"/>
  <c r="AF548" s="1"/>
  <c r="AD549" s="1"/>
  <c r="AF549" s="1"/>
  <c r="AD550" s="1"/>
  <c r="AF550" s="1"/>
  <c r="AD551" s="1"/>
  <c r="AF551" s="1"/>
  <c r="AL551" s="1"/>
  <c r="X527"/>
  <c r="V527"/>
  <c r="P2101"/>
  <c r="R2101" s="1"/>
  <c r="R2104" s="1"/>
  <c r="R2095"/>
  <c r="R2098" s="1"/>
  <c r="AI460"/>
  <c r="AG459"/>
  <c r="AW175"/>
  <c r="AX175" s="1"/>
  <c r="AU149"/>
  <c r="AS181"/>
  <c r="AU181" s="1"/>
  <c r="V3610"/>
  <c r="X3610" s="1"/>
  <c r="X3614" s="1"/>
  <c r="X3615" s="1"/>
  <c r="X3593"/>
  <c r="X3597" s="1"/>
  <c r="X3598" s="1"/>
  <c r="AW122"/>
  <c r="AX122" s="1"/>
  <c r="AV122"/>
  <c r="AU123"/>
  <c r="AX201"/>
  <c r="AW201"/>
  <c r="AU203"/>
  <c r="K879"/>
  <c r="K891" s="1"/>
  <c r="I895"/>
  <c r="K895" s="1"/>
  <c r="K907" s="1"/>
  <c r="I861"/>
  <c r="V879"/>
  <c r="AM551"/>
  <c r="AX149" l="1"/>
  <c r="AW149"/>
  <c r="AU153"/>
  <c r="I3301"/>
  <c r="K3301" s="1"/>
  <c r="K3313" s="1"/>
  <c r="V861"/>
  <c r="X861" s="1"/>
  <c r="X873" s="1"/>
  <c r="P854"/>
  <c r="R854" s="1"/>
  <c r="R866" s="1"/>
  <c r="K861"/>
  <c r="K873" s="1"/>
  <c r="AW181"/>
  <c r="AX181" s="1"/>
  <c r="AU185"/>
  <c r="L891"/>
  <c r="K893"/>
  <c r="AI461"/>
  <c r="AG460"/>
  <c r="K480"/>
  <c r="L479"/>
  <c r="X879"/>
  <c r="X891" s="1"/>
  <c r="V895"/>
  <c r="X895" s="1"/>
  <c r="X907" s="1"/>
  <c r="AU205"/>
  <c r="AW203"/>
  <c r="AX203" s="1"/>
  <c r="AX123"/>
  <c r="AU124"/>
  <c r="AW123"/>
  <c r="P2349"/>
  <c r="R2349" s="1"/>
  <c r="R2352" s="1"/>
  <c r="AD563"/>
  <c r="AF563" s="1"/>
  <c r="AD564" s="1"/>
  <c r="AF564" s="1"/>
  <c r="AD565" s="1"/>
  <c r="AF565" s="1"/>
  <c r="AD566" s="1"/>
  <c r="AF566" s="1"/>
  <c r="AD567" s="1"/>
  <c r="AF567" s="1"/>
  <c r="AD568" s="1"/>
  <c r="AF568" s="1"/>
  <c r="AI462" l="1"/>
  <c r="AG461"/>
  <c r="AX185"/>
  <c r="AW185"/>
  <c r="AU187"/>
  <c r="AX124"/>
  <c r="AW124"/>
  <c r="AU125"/>
  <c r="AU206"/>
  <c r="AW205"/>
  <c r="AX205" s="1"/>
  <c r="L480"/>
  <c r="K481"/>
  <c r="L481" s="1"/>
  <c r="AX153"/>
  <c r="AU155"/>
  <c r="AW153"/>
  <c r="AU126"/>
  <c r="AW155" l="1"/>
  <c r="AV157"/>
  <c r="AU157"/>
  <c r="AX155"/>
  <c r="AW125"/>
  <c r="AX125" s="1"/>
  <c r="AW126"/>
  <c r="AX126" s="1"/>
  <c r="AW206"/>
  <c r="AX206"/>
  <c r="AU207"/>
  <c r="AX187"/>
  <c r="AW187"/>
  <c r="AU189"/>
  <c r="AI463"/>
  <c r="AG462"/>
  <c r="AX189" l="1"/>
  <c r="AW189"/>
  <c r="AT189"/>
  <c r="AT205" s="1"/>
  <c r="AU190"/>
  <c r="AG463"/>
  <c r="AI464"/>
  <c r="AU208"/>
  <c r="AW207"/>
  <c r="AX207" s="1"/>
  <c r="AW157"/>
  <c r="AU158"/>
  <c r="AT157"/>
  <c r="AX157"/>
  <c r="AX208" l="1"/>
  <c r="AU209"/>
  <c r="AW208"/>
  <c r="AU191"/>
  <c r="AW190"/>
  <c r="AX190" s="1"/>
  <c r="AT190"/>
  <c r="AT206" s="1"/>
  <c r="AG464"/>
  <c r="AI465"/>
  <c r="AG465" s="1"/>
  <c r="AU159"/>
  <c r="AT158"/>
  <c r="AW158"/>
  <c r="AX158" s="1"/>
  <c r="AV158"/>
  <c r="AW191" l="1"/>
  <c r="AX191" s="1"/>
  <c r="AU192"/>
  <c r="AT191"/>
  <c r="AT207" s="1"/>
  <c r="AU160"/>
  <c r="AT159"/>
  <c r="AW159"/>
  <c r="AX159"/>
  <c r="AW209"/>
  <c r="AX209" s="1"/>
  <c r="AT160" l="1"/>
  <c r="AX160"/>
  <c r="AW160"/>
  <c r="AU161"/>
  <c r="AW192"/>
  <c r="AX192" s="1"/>
  <c r="AU193"/>
  <c r="AT192"/>
  <c r="AT208" s="1"/>
  <c r="AW193" l="1"/>
  <c r="AX193" s="1"/>
  <c r="AT193"/>
  <c r="AT209" s="1"/>
  <c r="AT161"/>
  <c r="AX161"/>
  <c r="AW161"/>
  <c r="K57" i="8" l="1"/>
  <c r="K6"/>
  <c r="K7"/>
  <c r="K8"/>
  <c r="K9"/>
  <c r="K10"/>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K5"/>
  <c r="J5"/>
  <c r="I57"/>
  <c r="D28"/>
  <c r="I28" s="1"/>
  <c r="D27"/>
  <c r="I27" s="1"/>
  <c r="D26"/>
  <c r="I26" s="1"/>
  <c r="D25"/>
  <c r="I25" s="1"/>
  <c r="H23"/>
  <c r="I23" s="1"/>
  <c r="D23"/>
  <c r="D21"/>
  <c r="I21" s="1"/>
  <c r="D20"/>
  <c r="I20" s="1"/>
  <c r="D19"/>
  <c r="I19" s="1"/>
  <c r="H18"/>
  <c r="D18"/>
  <c r="H16"/>
  <c r="H15"/>
  <c r="D15"/>
  <c r="D14"/>
  <c r="I14" s="1"/>
  <c r="I10"/>
  <c r="I11"/>
  <c r="I12"/>
  <c r="G6"/>
  <c r="G34"/>
  <c r="G37"/>
  <c r="G51"/>
  <c r="G55"/>
  <c r="G56"/>
  <c r="G5"/>
  <c r="C56"/>
  <c r="D54"/>
  <c r="D53"/>
  <c r="D52"/>
  <c r="G52" s="1"/>
  <c r="B52"/>
  <c r="B51"/>
  <c r="D50"/>
  <c r="G50" s="1"/>
  <c r="B50"/>
  <c r="D49"/>
  <c r="B49"/>
  <c r="D48"/>
  <c r="B48"/>
  <c r="D47"/>
  <c r="B47"/>
  <c r="D46"/>
  <c r="B46"/>
  <c r="D45"/>
  <c r="B45"/>
  <c r="D44"/>
  <c r="B44"/>
  <c r="D43"/>
  <c r="B43"/>
  <c r="D42"/>
  <c r="B42"/>
  <c r="A42"/>
  <c r="A43" s="1"/>
  <c r="A44" s="1"/>
  <c r="A45" s="1"/>
  <c r="A46" s="1"/>
  <c r="A47" s="1"/>
  <c r="A48" s="1"/>
  <c r="A49" s="1"/>
  <c r="A50" s="1"/>
  <c r="A51" s="1"/>
  <c r="D41"/>
  <c r="G41" s="1"/>
  <c r="B41"/>
  <c r="D40"/>
  <c r="G40" s="1"/>
  <c r="B40"/>
  <c r="D39"/>
  <c r="G39" s="1"/>
  <c r="B39"/>
  <c r="A39"/>
  <c r="A40" s="1"/>
  <c r="D38"/>
  <c r="G38" s="1"/>
  <c r="B38"/>
  <c r="D36"/>
  <c r="G36" s="1"/>
  <c r="B36"/>
  <c r="D35"/>
  <c r="G35" s="1"/>
  <c r="B35"/>
  <c r="D33"/>
  <c r="G33" s="1"/>
  <c r="B33"/>
  <c r="D32"/>
  <c r="G32" s="1"/>
  <c r="B32"/>
  <c r="D31"/>
  <c r="G31" s="1"/>
  <c r="B31"/>
  <c r="D30"/>
  <c r="G30" s="1"/>
  <c r="B30"/>
  <c r="D29"/>
  <c r="G29" s="1"/>
  <c r="B29"/>
  <c r="D22"/>
  <c r="G22" s="1"/>
  <c r="B22"/>
  <c r="A30"/>
  <c r="A31" s="1"/>
  <c r="A32" s="1"/>
  <c r="A33" s="1"/>
  <c r="A34" s="1"/>
  <c r="D17"/>
  <c r="G17" s="1"/>
  <c r="B17"/>
  <c r="D16"/>
  <c r="G16" s="1"/>
  <c r="B16"/>
  <c r="D13"/>
  <c r="G13" s="1"/>
  <c r="B13"/>
  <c r="D7"/>
  <c r="G7" s="1"/>
  <c r="B7"/>
  <c r="B6"/>
  <c r="A6"/>
  <c r="A7" s="1"/>
  <c r="B5"/>
  <c r="I18" l="1"/>
  <c r="I15"/>
  <c r="I16"/>
  <c r="G54"/>
  <c r="G48"/>
  <c r="G46"/>
  <c r="G44"/>
  <c r="G42"/>
  <c r="G53"/>
  <c r="G49"/>
  <c r="G47"/>
  <c r="G45"/>
  <c r="G43"/>
  <c r="H13"/>
  <c r="I13" s="1"/>
  <c r="H9"/>
  <c r="I9" s="1"/>
  <c r="G57" l="1"/>
  <c r="H8" l="1"/>
  <c r="I8" s="1"/>
  <c r="F450" i="7" l="1"/>
  <c r="F449"/>
  <c r="F447"/>
  <c r="F445"/>
  <c r="K495" i="1"/>
  <c r="D29" i="5"/>
  <c r="D35"/>
  <c r="D37" l="1"/>
  <c r="D36"/>
  <c r="D33"/>
  <c r="D32"/>
  <c r="D31"/>
  <c r="D28"/>
  <c r="D27"/>
  <c r="D26"/>
  <c r="D25"/>
  <c r="D24"/>
  <c r="D23"/>
  <c r="D22"/>
  <c r="D21"/>
  <c r="D19"/>
  <c r="D18"/>
  <c r="D16"/>
  <c r="D15"/>
  <c r="D14"/>
  <c r="D13"/>
  <c r="D12"/>
  <c r="D11"/>
  <c r="D10"/>
  <c r="D9"/>
  <c r="D8"/>
  <c r="D7"/>
  <c r="D5" i="3"/>
  <c r="B23" i="5" l="1"/>
  <c r="H78" i="4"/>
  <c r="H77"/>
  <c r="H76"/>
  <c r="C39" i="5"/>
  <c r="H149" i="4"/>
  <c r="H150" s="1"/>
  <c r="F494" i="1"/>
  <c r="F496"/>
  <c r="F498" s="1"/>
  <c r="F499" s="1"/>
  <c r="B39" i="5" l="1"/>
  <c r="F39" s="1"/>
  <c r="B56" i="8"/>
  <c r="A1" i="4"/>
  <c r="F5" i="3" l="1"/>
  <c r="F7" i="6"/>
  <c r="F12"/>
  <c r="F20"/>
  <c r="F25"/>
  <c r="F40"/>
  <c r="F41"/>
  <c r="F46"/>
  <c r="F6"/>
  <c r="C45"/>
  <c r="F45" s="1"/>
  <c r="C44"/>
  <c r="F44" s="1"/>
  <c r="C43"/>
  <c r="F43" s="1"/>
  <c r="C42"/>
  <c r="F42" s="1"/>
  <c r="C39"/>
  <c r="F39" s="1"/>
  <c r="C38"/>
  <c r="F38" s="1"/>
  <c r="C37"/>
  <c r="F37" s="1"/>
  <c r="C36"/>
  <c r="F36" s="1"/>
  <c r="C35"/>
  <c r="F35" s="1"/>
  <c r="C34"/>
  <c r="F34" s="1"/>
  <c r="C33"/>
  <c r="F33" s="1"/>
  <c r="C32"/>
  <c r="F32" s="1"/>
  <c r="C31"/>
  <c r="F31" s="1"/>
  <c r="C30"/>
  <c r="F30" s="1"/>
  <c r="C29"/>
  <c r="F29" s="1"/>
  <c r="C28"/>
  <c r="F28" s="1"/>
  <c r="C27"/>
  <c r="F27" s="1"/>
  <c r="C26"/>
  <c r="F26" s="1"/>
  <c r="C22"/>
  <c r="F22" s="1"/>
  <c r="C21"/>
  <c r="F21" s="1"/>
  <c r="C19"/>
  <c r="F19" s="1"/>
  <c r="C18"/>
  <c r="F18" s="1"/>
  <c r="C17"/>
  <c r="F17" s="1"/>
  <c r="C16"/>
  <c r="F16" s="1"/>
  <c r="C8"/>
  <c r="F8" s="1"/>
  <c r="A7"/>
  <c r="A8" s="1"/>
  <c r="A9" s="1"/>
  <c r="A10" s="1"/>
  <c r="A11" s="1"/>
  <c r="A12" s="1"/>
  <c r="A13" s="1"/>
  <c r="A14" s="1"/>
  <c r="A15" s="1"/>
  <c r="A16" s="1"/>
  <c r="A17" s="1"/>
  <c r="A18" s="1"/>
  <c r="A19" s="1"/>
  <c r="A20" s="1"/>
  <c r="A23" s="1"/>
  <c r="A24" s="1"/>
  <c r="A25" s="1"/>
  <c r="A27" s="1"/>
  <c r="A28" s="1"/>
  <c r="A29" s="1"/>
  <c r="A30" s="1"/>
  <c r="A31" s="1"/>
  <c r="A32" s="1"/>
  <c r="A33" s="1"/>
  <c r="A34" s="1"/>
  <c r="A35" s="1"/>
  <c r="A36" s="1"/>
  <c r="A37" s="1"/>
  <c r="A38" s="1"/>
  <c r="A39" s="1"/>
  <c r="A40" s="1"/>
  <c r="A41" s="1"/>
  <c r="F38" i="5"/>
  <c r="H146" i="4"/>
  <c r="H147" s="1"/>
  <c r="F507" i="1" l="1"/>
  <c r="F505"/>
  <c r="F506"/>
  <c r="F504"/>
  <c r="F503"/>
  <c r="F502"/>
  <c r="F509" s="1"/>
  <c r="F510" s="1"/>
  <c r="F17" i="5"/>
  <c r="F20"/>
  <c r="F37"/>
  <c r="H141" i="4"/>
  <c r="F36" i="5"/>
  <c r="H31" i="4" l="1"/>
  <c r="H32"/>
  <c r="H87" l="1"/>
  <c r="B15" i="5"/>
  <c r="F15" s="1"/>
  <c r="A6"/>
  <c r="A7" s="1"/>
  <c r="A8" s="1"/>
  <c r="A9" s="1"/>
  <c r="A11" s="1"/>
  <c r="A12" s="1"/>
  <c r="A13" s="1"/>
  <c r="A14" s="1"/>
  <c r="A15" s="1"/>
  <c r="A16" s="1"/>
  <c r="A17" s="1"/>
  <c r="A22" s="1"/>
  <c r="A23" s="1"/>
  <c r="A25" s="1"/>
  <c r="A26" s="1"/>
  <c r="A27" s="1"/>
  <c r="A28" s="1"/>
  <c r="A29" s="1"/>
  <c r="A30" s="1"/>
  <c r="A31" s="1"/>
  <c r="A32" s="1"/>
  <c r="A33" s="1"/>
  <c r="A34" s="1"/>
  <c r="H138" i="4" l="1"/>
  <c r="B35" i="5" s="1"/>
  <c r="F35" s="1"/>
  <c r="H135" i="4"/>
  <c r="B34" i="5" s="1"/>
  <c r="F34" s="1"/>
  <c r="H96" i="4"/>
  <c r="B26" i="5" s="1"/>
  <c r="F26" s="1"/>
  <c r="H128" i="4"/>
  <c r="B33" i="5" s="1"/>
  <c r="F33" s="1"/>
  <c r="H124" i="4"/>
  <c r="H123"/>
  <c r="H122"/>
  <c r="H121"/>
  <c r="H120"/>
  <c r="H118"/>
  <c r="B31" i="5" s="1"/>
  <c r="F31" s="1"/>
  <c r="H113" i="4"/>
  <c r="B30" i="5" s="1"/>
  <c r="H107" i="4"/>
  <c r="H105"/>
  <c r="B28" i="5" s="1"/>
  <c r="F28" s="1"/>
  <c r="H101" i="4"/>
  <c r="B27" i="5" s="1"/>
  <c r="F27" s="1"/>
  <c r="H83" i="4"/>
  <c r="H82"/>
  <c r="H81"/>
  <c r="H75"/>
  <c r="H74"/>
  <c r="H73"/>
  <c r="H70"/>
  <c r="H22"/>
  <c r="H23" s="1"/>
  <c r="B9" i="5" s="1"/>
  <c r="H19" i="4"/>
  <c r="H20" s="1"/>
  <c r="B8" i="5" s="1"/>
  <c r="H16" i="4"/>
  <c r="H67"/>
  <c r="H66"/>
  <c r="H61"/>
  <c r="H62"/>
  <c r="H60"/>
  <c r="H58"/>
  <c r="B18" i="5" s="1"/>
  <c r="F18" s="1"/>
  <c r="H55" i="4"/>
  <c r="B16" i="5" s="1"/>
  <c r="F16" s="1"/>
  <c r="H50" i="4"/>
  <c r="H48"/>
  <c r="H49"/>
  <c r="H47"/>
  <c r="H45"/>
  <c r="B14" i="5" s="1"/>
  <c r="F14" s="1"/>
  <c r="H79" i="4" l="1"/>
  <c r="H63"/>
  <c r="B19" i="5" s="1"/>
  <c r="F19" s="1"/>
  <c r="H125" i="4"/>
  <c r="B32" i="5" s="1"/>
  <c r="F32" s="1"/>
  <c r="F23"/>
  <c r="H51" i="4"/>
  <c r="H68"/>
  <c r="B21" i="5" s="1"/>
  <c r="F21" s="1"/>
  <c r="H38" i="4" l="1"/>
  <c r="H42" s="1"/>
  <c r="B13" i="5" s="1"/>
  <c r="F13" s="1"/>
  <c r="H36" i="4"/>
  <c r="B12" i="5" s="1"/>
  <c r="H29" i="4"/>
  <c r="H30"/>
  <c r="H28"/>
  <c r="H25"/>
  <c r="H26" s="1"/>
  <c r="B10" i="5" s="1"/>
  <c r="H33" i="4" l="1"/>
  <c r="B11" i="5" s="1"/>
  <c r="H9" i="4"/>
  <c r="H10"/>
  <c r="H11"/>
  <c r="H12"/>
  <c r="H13"/>
  <c r="H8"/>
  <c r="H5"/>
  <c r="H17" l="1"/>
  <c r="B7" i="5" s="1"/>
  <c r="F7" s="1"/>
  <c r="A85" i="4"/>
  <c r="A89" s="1"/>
  <c r="A102" s="1"/>
  <c r="A126" s="1"/>
  <c r="A129" s="1"/>
  <c r="R120"/>
  <c r="M120"/>
  <c r="K120"/>
  <c r="N119"/>
  <c r="L119"/>
  <c r="H108"/>
  <c r="B29" i="5" s="1"/>
  <c r="F29" s="1"/>
  <c r="H84" i="4"/>
  <c r="B24" i="5" s="1"/>
  <c r="F24" s="1"/>
  <c r="L27" i="4"/>
  <c r="H6"/>
  <c r="B5" i="5" s="1"/>
  <c r="F5" s="1"/>
  <c r="H88" i="4" l="1"/>
  <c r="B25" i="5" s="1"/>
  <c r="F25" s="1"/>
  <c r="H14" i="4"/>
  <c r="B6" i="5" s="1"/>
  <c r="F6" s="1"/>
  <c r="H71" i="4"/>
  <c r="B22" i="5" s="1"/>
  <c r="F22" s="1"/>
  <c r="C11" i="6" l="1"/>
  <c r="F11" s="1"/>
  <c r="C13" l="1"/>
  <c r="F13" s="1"/>
  <c r="F10" i="5"/>
  <c r="C10" i="6"/>
  <c r="F10" s="1"/>
  <c r="F9" i="5"/>
  <c r="C14" i="6"/>
  <c r="F14" s="1"/>
  <c r="F11" i="5"/>
  <c r="C24" i="6"/>
  <c r="F24" s="1"/>
  <c r="C15" l="1"/>
  <c r="F15" s="1"/>
  <c r="F12" i="5"/>
  <c r="C23" i="6"/>
  <c r="F23" s="1"/>
  <c r="C9" l="1"/>
  <c r="F9" s="1"/>
  <c r="F47" s="1"/>
  <c r="F49" s="1"/>
  <c r="F51" s="1"/>
  <c r="F8" i="5"/>
  <c r="D30" l="1"/>
  <c r="F30" s="1"/>
  <c r="F40" s="1"/>
  <c r="F42" l="1"/>
  <c r="F44" s="1"/>
  <c r="D4" i="3"/>
  <c r="F4" s="1"/>
  <c r="F6" s="1"/>
  <c r="F7" l="1"/>
  <c r="F8" s="1"/>
  <c r="F11" s="1"/>
  <c r="F9"/>
  <c r="F10"/>
  <c r="F12" l="1"/>
</calcChain>
</file>

<file path=xl/sharedStrings.xml><?xml version="1.0" encoding="utf-8"?>
<sst xmlns="http://schemas.openxmlformats.org/spreadsheetml/2006/main" count="18726" uniqueCount="3389">
  <si>
    <t>DETAILED ESTIMATE</t>
  </si>
  <si>
    <t>SI.NO</t>
  </si>
  <si>
    <t>DESCRIPTION OF WORK</t>
  </si>
  <si>
    <t>NOS</t>
  </si>
  <si>
    <t>L</t>
  </si>
  <si>
    <t>B</t>
  </si>
  <si>
    <t>D</t>
  </si>
  <si>
    <t>QTY</t>
  </si>
  <si>
    <t>Plastering with Cement Mortar 1:5 (One cement and Five sand), 20mm thick in all floors including curing etc. complete complying with standard specification and as directed by the departmental officers.</t>
  </si>
  <si>
    <t xml:space="preserve"> Window w</t>
  </si>
  <si>
    <t>Painting primer coat using approved quality of white cement over the cement plastered / concrete wall surfaces, ceiling or other similar works including cost of white cement, putty, brushes, watering, curing etc., complete and as directed by the departmental officers.</t>
  </si>
  <si>
    <t xml:space="preserve">building outer alround conference,class room </t>
  </si>
  <si>
    <t xml:space="preserve">Painting two coats with OBD paint of first class quality paint of approved  shade over a priming coat, including thorough scrapping, clean removal of dirt and dust etc., complete including cost of necessary brushes, labour charges, patty etc., complying with relevant standard specification. The paint should be supplied by the contractors at his own cost. (The quality and shade of the paint should be got approved by the  Executive engineer before use.) </t>
  </si>
  <si>
    <t>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 LIGHT POINT WITH CEILING ROSE controlled by 5 amps flush type switch including citcuit mains, cost of all materials, specials, etc., all complete,(Open wiring)</t>
  </si>
  <si>
    <t>STEET LIGHT</t>
  </si>
  <si>
    <t>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 FAN POINT FOR ADMINISTRATIVE BLOCKS AND COMMUNITY CENTRE controlled by 5 amps flush type switch including citcuit mains, cost of all materials, specials, etc., all complete,(Open wiring)</t>
  </si>
  <si>
    <t>Wirng with 1.5 sqmm copper PVC insulated unsheathed single core 1.1 KV grade cable with continuous earth by means of 1.5 sqmm copper PVC insulated unsheathed single core 1.1 KV grade cable confirming to IS 694 / 1980 with ISI mark in fully concealed PVC rigid conduit pipe heavy duty with ISI mark with suitable size MS box of 16g thick concealed and covered with 3mm thick laminated hylem sheet for 5 amps 5 pin PLUG SOCKET POINT AT CONVENIENT PLACES including citcuit mains, cost of all materials, specials, etc., all complete,</t>
  </si>
  <si>
    <t>Run off mains with 2 wires of 2.5 Sqmm copper PVC insulated unsheathed single core 1.1KV cable wire contuinuous earth by means of 1.5 Sqmm copper PVC insulated unsheathed single core 1.1 KV grade cable in fully concealed 19 mm / 20 mm dia rigid PVC open conduit pipe heavy duty with ISI mark including cost of all materials, specials, etc., all complete.</t>
  </si>
  <si>
    <t>Supply and delivery of following Electric Celling fan with ISI mark with blades and double ball bearing, capacitor,etc., complete with 300mm down rod, canopies, capacitor, shackleblades with speed regulator (resistance type) suitable for operation on 230 volts 50 HTZ single phase AC supply conforming to ISS No.374/79 and provided with insulation . (The brand should be got approved from the Executive Engineer before supply made).</t>
  </si>
  <si>
    <t>Charges for assembling and fixing of ceiling fan of different sweep with necessary connections and fixing of fan regulator on the existing board etc., all complete (Excluding cost of fan)</t>
  </si>
  <si>
    <t>Supplying and fixing of 25 W LED Street light with necessary fittings (Superior variety) - Can be fitted in outside wall  . (The quality and brand should be got approved from the Executive Engineer before supply and use)</t>
  </si>
  <si>
    <t>Supply,assembling and fixing of 18 watts patty type LED tubular lamp with fitting of four feet long ordinary patti, electronic ballast, slim tube light of 36 watts, and fixing the tube light fitting on Teak wood round blocks of 75mm dia 40mm deep suspended from ceiling or mounted on the wall including cost of all materials and labour for fixing in position and as directed by the departmental officers (The entire fitting should be got approved from the Executive Engineer before use)</t>
  </si>
  <si>
    <t>Earth work excavation for foundation in all soils and sub-soils to the required depth as may be directed except in hard rock requiring blasting but inclusive of shoring, strutting, and bailing out water wherever necessary and refilling the sides of foundation with excavated earth in 150mm thick layers well watered rammed and consolidated and depositing the surplus earth in places shown clearing and levelling the site with an initial lead of 10 metres and lift as specified here under etc. complete in all respects complying with relevant standard specifications. (Including Refilling)</t>
  </si>
  <si>
    <t>Supplying and filling in foundation and basement with filling CS sand in layers of 150 mm thickness well watered, rammed and  consolidated complying with relevant Standard specification including cost of supplying filling sand.</t>
  </si>
  <si>
    <t>Supplying and Laying of Rubber mould inter locking Paver Block stone 63mm thick over the base layer of sand filling including cost of materials laying &amp; Hammering Charges etc.,</t>
  </si>
  <si>
    <t>Sl. No.</t>
  </si>
  <si>
    <t>Qty.</t>
  </si>
  <si>
    <t>Description</t>
  </si>
  <si>
    <t>Rate</t>
  </si>
  <si>
    <t>Unit</t>
  </si>
  <si>
    <t>Amount</t>
  </si>
  <si>
    <t>Rmt</t>
  </si>
  <si>
    <t>each</t>
  </si>
  <si>
    <t>Dismantling clearing away and carefully stacking materials for reuse - AC Sheet roofing without roof timbers etc., complete complying with standard specifications.</t>
  </si>
  <si>
    <t>Over the Roof</t>
  </si>
  <si>
    <t>Dismantling the Floor Finish dadooing walls in cement morter with floor tiles complete complying with standard specifications.</t>
  </si>
  <si>
    <t>Existing qtrs veranda flooring</t>
  </si>
  <si>
    <t>Existing qtrs hall flooring</t>
  </si>
  <si>
    <t>Existing qtrs bed flooring</t>
  </si>
  <si>
    <t>Existing qtrs Kitchen flooring</t>
  </si>
  <si>
    <t>Existing qtrs  flooring</t>
  </si>
  <si>
    <t>Existing qtrs toilet  flooring</t>
  </si>
  <si>
    <t xml:space="preserve">Fly ash Brick work in Cement Mortar 1:6 (One of cement and five of M.sand) using Flyash bricks  of size 9”x4½X3” (23x11x7cm) for super structure in the following floors including labour for fixing the doors, windows and ventilator frames in position, fixing of hold fasts, scaffoldings, curing etc., </t>
  </si>
  <si>
    <t>for front and rear door pillar</t>
  </si>
  <si>
    <t>building frond side patch work</t>
  </si>
  <si>
    <t>building inner</t>
  </si>
  <si>
    <t>door pillar all round</t>
  </si>
  <si>
    <t xml:space="preserve">Supplying and fixing of Indian water closet Orissa Pan (20”) superior variety 500mm of approved make  (to be got approved from EE before use) with P or S trap, including concrete filling the sunk portion with brick jelly        lime concrete proportion of brick jelly lime32:121/2 by volume (32 cft of 20mm gauge brick jelly and 12 1/2 cft of slaked lime) (No sand) and top 75mm thick brick jelly concrete in CC 1:8:16 (one of cement, eight of sand and sixteen of broken brick jelly) using 40mm size brick jelly including plastering the sides of sunk portion in Cm 1:3 (one of cement and three of sand) 12mm thick mixed with water proofing compound at 2Kg / m2 and top left rough to receive the floor plastering but including antisyphonage connection including one coat of bitumen for the sides bottom and curing etc., complete in all floors ( ground floor) </t>
  </si>
  <si>
    <t>toilet area</t>
  </si>
  <si>
    <t>for toilet</t>
  </si>
  <si>
    <t>for bath room</t>
  </si>
  <si>
    <t>for kitchen</t>
  </si>
  <si>
    <t>for open area</t>
  </si>
  <si>
    <t>Supplying and fixing of PVC Nahani Trap not less than 110mm 4 way/ 2ay (superior variety) having minimum of water seal of 50mm confirm to relevant IS specifications with its latest amendments including resting on the bed of brick jelly concrete 1:5:10 (one of cement, five of sand and ten of 40mm gauge brick jelly) etc., complete as directed by the departmental officers. (The PVC Nahani Trap should be got approved from the EE before use)</t>
  </si>
  <si>
    <t>for bathroom</t>
  </si>
  <si>
    <t>Supplying and fixing Mild Steel grills as per the design approved to verandah enclosure or gate including one coat of primer and labour for fixing in position etc.</t>
  </si>
  <si>
    <t xml:space="preserve">for front and rear door </t>
  </si>
  <si>
    <t>grill gate</t>
  </si>
  <si>
    <t>OHT Stant</t>
  </si>
  <si>
    <t>roof square tupe</t>
  </si>
  <si>
    <t>total</t>
  </si>
  <si>
    <t>Supply and errection of Rotational Moulded Polyethylenewater storage tanks (HDPE Cylinderical vertical type) for outdoor use having capacity of  2000 litres (excluding free board)  of approved brand (superior variety) with ISI Mark (marked with tank itself) with top  lid with provisions of  locking including necessary  specials and fittings for storing potable water and for storing potable water and manufactured with material which do not import any taste / odour  / any toxic effect and not to contaminate etc with carbon block content and dispersion in accordance with relevant I.S. specification and as directed by the departmental officers etc.</t>
  </si>
  <si>
    <t>for building outer</t>
  </si>
  <si>
    <t>Supplying, laying, fixing and jointing the following PVC pipes as per ASTM D - 1785 of schedule 40 of wall thickness not less than the specified in IS 4985 suitable for plumbing by threading of wall thickness including the cost of suitable PVC/GI specials /GM specials like Elbow, Tee reducers, Plug , union, bend, coupler, nipple/ GM gate valve, check and wheel valve etc., wherever required above the ground level including the cost of teflon tape, special clamps, nails, etc., fixing  on wall to the proper gradiant and alignment and redoing the chipped of masonry etc., as directed by the departmental officers.</t>
  </si>
  <si>
    <t>a) 32mm Astm D schedule 40 threaded Pvc pipe with necessary PVC/GI specials</t>
  </si>
  <si>
    <t>b) 25mm Astm D schedule 40 threaded Pvc pipe with necessary PVC/GI specials</t>
  </si>
  <si>
    <t>bore to oht</t>
  </si>
  <si>
    <t>oht to bath ant toilet</t>
  </si>
  <si>
    <t>bath and toilet inner</t>
  </si>
  <si>
    <t>kitchen inner</t>
  </si>
  <si>
    <t>Supplying and fixing the following dia PVC (SWR) pipe and relevant specials including packing the joints with rubber lubricant fixing them into walls with necessary wooden plug screws, holding wherever necessary and making good of the dismantled portion with necessary connections to sanitary fittings etc., complete in all respects as directed by the departmental officers.(Type - B)</t>
  </si>
  <si>
    <t>a) 110mm dia PVC SWR pipe including all required PVC specials etc., all complete.,</t>
  </si>
  <si>
    <t>Total</t>
  </si>
  <si>
    <t>for chamber to septic tank</t>
  </si>
  <si>
    <t>for toilet to chamber</t>
  </si>
  <si>
    <t>CC 1:5:10 (One of cement, five of sand and ten of hard broken stone Jelly) for foundation using 40 mm gauge broken stone jelly inclusive of shoring, strutting and bailing out water wherever necessary ramming, curing etc.</t>
  </si>
  <si>
    <t>chamber</t>
  </si>
  <si>
    <t xml:space="preserve">Fly ash Brick work in Cement Mortar 1:5 (One of cement and five of M  sand) using Flyash t bricks  of size 9”x4½X3” (23x11x7cm) for super structure in the following floors including labour for fixing the doors, windows and ventilator frames in position, fixing of hold fasts, scaffoldings, curing etc., </t>
  </si>
  <si>
    <t>For Chamber</t>
  </si>
  <si>
    <t>d/f door open</t>
  </si>
  <si>
    <t>d/f window open</t>
  </si>
  <si>
    <t>bed inner all round</t>
  </si>
  <si>
    <t>Painting the New  iron work with two coat of approved make of  “Epoxy paint” of approved quality and brand, the paint should be supplied by the contractor at his own cost. (The quality and the brand of the paint should be got approved by the Executive Engineer before use ) complying   with relevant standard specifications after thorough scrapping using emery sheet etc., all complete and as directed by the departmental officers.</t>
  </si>
  <si>
    <t>doors</t>
  </si>
  <si>
    <t>oht stant</t>
  </si>
  <si>
    <t>for hall</t>
  </si>
  <si>
    <t>veranda</t>
  </si>
  <si>
    <t>kitchen</t>
  </si>
  <si>
    <t>utylity</t>
  </si>
  <si>
    <t>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 LIGHT POINT WITH  CEILING ROSE controlled by 5 amps flush type switch including citcuit mains, cost of all materials, specials, etc., all complete,(Open wiring</t>
  </si>
  <si>
    <t>Hall</t>
  </si>
  <si>
    <t>bed</t>
  </si>
  <si>
    <t>utility</t>
  </si>
  <si>
    <t>hall</t>
  </si>
  <si>
    <t>service conection to house</t>
  </si>
  <si>
    <t>street light</t>
  </si>
  <si>
    <t>for EB Service Connection</t>
  </si>
  <si>
    <r>
      <t xml:space="preserve">Supplying and fixing of 15mm dia </t>
    </r>
    <r>
      <rPr>
        <b/>
        <sz val="11"/>
        <color theme="1"/>
        <rFont val="Century Gothic"/>
        <family val="2"/>
      </rPr>
      <t>CP Long body Tap</t>
    </r>
    <r>
      <rPr>
        <sz val="11"/>
        <color theme="1"/>
        <rFont val="Century Gothic"/>
        <family val="2"/>
      </rPr>
      <t xml:space="preserve"> of Best quality including cost of fittings with required specials, bends, labour for fixing etc</t>
    </r>
  </si>
  <si>
    <r>
      <t xml:space="preserve">Supplying and fixing of </t>
    </r>
    <r>
      <rPr>
        <b/>
        <sz val="11"/>
        <color theme="1"/>
        <rFont val="Century Gothic"/>
        <family val="2"/>
      </rPr>
      <t>Colour ceramic tiles (Anti skid</t>
    </r>
    <r>
      <rPr>
        <sz val="11"/>
        <color theme="1"/>
        <rFont val="Century Gothic"/>
        <family val="2"/>
      </rPr>
      <t>) without corrugated design for flooring and other similar works (Best approved quality, colour and shade 20mm thick including fixing in position, cutting the tiles to the required size wherever necessary, pointing the joints with coloured cement, curing, finishing etc.,</t>
    </r>
  </si>
  <si>
    <r>
      <t xml:space="preserve">Supplying and fixing of </t>
    </r>
    <r>
      <rPr>
        <b/>
        <sz val="11"/>
        <color theme="1"/>
        <rFont val="Century Gothic"/>
        <family val="2"/>
      </rPr>
      <t>Glazed tiles</t>
    </r>
    <r>
      <rPr>
        <sz val="11"/>
        <color theme="1"/>
        <rFont val="Century Gothic"/>
        <family val="2"/>
      </rPr>
      <t xml:space="preserve"> without corrugated design for flooring and other similar works (Best approved quality, colour and shade 20mm thick including fixing in position, cutting the tiles to the required size wherever necessary, pointing the joints with coloured cement, curing, finishing etc.,</t>
    </r>
  </si>
  <si>
    <r>
      <t>Run off mains with</t>
    </r>
    <r>
      <rPr>
        <b/>
        <sz val="11"/>
        <color theme="1"/>
        <rFont val="Century Gothic"/>
        <family val="2"/>
      </rPr>
      <t xml:space="preserve"> 4 wires of 4 sq.mm</t>
    </r>
    <r>
      <rPr>
        <sz val="11"/>
        <color theme="1"/>
        <rFont val="Century Gothic"/>
        <family val="2"/>
      </rPr>
      <t xml:space="preserve"> copper PVC insulated unsheathed single core 1.1 KV grade cable with continuous earth by means of 2.5 sq.mm copper PVC insulated unsheathed single core 1.1 KV grade / cable in fully concealed 25 mm dia rigid PVC conduit pipe heavy duty with ISI mark including cost of materials, specials etc.</t>
    </r>
  </si>
  <si>
    <t>Supplying, Fabricating and fixinf of Colour Galvalum sheet 0.47mm thick  including cost of all materials and labour for fixing in position and as directed by the departmental officers.</t>
  </si>
  <si>
    <t>For Existing Building</t>
  </si>
  <si>
    <t>ABSTRACT ESTIMATE</t>
  </si>
  <si>
    <t>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 LIGHT POINT WITHOUT CEILING ROSE controlled by 5 amps flush type switch including citcuit mains, cost of all materials, specials, etc., all complete,(Open wiring)</t>
  </si>
  <si>
    <t>HALL</t>
  </si>
  <si>
    <t>BED and kitchen</t>
  </si>
  <si>
    <t>SQM</t>
  </si>
  <si>
    <t>CUM</t>
  </si>
  <si>
    <t>KG</t>
  </si>
  <si>
    <t>RMT</t>
  </si>
  <si>
    <t>TAMIL NADU POLICE HOUSING CORPORATION</t>
  </si>
  <si>
    <t>======================================</t>
  </si>
  <si>
    <t>PLACE:-</t>
  </si>
  <si>
    <t xml:space="preserve"> </t>
  </si>
  <si>
    <t>Mulli 2022 - 2023</t>
  </si>
  <si>
    <t>2022-2023</t>
  </si>
  <si>
    <t>-</t>
  </si>
  <si>
    <t>COST OF MATERIALS</t>
  </si>
  <si>
    <t>RATE</t>
  </si>
  <si>
    <t>PER</t>
  </si>
  <si>
    <t>AMOUNT</t>
  </si>
  <si>
    <t>*</t>
  </si>
  <si>
    <t>CEMENT MORTAR(1:1.5)</t>
  </si>
  <si>
    <t>M.T</t>
  </si>
  <si>
    <t>CEMENT</t>
  </si>
  <si>
    <t>SAND</t>
  </si>
  <si>
    <t>MIXING OF MORTAR</t>
  </si>
  <si>
    <t>L.S</t>
  </si>
  <si>
    <t>SUNDRIES</t>
  </si>
  <si>
    <t>TOTAL FOR 1 CUM</t>
  </si>
  <si>
    <t>CEMENT MORTAR(1:2)</t>
  </si>
  <si>
    <t>CEMENT MORTAR(1:3)</t>
  </si>
  <si>
    <t>CEMENT MORTAR(1:4)</t>
  </si>
  <si>
    <t>CEMENT MORTAR(1:5)</t>
  </si>
  <si>
    <t>CEMENT MORTAR(1:6)</t>
  </si>
  <si>
    <t>CEMENT MORTAR(1:7)</t>
  </si>
  <si>
    <t>CEMENT MORTAR(1:8)</t>
  </si>
  <si>
    <t>EARTH WORK EXCAVATION</t>
  </si>
  <si>
    <t>---------------------</t>
  </si>
  <si>
    <t>EARTH WORK EXCAVATION IN SS20B</t>
  </si>
  <si>
    <t>ADD 100% FOR NARROW CUTTING</t>
  </si>
  <si>
    <t xml:space="preserve"> 1/3REFILLING CHARGES</t>
  </si>
  <si>
    <t>TOTAL FOR 10 CUM</t>
  </si>
  <si>
    <t>RATE PER CUM INCLUDING REFILLING</t>
  </si>
  <si>
    <t>0 TO 2M</t>
  </si>
  <si>
    <t>2 TO 3M</t>
  </si>
  <si>
    <t>3.1</t>
  </si>
  <si>
    <t>CEMENT CONCRETE(1:5:10) USING</t>
  </si>
  <si>
    <t>40mm HBSTONE METEL</t>
  </si>
  <si>
    <t xml:space="preserve">  H.B.STONEJELLY 40mm</t>
  </si>
  <si>
    <t>NO.</t>
  </si>
  <si>
    <t>MASON II</t>
  </si>
  <si>
    <t>MAZDOOR I</t>
  </si>
  <si>
    <t>MAZDOOR II</t>
  </si>
  <si>
    <t>RATE PER CUM</t>
  </si>
  <si>
    <t>=</t>
  </si>
  <si>
    <t xml:space="preserve">FLY  ASH BRICKS DATA </t>
  </si>
  <si>
    <t xml:space="preserve">B.W IN C.M(1:5) using fly ash  bricks </t>
  </si>
  <si>
    <t>Bricks of size 23x11x7 cm</t>
  </si>
  <si>
    <t>NOS.</t>
  </si>
  <si>
    <t xml:space="preserve"> 1000NO.</t>
  </si>
  <si>
    <t>MASON I</t>
  </si>
  <si>
    <t>TOTAL FOR 2.83168 CUM</t>
  </si>
  <si>
    <t>From 1.25m to 2m width (1.25 times E.W)</t>
  </si>
  <si>
    <t>2.1</t>
  </si>
  <si>
    <t>FILLING IN FOUNDATION AND</t>
  </si>
  <si>
    <t>BASEMENT  WITH  FILLING SAND</t>
  </si>
  <si>
    <t>COST OF FILLINGSAND</t>
  </si>
  <si>
    <t>LABOUR CHARGES FOR FILLING</t>
  </si>
  <si>
    <t>TOTAL FOR 1.0 CUM</t>
  </si>
  <si>
    <t xml:space="preserve">B.W IN C.M(1:6) using fly ash bricks </t>
  </si>
  <si>
    <t>G.F</t>
  </si>
  <si>
    <t xml:space="preserve">Chamber inner </t>
  </si>
  <si>
    <t>chamber outer</t>
  </si>
  <si>
    <t>PLASTERING C.M(1:5) 20mmTHICK</t>
  </si>
  <si>
    <t>TOTAL FOR 10 SQM</t>
  </si>
  <si>
    <t>RATE PER SQM</t>
  </si>
  <si>
    <t>56.1.</t>
  </si>
  <si>
    <t>SUPPLYING AND FIXING OF I.W.C</t>
  </si>
  <si>
    <t>20"WITH TOP LEFT ROUGH TO RECEIVE</t>
  </si>
  <si>
    <t xml:space="preserve">FLOOR FINISH </t>
  </si>
  <si>
    <t xml:space="preserve"> IN G.FLOOR.</t>
  </si>
  <si>
    <t xml:space="preserve"> I.W.C 20"SIZE(Orissa pan)</t>
  </si>
  <si>
    <t xml:space="preserve">E.W EXCAVATION </t>
  </si>
  <si>
    <t>REFILLING</t>
  </si>
  <si>
    <t>BRICK JELLY CONCRETE USING 40mm(1:8:16)</t>
  </si>
  <si>
    <t>PLUMBER I</t>
  </si>
  <si>
    <t>TOTAL FOR ONE NUMBER</t>
  </si>
  <si>
    <t>15mm dia half turn CP tap</t>
  </si>
  <si>
    <t>Sub-Data</t>
  </si>
  <si>
    <t>Labour charge</t>
  </si>
  <si>
    <t>Nos</t>
  </si>
  <si>
    <t>Fitter I class</t>
  </si>
  <si>
    <t>Each</t>
  </si>
  <si>
    <t xml:space="preserve">Nos </t>
  </si>
  <si>
    <t>Mazdoor I</t>
  </si>
  <si>
    <t>gram</t>
  </si>
  <si>
    <t>Shellac p-49/168</t>
  </si>
  <si>
    <t>100 gms</t>
  </si>
  <si>
    <t>Thread ball p-49/173</t>
  </si>
  <si>
    <t>Total/1 No</t>
  </si>
  <si>
    <t>Main Data</t>
  </si>
  <si>
    <t>Long body</t>
  </si>
  <si>
    <t>short body</t>
  </si>
  <si>
    <t>Cost of Tap</t>
  </si>
  <si>
    <t>Labour</t>
  </si>
  <si>
    <t>60.</t>
  </si>
  <si>
    <t xml:space="preserve">SUPPLY AND FIXING OF P.V.C. </t>
  </si>
  <si>
    <t>NAHANI TRAP 75mm DIA</t>
  </si>
  <si>
    <t xml:space="preserve"> PVC NAHANI TRAP (4WAY/2WAY)</t>
  </si>
  <si>
    <t>SUNDRIES FOR B.J.C,PLASTERING ETC</t>
  </si>
  <si>
    <t>Steel grill for Verandah Enclousure PWD SR p20/ Item 138/131</t>
  </si>
  <si>
    <t>Kg</t>
  </si>
  <si>
    <t>51.</t>
  </si>
  <si>
    <t>PVC WATER TANK OF 2000 LITRE CAPACITY p50 /180</t>
  </si>
  <si>
    <t>Ex. free board with ISI mark</t>
  </si>
  <si>
    <t>Providing White/Color ceramic floor tiles (Anti-skid)of</t>
  </si>
  <si>
    <t>any size 0f 6mm T.K including pointing etc.,</t>
  </si>
  <si>
    <t>as directed by the Dept.Officers.</t>
  </si>
  <si>
    <t>COST OF CERAMIC FLOOR TILES</t>
  </si>
  <si>
    <t>C.M(1:3)</t>
  </si>
  <si>
    <t>LABOUR FOR LAYING &amp; POINTING</t>
  </si>
  <si>
    <t>NO</t>
  </si>
  <si>
    <t>Grout ( qtn)</t>
  </si>
  <si>
    <t>Suppling and laying White/Plain colour</t>
  </si>
  <si>
    <t xml:space="preserve">Glazed tiles in C.M(1:2)  </t>
  </si>
  <si>
    <t>COST OF GLAZED  TILES</t>
  </si>
  <si>
    <t>Grout</t>
  </si>
  <si>
    <t>C.M(1:2)</t>
  </si>
  <si>
    <t>Mazdoor-I</t>
  </si>
  <si>
    <t>TOTAL FOR 1.860 SQM</t>
  </si>
  <si>
    <t>58.1(a)</t>
  </si>
  <si>
    <t>SUPPLY AND FIXING P.V.C.SOIL</t>
  </si>
  <si>
    <t>PIPESPECIALS OF FOLLOWING DIA:-</t>
  </si>
  <si>
    <t>A.</t>
  </si>
  <si>
    <t>SUPPLY AND FIXING OF PVC soil PIPE</t>
  </si>
  <si>
    <t xml:space="preserve">110MM DIA OF PVC SWR PIPE INCLUDING </t>
  </si>
  <si>
    <t>PACKING THE JOINTS WITH RUBBER</t>
  </si>
  <si>
    <t>LUBRICANT AND FIXING IN TO</t>
  </si>
  <si>
    <t>WALL WITH WOODEN PLUGS</t>
  </si>
  <si>
    <t>SCREWSHOLDING CLAMPSETC</t>
  </si>
  <si>
    <t>COMPLETE  type 'B'.</t>
  </si>
  <si>
    <t>P.V.C. PIPE 110mm DIA</t>
  </si>
  <si>
    <t>P.V.C BEND WITH DOOR 110MM</t>
  </si>
  <si>
    <t>EACH</t>
  </si>
  <si>
    <t>P.V.C COWL 110MM</t>
  </si>
  <si>
    <t>P.V.C DOOR TEE 110MM p-61 D-c</t>
  </si>
  <si>
    <t>COST OF RUBBER</t>
  </si>
  <si>
    <t>LUBRICANTT.W.PLUGS AND</t>
  </si>
  <si>
    <t>C.I.CLAMPS ETC</t>
  </si>
  <si>
    <t>SUNDERS</t>
  </si>
  <si>
    <t>TOTAL FOR 3 RMT</t>
  </si>
  <si>
    <t>RATE PER RMT</t>
  </si>
  <si>
    <r>
      <t xml:space="preserve">Painting the </t>
    </r>
    <r>
      <rPr>
        <b/>
        <sz val="11"/>
        <color indexed="8"/>
        <rFont val="Century Gothic"/>
        <family val="2"/>
      </rPr>
      <t>old wood work</t>
    </r>
    <r>
      <rPr>
        <sz val="11"/>
        <color indexed="8"/>
        <rFont val="Century Gothic"/>
        <family val="2"/>
      </rPr>
      <t xml:space="preserve"> with one coats of approved Ist class </t>
    </r>
    <r>
      <rPr>
        <b/>
        <sz val="11"/>
        <color indexed="8"/>
        <rFont val="Century Gothic"/>
        <family val="2"/>
      </rPr>
      <t>synthetic enamel</t>
    </r>
    <r>
      <rPr>
        <sz val="11"/>
        <color indexed="8"/>
        <rFont val="Century Gothic"/>
        <family val="2"/>
      </rPr>
      <t xml:space="preserve"> paint including clean removal of old paint using sand paper as required by the departmental officers including cost of material, labour for painting, supplying etc., all complete as directed by the departmental officers.( the paint quantity and shade should be got approved by Executive Engineer before using.)</t>
    </r>
  </si>
  <si>
    <t>PAINTING ONE COATS OVER OLD</t>
  </si>
  <si>
    <t>WOOD WORKS WITH IIND CLASS</t>
  </si>
  <si>
    <t>SYNTHETIC ENAMEL PAINT</t>
  </si>
  <si>
    <t>Lit</t>
  </si>
  <si>
    <t>READY MIXED IIND CLASS PAINT</t>
  </si>
  <si>
    <t>nos</t>
  </si>
  <si>
    <t xml:space="preserve">PAINTER I </t>
  </si>
  <si>
    <t>Sqm</t>
  </si>
  <si>
    <t>Thorouh scrapping (p-31 slno.112)</t>
  </si>
  <si>
    <t xml:space="preserve">SUNDRIES </t>
  </si>
  <si>
    <t>LS</t>
  </si>
  <si>
    <t>OVER THE PRIMER COAT OF</t>
  </si>
  <si>
    <t>APPROVED CEMENT PAINT FOR NEW</t>
  </si>
  <si>
    <t>PLASTERED SURFACES</t>
  </si>
  <si>
    <t>Primer coat using white cement</t>
  </si>
  <si>
    <t>PAINTER I</t>
  </si>
  <si>
    <t>MAZDOOR  I</t>
  </si>
  <si>
    <r>
      <rPr>
        <b/>
        <sz val="11"/>
        <rFont val="Century Gothic"/>
        <family val="2"/>
      </rPr>
      <t>Painting two coats old wall  with ready mixed exterior emulson paint</t>
    </r>
    <r>
      <rPr>
        <sz val="11"/>
        <rFont val="Century Gothic"/>
        <family val="2"/>
      </rPr>
      <t xml:space="preserve"> of first class quality paint of approved colour and shade over a priming coat, including thorough scrapping, clean removal of dirt and dust etc., complete including cost of necessary brushes, labour charges, patty etc., complying with relevant standard specification. The paint should be supplied by the contractors at his own cost. (The quality and shade of the paint should be got approved by the  Executive engineer before use.) </t>
    </r>
  </si>
  <si>
    <t>Plastic Emulsion PAINT two coat for old wall</t>
  </si>
  <si>
    <t>LIT</t>
  </si>
  <si>
    <t>Plastic Emulsion PAINT</t>
  </si>
  <si>
    <t>Painter I</t>
  </si>
  <si>
    <t>Thorouh scrapping p28/108</t>
  </si>
  <si>
    <t>ls</t>
  </si>
  <si>
    <t>PAINTING TWO COATS OVER NEW           (as per PWD Standard Data)</t>
  </si>
  <si>
    <t xml:space="preserve">PLASTERED SURFACE WITH </t>
  </si>
  <si>
    <t>OBD</t>
  </si>
  <si>
    <t>OBD p-45 sl.140</t>
  </si>
  <si>
    <t>SUNDRIES FOR BRUSHES,ETC</t>
  </si>
  <si>
    <t>PAINTING TWO COATS OVER NEW</t>
  </si>
  <si>
    <t>IRON WORKS WITH IIND CLASS</t>
  </si>
  <si>
    <t>OPEN WIRING IN PVC PIPE</t>
  </si>
  <si>
    <t>Open wiring for Light point with ceiling rose for flats/ houses</t>
  </si>
  <si>
    <t>1.5 sqmm copper PVC insulated unsheathed single core cable</t>
  </si>
  <si>
    <t xml:space="preserve"> Rmt</t>
  </si>
  <si>
    <t>PVC rigid conduit pipe 19 mm / 20mm heavy duty with ISI mark</t>
  </si>
  <si>
    <t>1 Rmt</t>
  </si>
  <si>
    <t>No</t>
  </si>
  <si>
    <t>19 mm PVC rigid bends</t>
  </si>
  <si>
    <t>Tw Plugs (p 91 p J e)</t>
  </si>
  <si>
    <t>1000 nos</t>
  </si>
  <si>
    <t>19 mm PVC rigid tees</t>
  </si>
  <si>
    <t xml:space="preserve">PVC joint box ( Part- I ,p 129  6b) </t>
  </si>
  <si>
    <t>Dozen</t>
  </si>
  <si>
    <t xml:space="preserve">Hylem sheet 3 mm thick with lamination </t>
  </si>
  <si>
    <t>5 amps flush type switch</t>
  </si>
  <si>
    <t>Ceiling rose</t>
  </si>
  <si>
    <t>Gross</t>
  </si>
  <si>
    <t>Brass screws 40mm p 130 L 1c</t>
  </si>
  <si>
    <t>19 mm MS clamp</t>
  </si>
  <si>
    <t>Bag</t>
  </si>
  <si>
    <t>Cement</t>
  </si>
  <si>
    <t>TW switch  box  100 x 100 x 75 mm p 130 jd</t>
  </si>
  <si>
    <t>TW junction  box  150 x 100 x 75 mm p-130 j c</t>
  </si>
  <si>
    <t>3 mm thick laminated Hylem sheet (10X0.1X0.1)</t>
  </si>
  <si>
    <t>1.5 sqmm copper PVC insulated unsheathed single core cable for continuous earth connection</t>
  </si>
  <si>
    <t>90 Rmt</t>
  </si>
  <si>
    <t>Litre</t>
  </si>
  <si>
    <t>Paint SEP p-44 it-117</t>
  </si>
  <si>
    <t>Points</t>
  </si>
  <si>
    <t>Labour charges</t>
  </si>
  <si>
    <t>Sundries 1% on materials</t>
  </si>
  <si>
    <t>Total for 10 Points</t>
  </si>
  <si>
    <t>Rate for 1 Point</t>
  </si>
  <si>
    <t>Labour Charges for wirnig in PVC pipe concealed</t>
  </si>
  <si>
    <t>Sub - data</t>
  </si>
  <si>
    <t>Maistry</t>
  </si>
  <si>
    <t>Wiremen Grade  - I</t>
  </si>
  <si>
    <t>Wiremen Grade  - II</t>
  </si>
  <si>
    <t>Helper</t>
  </si>
  <si>
    <t>LIGHT POINT WITH CEILING ROSE FOR ADMINISTRATIVE BLOCKS AND COMMUNITY CENTRE Open wiring</t>
  </si>
  <si>
    <t>Light point with bakelite batern type holder for flats/ houses(Open wiring)</t>
  </si>
  <si>
    <t>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 LIGHT POINT WITH BAKELITE BATTERN TYPE HOLDER FOR FLATS/ HOUSES  controlled by 5 amps flush type switch including citcuit mains, cost of all materials, specials, etc., all complete,</t>
  </si>
  <si>
    <t xml:space="preserve">Total for Data 1 excluding sundries </t>
  </si>
  <si>
    <t>Deduct cost of ceiling rose 10 Nos</t>
  </si>
  <si>
    <t>Add cost of Bakelite battern type holders 10 Nos @ Rs 16.65 / Each p-116,  it-25</t>
  </si>
  <si>
    <t>Sundries</t>
  </si>
  <si>
    <t>Total for 10 points</t>
  </si>
  <si>
    <t>Rate for 1 points</t>
  </si>
  <si>
    <t>FAN POINT (open wiring)</t>
  </si>
  <si>
    <t>Wirng with 1.5 sqmm copper PVC insulated unsheathed single core 1.1 KV grade cable with continuous earth by means of 1.5 sqmm copper PVC insulated unsheathed single core 1.1 KV grade cable confirming to IS 694 / 1980 with ISI mark in  PVC rigid conduit pipe heavy duty with ISI mark with suitable size MS box of 16g thick concealed and covered with 3mm thick laminated hylem sheet for FAN POINT controlled by 5 amps flush type switch including citcuit mains, cost of all materials, specials, etc., all complete,(Open wiring)</t>
  </si>
  <si>
    <t>Deduct cost of TW Box 10X10x7.5cm</t>
  </si>
  <si>
    <t>Deduct cost of Hylem sheet</t>
  </si>
  <si>
    <t>Add cost of TW box 12" x 8" x3" for switch and regulator 10 nos  @ Rs 69.90 / Each p-130 ,part  J a</t>
  </si>
  <si>
    <t>Hylem sheet 0.60 Sq m@ 661/Sq m p-130  ,7 a</t>
  </si>
  <si>
    <t>Add Sundries 1%</t>
  </si>
  <si>
    <t>5 AMPS 5 PIN PLUG SOCKET POINT AT CONVENIENT PLACES (OPEN WIRING)</t>
  </si>
  <si>
    <t>MS box  150x 100 x 75 mm</t>
  </si>
  <si>
    <t xml:space="preserve">3 mm thick laminated Hylem sheet </t>
  </si>
  <si>
    <t>5 A 5 pin non - inter locking switch and plug ( flush type )</t>
  </si>
  <si>
    <t>SQqm</t>
  </si>
  <si>
    <t>Total for 15 points</t>
  </si>
  <si>
    <t>Rate for 1 point</t>
  </si>
  <si>
    <t>2 X1.5 Sqmm in fully concealed PVC conduit</t>
  </si>
  <si>
    <t>Run off mains with 2 wires of 1.5 Sqmm copper PVC insulated unsheathed single core 1.1KV cable wire contuinuous earth by means of 1.5 Sqmm copper PVC insulated unsheathed single core 1.1 KV grade cable in fully concealed 19 mm / 20 mm dia rigid PVC open conduit pipe heavy duty with ISI mark including cost of all materials, specials, etc., all complete.</t>
  </si>
  <si>
    <t>gross</t>
  </si>
  <si>
    <t>MS saddles 19mm p- 131 part- L 3b</t>
  </si>
  <si>
    <t>TW plugs 1.5"X1"X2" SR P.129</t>
  </si>
  <si>
    <t>1000Nos</t>
  </si>
  <si>
    <t>Brass screws 38mm</t>
  </si>
  <si>
    <t>2/3</t>
  </si>
  <si>
    <t>Total for 90 Metres</t>
  </si>
  <si>
    <t>Rate for 1 Rmt</t>
  </si>
  <si>
    <t>2 X 2.5 Sq mm in fully concealed PVC conduit (open wiring)</t>
  </si>
  <si>
    <t>Run off mains with 2 wires of 2.5 Sqmm copper PVC insulated unsheathed single core 1.1KV cable wire contuinuous earth by means of 1.5 Sqmm copper PVC insulated unsheathed single core 1.1 KV grade cable in fully concealed 19 mm / 20 mm dia rigid PVC conduit pipe heavy duty with ISI mark including cost of all materials, specials, etc., all complete.</t>
  </si>
  <si>
    <t xml:space="preserve">Total as per Data No. </t>
  </si>
  <si>
    <t>Add 180 mt 2.5 Sqmm copper PVC insulated unsheathed S.C. cable</t>
  </si>
  <si>
    <t>Deduct 1.5 Sqmm copper PVC insulated unsheathed S.C. cable</t>
  </si>
  <si>
    <t>Total for 90 metres</t>
  </si>
  <si>
    <t>SUPPLY AND DELIVERY OF FAN 48"SWEEP with 
Electronic Regulator step dimmer.</t>
  </si>
  <si>
    <t>LABOUR CHARGE FOR FIXING FAN</t>
  </si>
  <si>
    <t>Vertified tile flooring IVORY</t>
  </si>
  <si>
    <t>d448</t>
  </si>
  <si>
    <t>COST OF Vertified TILES  qtn</t>
  </si>
  <si>
    <t>Grout joint filler</t>
  </si>
  <si>
    <t>DATA   - 40</t>
  </si>
  <si>
    <t>4 x 4  Sq mm copper PVC insulated unsheathed single core cable for 3 phase EB service connection</t>
  </si>
  <si>
    <t xml:space="preserve">Run of 4 wires of 4 Sqmm copper PVC insulated unsheathed single cosre/ 1.1 KV grade cable with one run of 7/20 GI stay wire suspended with porcelin reel insulater at 1.0 m C/C for support of phase and neautral cable from the top of street pole to the houses/blocks including all materials, etc., all complatet for EB service connections, including labour charges for fixing GI wires and MS angles </t>
  </si>
  <si>
    <t>4 Sqmm copper PVC insulated unsheathed single core cableP-79 2 d</t>
  </si>
  <si>
    <t>7/20 GI stay wire</t>
  </si>
  <si>
    <t>PVC reel insulater</t>
  </si>
  <si>
    <t>GI wire for fixing reel insulater</t>
  </si>
  <si>
    <t>Labour charges 1.5 times dataNo 37</t>
  </si>
  <si>
    <t>Sundries for masonry works clamps bolts and nuts etc.,</t>
  </si>
  <si>
    <t>Total for 90 Rmt</t>
  </si>
  <si>
    <t>for existing building</t>
  </si>
  <si>
    <t>Supply of 40 mm dia GI pipe "B"class ( for the above Data ) for passing through from top of Houses to the MES Board to meet the EB requirement. Supplying of GI Pipes for EB Service.</t>
  </si>
  <si>
    <t>for EB Service connection</t>
  </si>
  <si>
    <r>
      <t xml:space="preserve">Supplying and fixing </t>
    </r>
    <r>
      <rPr>
        <b/>
        <sz val="12"/>
        <rFont val="Century Gothic"/>
        <family val="2"/>
      </rPr>
      <t xml:space="preserve">1 No of 450 x 375 x 20 m   thick TW plank </t>
    </r>
    <r>
      <rPr>
        <sz val="11"/>
        <color theme="1"/>
        <rFont val="Century Gothic"/>
        <family val="2"/>
      </rPr>
      <t>well varnished with 3 No 30 amps 500 volts fuse unit and 1 No of copper earth plate of suitable size bolts and nuta on walls for EB service connections including cost of all materials, etc., all complete. EB Service Connection</t>
    </r>
  </si>
  <si>
    <t>SUPPLY AND FIXING OF GALVANIUM SHEET 0.47MM THICK</t>
  </si>
  <si>
    <t>GALVANIUM SHEET 0.47MM THICK ( SR p-72)</t>
  </si>
  <si>
    <t xml:space="preserve">FITTER I st  CLASS </t>
  </si>
  <si>
    <t>CARPENTER I ST CLASS</t>
  </si>
  <si>
    <t>MAZDOOR I ST CLASS</t>
  </si>
  <si>
    <t xml:space="preserve">L.S </t>
  </si>
  <si>
    <t xml:space="preserve">Bolts &amp;  Washers </t>
  </si>
  <si>
    <t xml:space="preserve">Rate For 10 Sqm </t>
  </si>
  <si>
    <t xml:space="preserve">Rate For 1 Sqm </t>
  </si>
  <si>
    <t>Supplying and laying of rubber moulded hydraulic pressed paver block 63mm tk over a base layer of cs sand filling.</t>
  </si>
  <si>
    <t>10 .sqm</t>
  </si>
  <si>
    <t>paver block 63mm</t>
  </si>
  <si>
    <t>1.8 Nos</t>
  </si>
  <si>
    <t xml:space="preserve">Mason I CLASS </t>
  </si>
  <si>
    <t xml:space="preserve">Mason Ii CLASS </t>
  </si>
  <si>
    <t>2.2 nos</t>
  </si>
  <si>
    <t>mazdoor I class</t>
  </si>
  <si>
    <t>mazdor 11 class</t>
  </si>
  <si>
    <t>stone cutter 1 class</t>
  </si>
  <si>
    <t>0.08cum</t>
  </si>
  <si>
    <t>pointing</t>
  </si>
  <si>
    <t>cum</t>
  </si>
  <si>
    <t>10 sqm</t>
  </si>
  <si>
    <t>1.0 sqm</t>
  </si>
  <si>
    <t>Finishing the top of flooring with cement concrete 1:3 (One of cement and three of blue granite chips of size 10mm and below) 20 mm thick Ellis Pattern Flooring (No Sand) and surface rendered smooth including 150mm wide skirting, providing proper slopes,   thread lining, curing etc..</t>
  </si>
  <si>
    <t>30.</t>
  </si>
  <si>
    <t>FINISHING THE TOP OF FLOORING</t>
  </si>
  <si>
    <t>WITH C.M(1:3)20mm THICK</t>
  </si>
  <si>
    <t xml:space="preserve"> (NO SAND)USING GRANITECHIPS</t>
  </si>
  <si>
    <t>OF 10mm&amp;BELOW (ELLISPATTERN)</t>
  </si>
  <si>
    <t xml:space="preserve">STONE JELLY 3mm to 10mm </t>
  </si>
  <si>
    <t xml:space="preserve"> Supplying  and Fixing 3 Nos of 63 Amps 500 Volts Grade porelain fuse unit on suitable etc., </t>
  </si>
  <si>
    <t>TOTAL</t>
  </si>
  <si>
    <t>Main Building SR Work</t>
  </si>
  <si>
    <t>Qty</t>
  </si>
  <si>
    <t>Septic Tank</t>
  </si>
  <si>
    <t>External Water Supply</t>
  </si>
  <si>
    <t>SUPLLYING AND FILLING WITH 40MM HBSJ</t>
  </si>
  <si>
    <t>COST OF 40mm HBSJ</t>
  </si>
  <si>
    <t>SUPLLYING AND FILLING WITH 20MM HBSJ</t>
  </si>
  <si>
    <t>COST OF 20mm HBSJ</t>
  </si>
  <si>
    <t>3.2</t>
  </si>
  <si>
    <t>CEMENT CONCRETE PCC (1:2:4) USING</t>
  </si>
  <si>
    <t>20mm HBSTONE METEL</t>
  </si>
  <si>
    <t xml:space="preserve">  H.B.STONEJELLY 20mm</t>
  </si>
  <si>
    <t>18.1.a.</t>
  </si>
  <si>
    <t>Form work for Plinth beam, Grade beam, Raft beam</t>
  </si>
  <si>
    <t>b.</t>
  </si>
  <si>
    <t>Form work for Roof and lintels using M.S sheet</t>
  </si>
  <si>
    <t>c.</t>
  </si>
  <si>
    <t>Form work for Small quantity and column using M.S. sheet</t>
  </si>
  <si>
    <t>d.</t>
  </si>
  <si>
    <t>Form work for Vertical walls</t>
  </si>
  <si>
    <t>43.</t>
  </si>
  <si>
    <t>a.</t>
  </si>
  <si>
    <t>SUPPLYING AND FABRICATING AND</t>
  </si>
  <si>
    <t>PLACING R.T.S RODS/MS RODS upto 16mm dia(without cement  slurry)</t>
  </si>
  <si>
    <t>QUTL</t>
  </si>
  <si>
    <t>R.T.S RODS/M.S.RODS UPTO 16MM DIA</t>
  </si>
  <si>
    <t>MT</t>
  </si>
  <si>
    <t>BINDING WIRE</t>
  </si>
  <si>
    <t>FITTER I</t>
  </si>
  <si>
    <t>TOTTAL FOR 1 QTL</t>
  </si>
  <si>
    <t>RATE PER M.T</t>
  </si>
  <si>
    <t>58.2</t>
  </si>
  <si>
    <t xml:space="preserve">Supplying &amp;fixing 110mm dia PVC </t>
  </si>
  <si>
    <t xml:space="preserve">SWR pipe for ventilating shaft </t>
  </si>
  <si>
    <t xml:space="preserve">of 3M length with cowl </t>
  </si>
  <si>
    <t>RM</t>
  </si>
  <si>
    <t>110mm dia PVC SWR pipe</t>
  </si>
  <si>
    <t>no</t>
  </si>
  <si>
    <t>110mm dia cowl</t>
  </si>
  <si>
    <t>Labour for fixing</t>
  </si>
  <si>
    <t>l.s</t>
  </si>
  <si>
    <t>Sundries for PVC solution etc.</t>
  </si>
  <si>
    <t>Rate for 1 no.</t>
  </si>
  <si>
    <t>GENERAL ABSTRACT</t>
  </si>
  <si>
    <t>Sl.No.</t>
  </si>
  <si>
    <t>1 unit</t>
  </si>
  <si>
    <t>GST at  18.0%</t>
  </si>
  <si>
    <t>Labour Welfare fund @ 1.0%</t>
  </si>
  <si>
    <t xml:space="preserve">Unforeseen items,Contingencies and P.Supervision at 2.5 % </t>
  </si>
  <si>
    <t>Supervision Charges @7.5%</t>
  </si>
  <si>
    <t>SUB - TOTAL - V Rs.</t>
  </si>
  <si>
    <t>Say Rs.</t>
  </si>
  <si>
    <t>Existing Qtrs Special Repair Works</t>
  </si>
  <si>
    <t>Providing Septic Tank</t>
  </si>
  <si>
    <t>SUB - TOTAL - II     Rs.</t>
  </si>
  <si>
    <t>SUB - TOTAL - I      Rs.</t>
  </si>
  <si>
    <t>24.</t>
  </si>
  <si>
    <t>STEEL GRILLS FOR WINDOWS &amp; VENTILATER</t>
  </si>
  <si>
    <t>WITH SUITABLE LEDGES including piming coat</t>
  </si>
  <si>
    <t>RATE AS PER  PWD LR For Window  p 38/ it 82</t>
  </si>
  <si>
    <t>Chain link fencing data for 15sqm</t>
  </si>
  <si>
    <t>sqm</t>
  </si>
  <si>
    <t>GALVANISIED IRON WIRE 2" x 2" using 10 gauge (of all sizes) p44/134</t>
  </si>
  <si>
    <t>kg</t>
  </si>
  <si>
    <t>Binding wire</t>
  </si>
  <si>
    <t>No.</t>
  </si>
  <si>
    <t>Mazdoor I class</t>
  </si>
  <si>
    <t>Rate for 15sqm</t>
  </si>
  <si>
    <t>Rate for 1 sqm</t>
  </si>
  <si>
    <t>Painting the New  iron work with two coat of approved make of  synthetic enamel paint” of approved quality and brand, the paint should be supplied by the contractor at his own cost. (The quality and the brand of the paint should be got approved by the Executive Engineer before use ) complying   with relevant standard specifications after thorough scrapping using emery sheet etc., all complete and as directed by the departmental officers.</t>
  </si>
  <si>
    <t>1 sqm = 20 kg (128.90x 20 = 2266 kg)</t>
  </si>
  <si>
    <t>Existing AC sheet Reroofing  without roof timbers etc., complete complying with standard specifications.</t>
  </si>
  <si>
    <r>
      <t xml:space="preserve">Supplying and fixing of 15mm dia </t>
    </r>
    <r>
      <rPr>
        <b/>
        <sz val="11"/>
        <color theme="1"/>
        <rFont val="Calibri"/>
        <family val="2"/>
        <scheme val="minor"/>
      </rPr>
      <t>CP Long body Tap</t>
    </r>
    <r>
      <rPr>
        <sz val="11"/>
        <color theme="1"/>
        <rFont val="Calibri"/>
        <family val="2"/>
        <scheme val="minor"/>
      </rPr>
      <t xml:space="preserve"> of Best quality including cost of fittings with required specials, bends, labour for fixing etc</t>
    </r>
  </si>
  <si>
    <r>
      <t xml:space="preserve">Painting the </t>
    </r>
    <r>
      <rPr>
        <b/>
        <sz val="11"/>
        <color indexed="8"/>
        <rFont val="Calibri"/>
        <family val="2"/>
        <scheme val="minor"/>
      </rPr>
      <t>old wood work</t>
    </r>
    <r>
      <rPr>
        <sz val="11"/>
        <color indexed="8"/>
        <rFont val="Calibri"/>
        <family val="2"/>
        <scheme val="minor"/>
      </rPr>
      <t xml:space="preserve"> with two coats of approved Ist class </t>
    </r>
    <r>
      <rPr>
        <b/>
        <sz val="11"/>
        <color indexed="8"/>
        <rFont val="Calibri"/>
        <family val="2"/>
        <scheme val="minor"/>
      </rPr>
      <t>synthetic enamel</t>
    </r>
    <r>
      <rPr>
        <sz val="11"/>
        <color indexed="8"/>
        <rFont val="Calibri"/>
        <family val="2"/>
        <scheme val="minor"/>
      </rPr>
      <t xml:space="preserve"> paint including clean removal of old paint using sand paper as required by the departmental officers including cost of material, labour for painting, supplying etc., all complete as directed by the departmental officers.( the paint quantity and shade should be got approved by Executive Engineer before using.)</t>
    </r>
  </si>
  <si>
    <r>
      <t>Run off mains with</t>
    </r>
    <r>
      <rPr>
        <b/>
        <sz val="11"/>
        <color theme="1"/>
        <rFont val="Calibri"/>
        <family val="2"/>
        <scheme val="minor"/>
      </rPr>
      <t xml:space="preserve"> 4 wires of 4 sq.mm</t>
    </r>
    <r>
      <rPr>
        <sz val="11"/>
        <color theme="1"/>
        <rFont val="Calibri"/>
        <family val="2"/>
        <scheme val="minor"/>
      </rPr>
      <t xml:space="preserve"> copper PVC insulated unsheathed single core 1.1 KV grade cable with continuous earth by means of 2.5 sq.mm copper PVC insulated unsheathed single core 1.1 KV grade / cable in fully concealed 25 mm dia rigid PVC conduit pipe heavy duty with ISI mark including cost of materials, specials etc.</t>
    </r>
  </si>
  <si>
    <r>
      <t xml:space="preserve">Supplying and fixing </t>
    </r>
    <r>
      <rPr>
        <b/>
        <sz val="12"/>
        <rFont val="Calibri"/>
        <family val="2"/>
        <scheme val="minor"/>
      </rPr>
      <t xml:space="preserve">1 No of 450 x 375 x 20 m   thick TW plank </t>
    </r>
    <r>
      <rPr>
        <sz val="11"/>
        <color theme="1"/>
        <rFont val="Calibri"/>
        <family val="2"/>
        <scheme val="minor"/>
      </rPr>
      <t>well varnished with 3 No 30 amps 500 volts fuse unit and 1 No of copper earth plate of suitable size bolts and nuta on walls for EB service connections including cost of all materials, etc., all complete. EB Service Connection</t>
    </r>
  </si>
  <si>
    <r>
      <t xml:space="preserve">Supplying and fixing of 15mm dia </t>
    </r>
    <r>
      <rPr>
        <b/>
        <sz val="14"/>
        <color theme="1"/>
        <rFont val="Calibri"/>
        <family val="2"/>
        <scheme val="minor"/>
      </rPr>
      <t>CP Long body Tap</t>
    </r>
    <r>
      <rPr>
        <sz val="14"/>
        <color theme="1"/>
        <rFont val="Calibri"/>
        <family val="2"/>
        <scheme val="minor"/>
      </rPr>
      <t xml:space="preserve"> of Best quality including cost of fittings with required specials, bends, labour for fixing etc</t>
    </r>
  </si>
  <si>
    <r>
      <t xml:space="preserve">Painting the </t>
    </r>
    <r>
      <rPr>
        <b/>
        <sz val="14"/>
        <color indexed="8"/>
        <rFont val="Calibri"/>
        <family val="2"/>
        <scheme val="minor"/>
      </rPr>
      <t>old wood work</t>
    </r>
    <r>
      <rPr>
        <sz val="14"/>
        <color indexed="8"/>
        <rFont val="Calibri"/>
        <family val="2"/>
        <scheme val="minor"/>
      </rPr>
      <t xml:space="preserve"> with one coats of approved Ist class </t>
    </r>
    <r>
      <rPr>
        <b/>
        <sz val="14"/>
        <color indexed="8"/>
        <rFont val="Calibri"/>
        <family val="2"/>
        <scheme val="minor"/>
      </rPr>
      <t>synthetic enamel</t>
    </r>
    <r>
      <rPr>
        <sz val="14"/>
        <color indexed="8"/>
        <rFont val="Calibri"/>
        <family val="2"/>
        <scheme val="minor"/>
      </rPr>
      <t xml:space="preserve"> paint including clean removal of old paint using sand paper as required by the departmental officers including cost of material, labour for painting, supplying etc., all complete as directed by the departmental officers.( the paint quantity and shade should be got approved by Executive Engineer before using.)</t>
    </r>
  </si>
  <si>
    <r>
      <t>Run off mains with</t>
    </r>
    <r>
      <rPr>
        <b/>
        <sz val="14"/>
        <color theme="1"/>
        <rFont val="Calibri"/>
        <family val="2"/>
        <scheme val="minor"/>
      </rPr>
      <t xml:space="preserve"> 4 wires of 4 sq.mm</t>
    </r>
    <r>
      <rPr>
        <sz val="14"/>
        <color theme="1"/>
        <rFont val="Calibri"/>
        <family val="2"/>
        <scheme val="minor"/>
      </rPr>
      <t xml:space="preserve"> copper PVC insulated unsheathed single core 1.1 KV grade cable with continuous earth by means of 2.5 sq.mm copper PVC insulated unsheathed single core 1.1 KV grade / cable in fully concealed 25 mm dia rigid PVC conduit pipe heavy duty with ISI mark including cost of materials, specials etc.</t>
    </r>
  </si>
  <si>
    <r>
      <t xml:space="preserve">Supplying and fixing </t>
    </r>
    <r>
      <rPr>
        <b/>
        <sz val="14"/>
        <rFont val="Calibri"/>
        <family val="2"/>
        <scheme val="minor"/>
      </rPr>
      <t xml:space="preserve">1 No of 450 x 375 x 20 m   thick TW plank </t>
    </r>
    <r>
      <rPr>
        <sz val="14"/>
        <color theme="1"/>
        <rFont val="Calibri"/>
        <family val="2"/>
        <scheme val="minor"/>
      </rPr>
      <t>well varnished with 3 No 30 amps 500 volts fuse unit and 1 No of copper earth plate of suitable size bolts and nuta on walls for EB service connections including cost of all materials, etc., all complete. EB Service Connection</t>
    </r>
  </si>
  <si>
    <t>vmineasla</t>
  </si>
  <si>
    <t xml:space="preserve">  NAME OF WORK : SPECIAL REPAIR WORKS FOR THE EXISTING 8 NOS OF TNEB QUARTERS  ROOF RENEVATION AND ELECTRICAL , PLUMBING WORKS  AT ATHIKADAVU IN COIMBATORE DISTRICT.</t>
  </si>
  <si>
    <t>Athikadavu</t>
  </si>
  <si>
    <t>2023-2024</t>
  </si>
  <si>
    <t>Deduct rate for "P" &amp; "S" trap</t>
  </si>
  <si>
    <t/>
  </si>
  <si>
    <t xml:space="preserve">Add rate for PVC SWR "P" &amp; "S" trap </t>
  </si>
  <si>
    <t xml:space="preserve">PVC WATER TANK OF 700 LITRE CAPACITY </t>
  </si>
  <si>
    <t>SUPPLYING AND LAYING THE FOLLOWING PVC</t>
  </si>
  <si>
    <t>PIPES WITH NECESSARY SPECIALS ELBOWS,</t>
  </si>
  <si>
    <t>TEE,REDUCE ,PLUG,UNION,BEND,COUPLE,</t>
  </si>
  <si>
    <t>NIPPLE,GATE VLVE,CHECK AND WHEEL VALVE</t>
  </si>
  <si>
    <t>WHEREVER NECESSARY INCLUDING LABOUR BELOW</t>
  </si>
  <si>
    <t>GROUND LEVEL(OR) FIXING ON WALLS  TO THE</t>
  </si>
  <si>
    <t>PROPER GRADIENT AND ALIGNMENT ETC.ALL</t>
  </si>
  <si>
    <t>COMPLETE AS DIRECTED BY DEPT. OFFICERS.</t>
  </si>
  <si>
    <t>ASTM-D SCHEDULE- 40 THREADED PVC PIPE</t>
  </si>
  <si>
    <t>WITH NECESSARY PVC-GI SPECIALS</t>
  </si>
  <si>
    <t xml:space="preserve"> 20MM DIA PVC PIPE ABOVE G.L:-</t>
  </si>
  <si>
    <t xml:space="preserve">COST OF 20MM DIA PVC PIPE </t>
  </si>
  <si>
    <t>ADD 70% FOR PVC/GI SPECIALS</t>
  </si>
  <si>
    <t>LABOUR FOR LAYING &amp; FIXING</t>
  </si>
  <si>
    <t>TOTAL FOR 1 RMT</t>
  </si>
  <si>
    <t xml:space="preserve"> 25MM DIA PVC PIPE ABOVE G.L:-</t>
  </si>
  <si>
    <t xml:space="preserve">COST OF 25MM DIA PVC PIPE </t>
  </si>
  <si>
    <t>ADD 40% FOR PVC/GI SPECIALS</t>
  </si>
  <si>
    <t xml:space="preserve"> 32MM DIA PVC PIPE ABOVE G.L:-</t>
  </si>
  <si>
    <t xml:space="preserve">COST OF 32MM DIA PVC PIPE </t>
  </si>
  <si>
    <t>ADD 20% FOR PVC/GI SPECIALS</t>
  </si>
  <si>
    <t>Add cost of Bakelite battern type holders 10 Nos @ Rs 16.65 / Each ( P-123 M-1319)</t>
  </si>
  <si>
    <t>PVC joint box ( P-137 M-1677)</t>
  </si>
  <si>
    <t>TW switch  box  100 x 100 x 75 mm ( P-138 M-1695)</t>
  </si>
  <si>
    <t>TW junction  box  150 x 100 x 75 mm ( P-138 M-1674)</t>
  </si>
  <si>
    <t>Add cost of TW box 12" x 8" x3" for switch and regulator 10 nos  @ Rs 69.90 / Each ( P-138 M-1692)</t>
  </si>
  <si>
    <t>Hylem sheet 0.60 Sq m@ 661/Sq m ( P-138 M-1681)</t>
  </si>
  <si>
    <t>2 X 4 Sq mm in fully concealed PVC conduit (open wiring)</t>
  </si>
  <si>
    <t>Add 180 mt 4 Sqmm copper PVC insulated unsheathed S.C. cable p-86 2c</t>
  </si>
  <si>
    <t xml:space="preserve">DATA   </t>
  </si>
  <si>
    <t>25 W LED Street light Fittings</t>
  </si>
  <si>
    <t>25 W LED Street light Fittings lower end (p-122 M-1295)</t>
  </si>
  <si>
    <t>Rate for Each</t>
  </si>
  <si>
    <t>EB service connection Board for Three phase</t>
  </si>
  <si>
    <t>Supplying and fixing 1 No of 450 x 375 x 20 m   thick TW plank well varnished with 3 No 30 amps 500 volts fuse unit and 1 No of copper earth plate of suitable size bolts and nuta on walls for EB service connections including cost of all materials, etc., all complete.</t>
  </si>
  <si>
    <t>32 Amps 500 Volts fuse unit</t>
  </si>
  <si>
    <t xml:space="preserve">TW plank 450 x 375 x 20 mm </t>
  </si>
  <si>
    <t>Earth plate ( copper ) with bolts &amp; nuts.</t>
  </si>
  <si>
    <t>LR</t>
  </si>
  <si>
    <t>Labour Charges</t>
  </si>
  <si>
    <t>Sundries such as TW plugs screws, etc.,</t>
  </si>
  <si>
    <t>Rate for  Each</t>
  </si>
  <si>
    <t>DATA   - 41</t>
  </si>
  <si>
    <t>SUPPLY OF GI PIPES FOR EB SERVICE               ( THREE PHASE )</t>
  </si>
  <si>
    <t>Supply of 40 mm dia GI pipe "B"class ( for the above Data ) for passing through from top of Houses to the MES Board to meet the EB requirement.</t>
  </si>
  <si>
    <t>GI pipe of 40 mm dia  (P-50 M-0435)</t>
  </si>
  <si>
    <t>Rate Each Rmt</t>
  </si>
  <si>
    <t>DATA   - 42</t>
  </si>
  <si>
    <t>4 X 4 Sq mm in fully concealed PVC conduit</t>
  </si>
  <si>
    <t>Run off mains with 4 wires of 4 Sqmm copper PVC insulated unsheathed single core 1.1KV cable wire contuinuous earth by means of 2.5 Sqmm copper PVC insulated unsheathed single core 1.1 KV grade cable in fully concealed 19 mm / 20 mm dia rigid PVC conduit pipe heavy duty with ISI mark including cost of all materials, specials, etc., all complete.</t>
  </si>
  <si>
    <t>4 sqmm copper PVC insulated unsheathed single core cable,P-123 it-2-d</t>
  </si>
  <si>
    <t>25mm dia rigid PVC pipe heavy duty with ISI heavy duty with ISI mark part -I 1c    M-1648</t>
  </si>
  <si>
    <t>2.5 sqmm copper PVC insulated unsheathed single core cable for continuous earth connection (p-86, it- 2 c)</t>
  </si>
  <si>
    <t>EB QTRS REPAIR</t>
  </si>
  <si>
    <t>SEPTIC TANK</t>
  </si>
  <si>
    <t>SL.NO</t>
  </si>
  <si>
    <t>DESCRIPTION</t>
  </si>
  <si>
    <t>UNIT</t>
  </si>
  <si>
    <t>Earth work for foundation in all soils and subsoils (Including refilling) 0 to 2m</t>
  </si>
  <si>
    <t>Earth work excavation for Open foundation in SDR excluding refiling the sides of foundation. 2 to 3m</t>
  </si>
  <si>
    <t>Supplying and filling CS  sand in layers 15cm thick etc., complete as directed by the departmental officers.</t>
  </si>
  <si>
    <t>Supplying and filling of 40mm HBS jelly etc., complete as directed by the departmental officers.</t>
  </si>
  <si>
    <t>Supplying and filling of 20mm HBS jelly etc., complete as directed by the departmental officers.</t>
  </si>
  <si>
    <t>Plain CC 1:2:4 for foundation and basement using 20mm HBGS metal as directed by the departmental officers.</t>
  </si>
  <si>
    <t>Standardised concrete mix design M20 using 20mm Hsbj meatl and below graded coarse metal including all charges etc., complete.,foundation and basement</t>
  </si>
  <si>
    <t>Precast  slab 40mm thick two sides finished complete as directed by the departmental officers.</t>
  </si>
  <si>
    <t>a) Column footing, grade beam, plinth beam, etc all complete</t>
  </si>
  <si>
    <t>b) Plain surface etc all complete</t>
  </si>
  <si>
    <t>Floor Plastering in CM 1:4, 20mm thick including all charges etc., complete  as directed by the departmental officers.</t>
  </si>
  <si>
    <t>Floor Plastering in CM 1:5, 12mm thick including all charges etc., complete  as directed by the departmental officers.</t>
  </si>
  <si>
    <t>Plastering in CM 1:4, 12mmthick Including all Charges etc., Complete  as directed by the departmental officers.</t>
  </si>
  <si>
    <t>Supply and laying SN8. pipe 110mm dia Including all Charges etc., Complete  as directed by the departmental officers.</t>
  </si>
  <si>
    <t>Providing formwork using MS Sheet including all charges etc all complete  as directed by the departmental officers.</t>
  </si>
  <si>
    <t>Supply and fabrication and placing in position of MS/RTS grills  etc all complete. as directed by the departmental officers.</t>
  </si>
  <si>
    <t>Supply and fixing of PVC ventilating shaft with Cowl 110mm dia etc all complete. as directed by the departmental officers.</t>
  </si>
  <si>
    <t xml:space="preserve">  NAME OF WORK : SPECIAL REPAIR WORKS FOR THE EXISTING TNEB QUARTERS AT ATHIKADAVU IN COIMBATORE DISTRICT FOR THE PURPOSE OF ACCOMMODATING THE POLICE PERSONAL OF STF AND NSD.</t>
  </si>
  <si>
    <t>Cement &amp; Steel</t>
  </si>
  <si>
    <t>Rough stone, Bond stone, cut stone, HBG, Sand, gravel, surkhi, earth, crushed stone etc.</t>
  </si>
  <si>
    <t>Country
Bricks,</t>
  </si>
  <si>
    <t>Mangalore tiles,(1000nos.) machine pressed tiles, (2000nos)
Hydraulic pressed tiles, Mosaic tiles(1500 nos)</t>
  </si>
  <si>
    <t>Chamber bricks, Stock bricks, Fly ash bricks</t>
  </si>
  <si>
    <t>Lime stone, Laterite,brick jelly, wood work, pond ash(wet/Dry), Stone dust etc.</t>
  </si>
  <si>
    <t>(1MT)</t>
  </si>
  <si>
    <t>(1Cum)</t>
  </si>
  <si>
    <t>(1000 Nos)</t>
  </si>
  <si>
    <t>0-10</t>
  </si>
  <si>
    <t>10-20</t>
  </si>
  <si>
    <t>20-40</t>
  </si>
  <si>
    <t>40-80</t>
  </si>
  <si>
    <t>&gt;80</t>
  </si>
  <si>
    <t>Metal</t>
  </si>
  <si>
    <t xml:space="preserve">                                                                                                                                                                                                                                                                                                                                                </t>
  </si>
  <si>
    <t>Br jelly</t>
  </si>
  <si>
    <t>Sand</t>
  </si>
  <si>
    <t>Mosaic</t>
  </si>
  <si>
    <t>Lime</t>
  </si>
  <si>
    <t xml:space="preserve">Total km </t>
  </si>
  <si>
    <t>Rough &amp; Bond stone</t>
  </si>
  <si>
    <t>Wood</t>
  </si>
  <si>
    <t>lead</t>
  </si>
  <si>
    <t>Gravel</t>
  </si>
  <si>
    <t>Stone dust</t>
  </si>
  <si>
    <t>Steel</t>
  </si>
  <si>
    <t>well gravel</t>
  </si>
  <si>
    <t>Hills</t>
  </si>
  <si>
    <t>stone</t>
  </si>
  <si>
    <t>Kilin Bricks</t>
  </si>
  <si>
    <t>tiles</t>
  </si>
  <si>
    <t>sand</t>
  </si>
  <si>
    <t>Stone Dust</t>
  </si>
  <si>
    <t>crushed stone</t>
  </si>
  <si>
    <r>
      <t xml:space="preserve">Tamil Nadu Police Housing Corparation Ltd. </t>
    </r>
    <r>
      <rPr>
        <b/>
        <sz val="12"/>
        <rFont val="Helv"/>
      </rPr>
      <t xml:space="preserve"> DATA</t>
    </r>
  </si>
  <si>
    <t>Tamil Nadu Police Housing Corparation Ltd.</t>
  </si>
  <si>
    <t>==========================================================</t>
  </si>
  <si>
    <t>ATHIKADAVU - COIMBATORE</t>
  </si>
  <si>
    <t xml:space="preserve">  </t>
  </si>
  <si>
    <t xml:space="preserve">         </t>
  </si>
  <si>
    <t>DESCRIPTION OF MATERIALS</t>
  </si>
  <si>
    <t>SOURCE</t>
  </si>
  <si>
    <t>Total lead</t>
  </si>
  <si>
    <t xml:space="preserve">COST OF </t>
  </si>
  <si>
    <t>LEAD CHARGE</t>
  </si>
  <si>
    <t xml:space="preserve">Add 10% </t>
  </si>
  <si>
    <t>UN LO-</t>
  </si>
  <si>
    <t>MATERIAL</t>
  </si>
  <si>
    <t>LABOUR RATE</t>
  </si>
  <si>
    <t>LIME MORTAR(1:2)</t>
  </si>
  <si>
    <t xml:space="preserve">Plain </t>
  </si>
  <si>
    <t>Hill</t>
  </si>
  <si>
    <t>Plain</t>
  </si>
  <si>
    <t>for quarry at</t>
  </si>
  <si>
    <t>ADING</t>
  </si>
  <si>
    <t>COST @ SITE</t>
  </si>
  <si>
    <t>LABOUR CHARGES</t>
  </si>
  <si>
    <t xml:space="preserve">Thuvakudi </t>
  </si>
  <si>
    <t>10%</t>
  </si>
  <si>
    <t>20%</t>
  </si>
  <si>
    <t>50%</t>
  </si>
  <si>
    <t>5%</t>
  </si>
  <si>
    <t>25%</t>
  </si>
  <si>
    <t xml:space="preserve"> -------------</t>
  </si>
  <si>
    <t>LIME</t>
  </si>
  <si>
    <t>1.</t>
  </si>
  <si>
    <t>ROUGH STONE  M-0045</t>
  </si>
  <si>
    <t>CUM.</t>
  </si>
  <si>
    <t>Kurunthamalai</t>
  </si>
  <si>
    <t>MASON-I Brick / Stone work (L-0029</t>
  </si>
  <si>
    <t>MASON  I *</t>
  </si>
  <si>
    <t>2.</t>
  </si>
  <si>
    <t>BOND STONE  M-0064</t>
  </si>
  <si>
    <t>MASON-II Brick / Stone work (L-0071</t>
  </si>
  <si>
    <t>MASON  II  *</t>
  </si>
  <si>
    <t>GRINDING OF MORTAR</t>
  </si>
  <si>
    <t>3.</t>
  </si>
  <si>
    <t>HARD BROKEN STONE JELLY 3mm To 10mm M-0092-90</t>
  </si>
  <si>
    <t>MAZDOOR-I (L-0073</t>
  </si>
  <si>
    <t>MAZDOOR I   *</t>
  </si>
  <si>
    <t>4.</t>
  </si>
  <si>
    <t>HARD BROKEN STONE JELLY 10mm  M-0090</t>
  </si>
  <si>
    <t>MAZDOOR-II (L-0098</t>
  </si>
  <si>
    <t>MAZDOOR II*</t>
  </si>
  <si>
    <t>5.</t>
  </si>
  <si>
    <t>HARD BROKEN STONE JELLY 12mm M-0089</t>
  </si>
  <si>
    <t>PAINTER-I (L-0036</t>
  </si>
  <si>
    <t>PAINTER I/II*</t>
  </si>
  <si>
    <t>6.</t>
  </si>
  <si>
    <t>HARD BROKEN STONE JELLY 20mm M-0088</t>
  </si>
  <si>
    <t>PAINTER-II ( L-0077</t>
  </si>
  <si>
    <t>PLUMBER  I*</t>
  </si>
  <si>
    <t>7.</t>
  </si>
  <si>
    <t>HARD BROKEN STONE JELLY 40mm M-0086</t>
  </si>
  <si>
    <t>PLUMBER-I (L-0038</t>
  </si>
  <si>
    <t>CARPENTER I/II*</t>
  </si>
  <si>
    <t>SUPPLYING MIXINNG AND LAYING</t>
  </si>
  <si>
    <t>8.</t>
  </si>
  <si>
    <t>SAND FOR MORTAR (Crushed Stone Sand) M-0125</t>
  </si>
  <si>
    <t>Karamadai</t>
  </si>
  <si>
    <t>PLUMBER-II  (L-0078</t>
  </si>
  <si>
    <t>FITTER I/II*</t>
  </si>
  <si>
    <t>LIME SAND MIX 1:1 RATIO</t>
  </si>
  <si>
    <t>9.</t>
  </si>
  <si>
    <t>SAND FOR FILLING (Ann IV)</t>
  </si>
  <si>
    <t>FITTER-I (L-0018</t>
  </si>
  <si>
    <t>MIXING OF MORTAR* it-165</t>
  </si>
  <si>
    <t>CUM*</t>
  </si>
  <si>
    <t>INCLUDING COST OF</t>
  </si>
  <si>
    <t>10.</t>
  </si>
  <si>
    <t>Kiln Burnt Country Bricks  SIZE 22x11x7Cm  M-0007</t>
  </si>
  <si>
    <t>1000nos.</t>
  </si>
  <si>
    <t>Chinnathadagam</t>
  </si>
  <si>
    <t>FITTER-II (L-0067</t>
  </si>
  <si>
    <t>LIFT CHARGES FOR B.W IN G.F  * it-94 p-29</t>
  </si>
  <si>
    <t>SAND,LIME,LABOUR FOR MIXING</t>
  </si>
  <si>
    <t>11.</t>
  </si>
  <si>
    <t>BRICK JELLY 40mmGAUGE  M-0022</t>
  </si>
  <si>
    <t>CARPENTER-I (L-0016</t>
  </si>
  <si>
    <t>LIFT CHARGES FOR B.W IN F.F  *</t>
  </si>
  <si>
    <t>&amp;LAYING ETC COMPLETE.</t>
  </si>
  <si>
    <t>12.</t>
  </si>
  <si>
    <t>BRICK JELLY 20mmGAUGE M-0023</t>
  </si>
  <si>
    <t>CARPENTER-II (L-0063</t>
  </si>
  <si>
    <t>LIFT CHARGES FOR B.W IN S.F  *</t>
  </si>
  <si>
    <t>13.</t>
  </si>
  <si>
    <t>MACHINE PRESSED TILES 23x 23x 2 Cm  M-0025</t>
  </si>
  <si>
    <t>STONE CUTTER-I (L-0041</t>
  </si>
  <si>
    <t>LIFT CHARGES FOR CONCRETE IN G.F  *it-92 p-29</t>
  </si>
  <si>
    <t>COST OF SAND</t>
  </si>
  <si>
    <t>14.</t>
  </si>
  <si>
    <t>SLACKED SHELL LIME M-0133</t>
  </si>
  <si>
    <t>STONE CUTTER-II  (L-0081</t>
  </si>
  <si>
    <t>LIFT CHARGES FOR CONCRETE IN F.F  *</t>
  </si>
  <si>
    <t>COST OF LIME</t>
  </si>
  <si>
    <t>15.</t>
  </si>
  <si>
    <t>SLACKED &amp;SREENED LIME STONE M-0134</t>
  </si>
  <si>
    <t>FLOOR POLISHER L-0020</t>
  </si>
  <si>
    <t>LIFT CHARGES FOR CONCRETE IN S.F  *</t>
  </si>
  <si>
    <t>LABOUR CHARGES FOR MIXING</t>
  </si>
  <si>
    <t>16.</t>
  </si>
  <si>
    <t>C.W SCANTLING UPTO 4M LONG M-0134</t>
  </si>
  <si>
    <r>
      <t xml:space="preserve">Mortar mix charges manual  </t>
    </r>
    <r>
      <rPr>
        <sz val="10"/>
        <rFont val="Helv"/>
      </rPr>
      <t>sl.125(W-0164</t>
    </r>
  </si>
  <si>
    <t>VIBRATER CHARGES  * it-103 p-28</t>
  </si>
  <si>
    <t>17.</t>
  </si>
  <si>
    <t>C.W. PLANK UPTO 40mmTHICK UPTO 30 Cm WIDTH  M-0161</t>
  </si>
  <si>
    <r>
      <t xml:space="preserve">Vibrat-charges(R.C.C) </t>
    </r>
    <r>
      <rPr>
        <sz val="10"/>
        <rFont val="Helv"/>
      </rPr>
      <t xml:space="preserve"> W-0101</t>
    </r>
  </si>
  <si>
    <t>EARTH FILLING  * it-76/85</t>
  </si>
  <si>
    <t xml:space="preserve"> 1CUM</t>
  </si>
  <si>
    <t>18.</t>
  </si>
  <si>
    <t>T.W SCANTLING 2M TO 3M LONG  M-0140</t>
  </si>
  <si>
    <t>Vibrat-charges(P.C.C) W-0100</t>
  </si>
  <si>
    <t>SAND FILLING  * it-75/85</t>
  </si>
  <si>
    <t>19.</t>
  </si>
  <si>
    <t>T.W.SCANTLING BELOW 2M LONG  M-0141</t>
  </si>
  <si>
    <r>
      <t xml:space="preserve">Sand filling charges </t>
    </r>
    <r>
      <rPr>
        <sz val="10"/>
        <rFont val="Helv"/>
      </rPr>
      <t xml:space="preserve"> W-0074</t>
    </r>
  </si>
  <si>
    <t>POLISHING STONE (average of rough, medium, fine) it-56 p-37</t>
  </si>
  <si>
    <t>TOTAL FOR 1.5 CUM</t>
  </si>
  <si>
    <t>20.</t>
  </si>
  <si>
    <t>T.W.PLANKS 15TO30cm WIDTH &amp; 12to25mm Thick   M-0147</t>
  </si>
  <si>
    <t>Earth filling charges  W-0075</t>
  </si>
  <si>
    <t>FLOOR POLISHER (MOSAIC)  * p-11 it-17</t>
  </si>
  <si>
    <t>21.</t>
  </si>
  <si>
    <t>Country BricksKiln Burnt of SIZE 22x11x5Cm (M-0009</t>
  </si>
  <si>
    <t>E.W.  W-0061</t>
  </si>
  <si>
    <t>LABOUR CHARGE FOR WROUGHT &amp; PUTUP /V-SHUTTER *p-30 it-143</t>
  </si>
  <si>
    <t>22.</t>
  </si>
  <si>
    <t>MOSAIC TILES GRAY 25X25X2cm.M-0035</t>
  </si>
  <si>
    <t>Local</t>
  </si>
  <si>
    <r>
      <t xml:space="preserve">L.C.T.W.Door- </t>
    </r>
    <r>
      <rPr>
        <sz val="10"/>
        <rFont val="Helv"/>
      </rPr>
      <t xml:space="preserve"> W-0142</t>
    </r>
  </si>
  <si>
    <t>LABOUR CHARGE FOR DOOR/WINDOW SHUTTER  *p-30 it-144</t>
  </si>
  <si>
    <t>23.</t>
  </si>
  <si>
    <t>CEMENT (supply at site) M-0001</t>
  </si>
  <si>
    <r>
      <t>L.C.marine doors-</t>
    </r>
    <r>
      <rPr>
        <sz val="10"/>
        <rFont val="Helv"/>
      </rPr>
      <t xml:space="preserve"> W-0143</t>
    </r>
  </si>
  <si>
    <t>COST OF RUBBER ,LUBRICATION,PLUG,CLAMP</t>
  </si>
  <si>
    <t>R.T.S. / M.S upto 16mm M-0002</t>
  </si>
  <si>
    <r>
      <t xml:space="preserve">TW glazed window </t>
    </r>
    <r>
      <rPr>
        <sz val="10"/>
        <rFont val="Helv"/>
      </rPr>
      <t xml:space="preserve"> W-0144</t>
    </r>
  </si>
  <si>
    <t>M.S. HOLD FAST WITH SCREWS *</t>
  </si>
  <si>
    <t>25.</t>
  </si>
  <si>
    <t>M.S./ R.T.S above 16mm</t>
  </si>
  <si>
    <r>
      <t>Wrought&amp;putup</t>
    </r>
    <r>
      <rPr>
        <sz val="10"/>
        <rFont val="Helv"/>
      </rPr>
      <t xml:space="preserve">  W-0141</t>
    </r>
  </si>
  <si>
    <t>M.S. SHEET/ANGLE PER M.T p20  M-0186</t>
  </si>
  <si>
    <t>26.</t>
  </si>
  <si>
    <t>Country BricksKiln Burnt  SIZE 22x11x5Cm M-0009</t>
  </si>
  <si>
    <r>
      <t xml:space="preserve">Ventilator </t>
    </r>
    <r>
      <rPr>
        <sz val="10"/>
        <rFont val="Helv"/>
      </rPr>
      <t xml:space="preserve"> W-0151</t>
    </r>
  </si>
  <si>
    <t>27.</t>
  </si>
  <si>
    <t>HBSJ 11.2mm IRC metal (M-0104</t>
  </si>
  <si>
    <r>
      <t xml:space="preserve">Meter- </t>
    </r>
    <r>
      <rPr>
        <sz val="10"/>
        <rFont val="Helv"/>
      </rPr>
      <t>Cupboard Weldmesh  W-0157</t>
    </r>
  </si>
  <si>
    <t>Earth work lift for addl 1M p-23 it-45/77</t>
  </si>
  <si>
    <t>28.</t>
  </si>
  <si>
    <t>HBSJ 37.5mm to 26.5mm IRC metal  M-0099-M-0100</t>
  </si>
  <si>
    <t>E.W (SDR)  W-0062</t>
  </si>
  <si>
    <t>Labour for petty iron worksp-29 it-127/1</t>
  </si>
  <si>
    <t>29.</t>
  </si>
  <si>
    <t>HBSJ 63mm to 45mm IRC metal  M-0098</t>
  </si>
  <si>
    <r>
      <t>FITTER-II (</t>
    </r>
    <r>
      <rPr>
        <sz val="10"/>
        <rFont val="Helv"/>
      </rPr>
      <t>Pipe &amp; Bar Bend)  L-0068</t>
    </r>
  </si>
  <si>
    <t>TRANSPORTING &amp; ERRECTION</t>
  </si>
  <si>
    <t xml:space="preserve"> Gravel  M-0119</t>
  </si>
  <si>
    <r>
      <t xml:space="preserve">FITTER-I </t>
    </r>
    <r>
      <rPr>
        <sz val="10"/>
        <rFont val="Helv"/>
      </rPr>
      <t>(Pipe &amp; Bar Bend)  L-0019</t>
    </r>
  </si>
  <si>
    <t>LABOUR COST OF CHANNELMOULD/PAINTING ANTCORROSIVE</t>
  </si>
  <si>
    <t xml:space="preserve"> Well Gravel M-0120</t>
  </si>
  <si>
    <r>
      <t xml:space="preserve">E.W  loose soil </t>
    </r>
    <r>
      <rPr>
        <sz val="10"/>
        <rFont val="Helv"/>
      </rPr>
      <t xml:space="preserve"> W-0055</t>
    </r>
  </si>
  <si>
    <t>COST OF PLASTERXERS/COST OF ANTI-CORROSIVE</t>
  </si>
  <si>
    <t>STONE CUTTER II  *</t>
  </si>
  <si>
    <t>Chamber Burnt Bricks of size 23x11.2x7Cm  M-0006</t>
  </si>
  <si>
    <t>LIFT CHARGES FOR B.W IN G.F  * W-0092</t>
  </si>
  <si>
    <t>CONVEYING,LOWERING&amp; JOINTING LABOUR</t>
  </si>
  <si>
    <t>Chamber Burnt Bricks  of size 23x11.4x7.5Cm  M-0005</t>
  </si>
  <si>
    <t>LIFT CHARGES FOR B.W IN F.F  * W-0093</t>
  </si>
  <si>
    <t>LABOUR FOR CUTTING 15mm DIA   * W-0123</t>
  </si>
  <si>
    <t>Stone dust   M-0123</t>
  </si>
  <si>
    <t>Cum</t>
  </si>
  <si>
    <t>LIFT CHARGES FOR B.W IN S.F  * W-0093</t>
  </si>
  <si>
    <t>LABOUR FOR CUTTING 20mm DIA  * W-0125</t>
  </si>
  <si>
    <t>6mmto 10mm HBG metal M-0091-M-0090</t>
  </si>
  <si>
    <t>LIFT CHARGES FOR CONCRETE IN G.F  * W-0090</t>
  </si>
  <si>
    <t>LABOUR FOR CUTTING 25mm DIA  * W-0127</t>
  </si>
  <si>
    <t>Fly Ash Bricks  M-0010</t>
  </si>
  <si>
    <t>LIFT CHARGES FOR CONCRETE IN F.F  * W-0091</t>
  </si>
  <si>
    <t xml:space="preserve"> LABOUR FOR CUTTING 32mm DIA  *  W-0129</t>
  </si>
  <si>
    <t>Crushed Stone SAND FOR MORTAR  M-0125</t>
  </si>
  <si>
    <t>LIFT CHARGES FOR CONCRETE IN S.F  * W-0091</t>
  </si>
  <si>
    <t>LABOUR FOR CUTTING 40mm DIA  * W-0131</t>
  </si>
  <si>
    <t>CEMENT CONCRETE(1:8:16) USING</t>
  </si>
  <si>
    <t>Crushed Stone SAND FOR FILLING  M-0125</t>
  </si>
  <si>
    <t>LABOUR FOR CUTTING 50mm DIA/100mm Dia  *</t>
  </si>
  <si>
    <t>40mm BRICK JELLY</t>
  </si>
  <si>
    <t>LABOUR FOR CUTTING 65mm DIA/80mm Dia  *</t>
  </si>
  <si>
    <t>SCRAPING THE OLD PLASTER SURFACE * W-0106</t>
  </si>
  <si>
    <t>LABOUR FOR THREADING 15mm DIA  * it-126</t>
  </si>
  <si>
    <t>WASHING PLASTERED AREA WITH SOAP&amp;SODA WATER *W-0107</t>
  </si>
  <si>
    <t>LABOUR FOR THREADING 20mm DIA  *</t>
  </si>
  <si>
    <t xml:space="preserve">L.C Wrought and put up in Flush shutter </t>
  </si>
  <si>
    <t>LABOUR FOR THREADING 25mm DIA  *</t>
  </si>
  <si>
    <t>Single leave  W-0154</t>
  </si>
  <si>
    <t>LABOUR FOR THREADING 32mm DIA /100mm Dia *</t>
  </si>
  <si>
    <t>Double leaves  W-0155</t>
  </si>
  <si>
    <t>LABOUR FOR THREADING 40mm DIA /80mm Dia *</t>
  </si>
  <si>
    <t>Thorough scrapping -iron p-W-0112</t>
  </si>
  <si>
    <t>LABOUR FOR THREADING 50mm DIA /65mm Dia *</t>
  </si>
  <si>
    <t>Thorough scrapping -wood  W-0110</t>
  </si>
  <si>
    <t>COST OF JOINTING MATERIALS</t>
  </si>
  <si>
    <t>Clean removal of cement plaster from walls and racking out joints 20mm deep   W-0105</t>
  </si>
  <si>
    <t>HIRE CHARGES FOR   POWER POLISHER -M-0645</t>
  </si>
  <si>
    <t>L.C Wrought and put up T.W Window  W-0148</t>
  </si>
  <si>
    <t>ELC. CONSUMPTION CHARGES -  M-0646</t>
  </si>
  <si>
    <t>unit</t>
  </si>
  <si>
    <r>
      <t xml:space="preserve">TW glazed door  </t>
    </r>
    <r>
      <rPr>
        <sz val="10"/>
        <rFont val="Helv"/>
      </rPr>
      <t>/W-0147</t>
    </r>
  </si>
  <si>
    <t>Earth work lift for addl 1M  W-0066</t>
  </si>
  <si>
    <t>LABOUR FOR FIXING WINDOW BARS  W-0168</t>
  </si>
  <si>
    <t>Kg*</t>
  </si>
  <si>
    <t>Labour for petty iron works  W-0166</t>
  </si>
  <si>
    <t>E.W.EXCAVATION SS 20B AS PER SR ITEM 61,62 * P-22</t>
  </si>
  <si>
    <t>MIXER OPERATER * L-0094</t>
  </si>
  <si>
    <t>CEMENT CONCRETE(1:2:4) USING</t>
  </si>
  <si>
    <t>Dismantling of RCC works   W-0035</t>
  </si>
  <si>
    <t>TESTING CHARGES FOR S.W. LINE</t>
  </si>
  <si>
    <t>Conveyance of dismantled materials  C-0047</t>
  </si>
  <si>
    <t>GRINDING MORTAR * W-0163</t>
  </si>
  <si>
    <t>Loading or unloading charges  C-0052</t>
  </si>
  <si>
    <t>G.I. SHEET SR156 / 114 1.6mmT.K,30cmWIDE P-20 M-0190</t>
  </si>
  <si>
    <t>SQM*</t>
  </si>
  <si>
    <t>Providing single nosing to the edges of Granite slab [PWD SR] P-36/32</t>
  </si>
  <si>
    <t>FITTER II *</t>
  </si>
  <si>
    <t xml:space="preserve">Single Nosing </t>
  </si>
  <si>
    <t xml:space="preserve">b Double Nosing </t>
  </si>
  <si>
    <t>Forpower rolling as per TWAD SR  it-15 b / P.286</t>
  </si>
  <si>
    <t xml:space="preserve">ROUGH STONE </t>
  </si>
  <si>
    <t>Stainless Steel Sink [PWD SR] P-50/192</t>
  </si>
  <si>
    <t>CONVEY,ALAIGN,JIONT ETC UP TO40mmPVC PIPE (TWAD SR-22-23 it-11b )</t>
  </si>
  <si>
    <t>BOND STONE</t>
  </si>
  <si>
    <t xml:space="preserve">a 600mm x 600mm x 200mm </t>
  </si>
  <si>
    <t>CONVEY,ALAIGN,JIONT ETC OVER TO40mmPVC PIPE (TWAD SR-20-21 it-11b )</t>
  </si>
  <si>
    <t>HARD BROKEN STONE JELLY 3mmTo10mm SIZE</t>
  </si>
  <si>
    <t xml:space="preserve">b 600mm x 450mm x 200mm </t>
  </si>
  <si>
    <t>CUTTING CHARGE OF PVC pipe20mm,25mm / 32 mm dia ( p-32 )</t>
  </si>
  <si>
    <t>HARD BROKEN STONE JELLY  10mm SIZE</t>
  </si>
  <si>
    <t>UPVC Ventilator [PWD SR] P-66/270</t>
  </si>
  <si>
    <t>sqm.</t>
  </si>
  <si>
    <t>HARD BROKEN STONE JELLY 12mm SIZE</t>
  </si>
  <si>
    <t>UPVC Window (PWD SR] P-65/269</t>
  </si>
  <si>
    <t>THREADING CHARGES FOR PVC 32mm/63mm</t>
  </si>
  <si>
    <t>HARD BROKEN STONE JELLY 20mm SIZE</t>
  </si>
  <si>
    <t>HARD BROKEN STONE JELLY 40mm SIZE</t>
  </si>
  <si>
    <t>Supplying and Fixing of Rolling shutters of all sizes (Gear Operated)(  from 8m2  to 12m2 )Annex-Vi-P-44   SR 22-23 item -132-A-b</t>
  </si>
  <si>
    <t xml:space="preserve">sqm. </t>
  </si>
  <si>
    <t>THREADING CHARGES FOR PVC 20mm/25mm</t>
  </si>
  <si>
    <t>TERRACOTTA JALLY 110mm/50mmT.K FIXING CHARGE</t>
  </si>
  <si>
    <t>TERRACOTTA JALLY 110mmT.K/50mmT.K</t>
  </si>
  <si>
    <t xml:space="preserve">Qtn </t>
  </si>
  <si>
    <t>B.W IN C.M(1:5) USING CHAMBER BURNT</t>
  </si>
  <si>
    <t>F.F</t>
  </si>
  <si>
    <t>KILN BURNT COUNTRY G.M(2D) BRICK 8-3/4"X4-1/4"X2"</t>
  </si>
  <si>
    <t>Bricks of size 23X11.2X7Cm</t>
  </si>
  <si>
    <t>S.F</t>
  </si>
  <si>
    <t>SAND FOR MARTER</t>
  </si>
  <si>
    <t>T.F</t>
  </si>
  <si>
    <t>SAND FOR FILLING</t>
  </si>
  <si>
    <t>Bricks of size 22X11X5Cm</t>
  </si>
  <si>
    <t>Forth floor</t>
  </si>
  <si>
    <t>STOCK BRICK-IISORT(2A)T.M OF SIZE 9"x4-1/2"X3"</t>
  </si>
  <si>
    <t>1000 Nos</t>
  </si>
  <si>
    <t>BRICK JELLY 40mm GAUGE</t>
  </si>
  <si>
    <t>BRICK JELLY 20mm GAUGE</t>
  </si>
  <si>
    <t>PRESSED TILES 23X23X2cm</t>
  </si>
  <si>
    <t>SLACKED LIME</t>
  </si>
  <si>
    <t>SLACKED SHELL LIME</t>
  </si>
  <si>
    <t>C.W.SCANTLING UP TO 4M LONG P-20 -it-120/77i</t>
  </si>
  <si>
    <t>C.W. PLANK 40mmT.K.UPTO30cm WIDTH</t>
  </si>
  <si>
    <t>T.W SANDLING OVER2M,BLOW3M</t>
  </si>
  <si>
    <t>T.W.SCANDLING UPTO 2M</t>
  </si>
  <si>
    <t>3 TO 4M</t>
  </si>
  <si>
    <t>4 TO 5M</t>
  </si>
  <si>
    <t>T.W. PLANK 12mm to 25mm T.K UPTO 30cmWIDTH</t>
  </si>
  <si>
    <t>1.2</t>
  </si>
  <si>
    <t xml:space="preserve">RATE PER CUM EXCLUDING REFILLING 
</t>
  </si>
  <si>
    <t xml:space="preserve">
RATE PER CUM EXCLUDING REFILLING 
</t>
  </si>
  <si>
    <t>COUNTRY BRICK-ISORT(2B)T.M SIZE 9"x4-3/8"X2-3/4"</t>
  </si>
  <si>
    <t>1.3</t>
  </si>
  <si>
    <r>
      <t xml:space="preserve">EARTH WORK EXCAVATION  for </t>
    </r>
    <r>
      <rPr>
        <b/>
        <sz val="12"/>
        <rFont val="Helv"/>
      </rPr>
      <t>SDR</t>
    </r>
  </si>
  <si>
    <t>Loose soil</t>
  </si>
  <si>
    <t>EARTH WORK EXCAVATION IN SDR</t>
  </si>
  <si>
    <t>RATE PER CUM EXCLUDING REFILLING IN SDR</t>
  </si>
  <si>
    <t>B.W IN C.M(1:4) using  fly ash bricks</t>
  </si>
  <si>
    <r>
      <t xml:space="preserve">EARTH WORK EXCAVATION  for </t>
    </r>
    <r>
      <rPr>
        <b/>
        <sz val="12"/>
        <rFont val="Helv"/>
      </rPr>
      <t>open foundation</t>
    </r>
    <r>
      <rPr>
        <sz val="11"/>
        <color theme="1"/>
        <rFont val="Calibri"/>
        <family val="2"/>
        <scheme val="minor"/>
      </rPr>
      <t>EXCLUDING REFILLING</t>
    </r>
  </si>
  <si>
    <t>RATE PER CUM EXCLUDING REFILLING</t>
  </si>
  <si>
    <t>3 to 4</t>
  </si>
  <si>
    <t>4 to 5</t>
  </si>
  <si>
    <r>
      <t xml:space="preserve">EARTH WORK EXCAVATION  for open foundation
</t>
    </r>
    <r>
      <rPr>
        <sz val="11"/>
        <color theme="1"/>
        <rFont val="Calibri"/>
        <family val="2"/>
        <scheme val="minor"/>
      </rPr>
      <t>IN SDR (EXCLUDING REFILLING)</t>
    </r>
  </si>
  <si>
    <r>
      <t xml:space="preserve">BASEMENT  WITH  </t>
    </r>
    <r>
      <rPr>
        <b/>
        <sz val="12"/>
        <rFont val="Helv"/>
      </rPr>
      <t>FILLING WELL GRAVEL</t>
    </r>
  </si>
  <si>
    <t>Average rate for staircase steps</t>
  </si>
  <si>
    <t>COST OF FILLING GRAVEL</t>
  </si>
  <si>
    <t>PARTITION WALL</t>
  </si>
  <si>
    <r>
      <t xml:space="preserve">RATE PER CUM EXCLUDING REFILLING
</t>
    </r>
    <r>
      <rPr>
        <b/>
        <sz val="12"/>
        <rFont val="Helv"/>
      </rPr>
      <t>IN SDR (OPEN FOUNDATION)</t>
    </r>
  </si>
  <si>
    <t>B.W IN C.M(1:4) using fly ash bricks of size 23x11.4x7.5Cm</t>
  </si>
  <si>
    <t>EARTH WORK EXCAVATION FOR DRAINS</t>
  </si>
  <si>
    <t xml:space="preserve">up to 1.25m width </t>
  </si>
  <si>
    <t xml:space="preserve"> 1.5 times E.W</t>
  </si>
  <si>
    <t>From 1.25m to 2m width</t>
  </si>
  <si>
    <t>MOSIC TILES GREY 25X25X2cm</t>
  </si>
  <si>
    <t>RTS/MS above 16mm dia</t>
  </si>
  <si>
    <r>
      <t xml:space="preserve">BASEMENT  WITH  </t>
    </r>
    <r>
      <rPr>
        <b/>
        <sz val="12"/>
        <rFont val="Helv"/>
      </rPr>
      <t>FILLING SAND</t>
    </r>
  </si>
  <si>
    <r>
      <t xml:space="preserve">BASEMENT  WITH  </t>
    </r>
    <r>
      <rPr>
        <b/>
        <sz val="12"/>
        <rFont val="Helv"/>
      </rPr>
      <t>FILLING GRAVEL</t>
    </r>
  </si>
  <si>
    <t>RTS/MS upto 16mm dia</t>
  </si>
  <si>
    <t>M.S. WIRE 3mm</t>
  </si>
  <si>
    <t>GRAVEL</t>
  </si>
  <si>
    <t>BITUMEN</t>
  </si>
  <si>
    <t>BINDING WIRE p-20 M-0189</t>
  </si>
  <si>
    <t>POLISHING  STONE</t>
  </si>
  <si>
    <t xml:space="preserve">   </t>
  </si>
  <si>
    <t>**</t>
  </si>
  <si>
    <t>PARTITION WALL OF 110 mm thick</t>
  </si>
  <si>
    <t>LABOUR CHARGES FOR SPREADING  bull dozer p27 / Item68/78a</t>
  </si>
  <si>
    <t>2.2</t>
  </si>
  <si>
    <r>
      <t xml:space="preserve">PROVIDING </t>
    </r>
    <r>
      <rPr>
        <b/>
        <sz val="12"/>
        <rFont val="Helv"/>
      </rPr>
      <t>SAND  GRAVEL MIX</t>
    </r>
  </si>
  <si>
    <t>CRUDE OIL</t>
  </si>
  <si>
    <t>IN 1:1 RATIO INCLUDING</t>
  </si>
  <si>
    <t>PARATITION B.W IN C.M(1:4)</t>
  </si>
  <si>
    <t>RED OXIDE P-42/ M-0260</t>
  </si>
  <si>
    <t>COST OF SAND,GRAVEL,STACKING,LABOUR FOR</t>
  </si>
  <si>
    <r>
      <t xml:space="preserve">BASEMENT  WITH  </t>
    </r>
    <r>
      <rPr>
        <b/>
        <sz val="12"/>
        <rFont val="Helv"/>
      </rPr>
      <t>STONE DUST</t>
    </r>
  </si>
  <si>
    <t>Plasticizer / Super Plasticizer P-72/ M-0685</t>
  </si>
  <si>
    <t>MIXING &amp;CONSOLIDATION ETC</t>
  </si>
  <si>
    <t>COMPLETE.</t>
  </si>
  <si>
    <t>COST OFSTONE DUST</t>
  </si>
  <si>
    <t>STACKING CHARGES</t>
  </si>
  <si>
    <t>COST OF gravel</t>
  </si>
  <si>
    <t>LABOUR CHARGES FOR SPREADING</t>
  </si>
  <si>
    <t>WATERING&amp;POWER ROLLING</t>
  </si>
  <si>
    <t>Fourth Floor</t>
  </si>
  <si>
    <t>CEMENT CONCRETE(1:4:8) USING</t>
  </si>
  <si>
    <t>B.W IN C.M(1:4) USING 2-B Categery using fly ash bricks</t>
  </si>
  <si>
    <t>1000NO.</t>
  </si>
  <si>
    <t>SUPLLYING AND FILLING WITH 40MM Brick jelly</t>
  </si>
  <si>
    <t>SUPLLYING AND FILLING WITH 20MM Brick jelly</t>
  </si>
  <si>
    <t>***</t>
  </si>
  <si>
    <t>PARTITION WALL OF 70mm thick</t>
  </si>
  <si>
    <t>PRATITION B.W IN C.M(1:4)</t>
  </si>
  <si>
    <t>2.5</t>
  </si>
  <si>
    <r>
      <t xml:space="preserve">Providing </t>
    </r>
    <r>
      <rPr>
        <b/>
        <sz val="12"/>
        <rFont val="Helv"/>
      </rPr>
      <t>GRAVEL SOLING</t>
    </r>
    <r>
      <rPr>
        <sz val="11"/>
        <color theme="1"/>
        <rFont val="Calibri"/>
        <family val="2"/>
        <scheme val="minor"/>
      </rPr>
      <t xml:space="preserve"> of 150mm thick</t>
    </r>
  </si>
  <si>
    <t>COST OF Gravel</t>
  </si>
  <si>
    <t>Forth Floor</t>
  </si>
  <si>
    <t>WINE VERNISH</t>
  </si>
  <si>
    <t>LITTER</t>
  </si>
  <si>
    <t>CEMENT CONCRETE(1:3:6) USING</t>
  </si>
  <si>
    <t>LINSEED OIL (BOILED)</t>
  </si>
  <si>
    <t>BEST GOPALVARNISH REDY MIX (PWD LR) p42  M-0267</t>
  </si>
  <si>
    <t>READY MIX PAINT II ND/ IST for wood p-50 M-0422,</t>
  </si>
  <si>
    <t>READY MIX PRIMER PAINT   wood primer)  p50,  M-0421</t>
  </si>
  <si>
    <t>M.S WASHER</t>
  </si>
  <si>
    <t>CHICKEN MESH 10X10X10G    P-20  M-0194</t>
  </si>
  <si>
    <t>WELD MESH  75X25X10G / Fly proof mesh  p-20 M-0191</t>
  </si>
  <si>
    <t>WELD MESH 100X100X10G   p-20 M-0193</t>
  </si>
  <si>
    <t>IWC ORIYA PAN   white) M-0185</t>
  </si>
  <si>
    <t>S.W. SIGLE Y</t>
  </si>
  <si>
    <t>S.W.TEE 100/150mm DIA WITH ISI MARK   p-58 M-0608</t>
  </si>
  <si>
    <t>S.W.PIPE 100mm DIAWITH ISI MARK-   p-53 M-0606</t>
  </si>
  <si>
    <t>S.W.PIPE 150mm DIAWITH ISI MARK   M-0605</t>
  </si>
  <si>
    <t>S.W.BEND 100/150mm DIAWITH ISI MARK  M-0610</t>
  </si>
  <si>
    <t>READY MIX PAINT II ND/ IST for iron M-0424</t>
  </si>
  <si>
    <t>LTR</t>
  </si>
  <si>
    <r>
      <t>CEMENT CONCRETE</t>
    </r>
    <r>
      <rPr>
        <b/>
        <sz val="12"/>
        <rFont val="Helv"/>
      </rPr>
      <t xml:space="preserve"> PCC (1:2:4)</t>
    </r>
    <r>
      <rPr>
        <sz val="11"/>
        <color theme="1"/>
        <rFont val="Calibri"/>
        <family val="2"/>
        <scheme val="minor"/>
      </rPr>
      <t xml:space="preserve"> USING</t>
    </r>
  </si>
  <si>
    <t>S.W.TEE 150mm DIA WITH ISI MARK p-53  M-0607</t>
  </si>
  <si>
    <t>DOOR OF SIZE 70X210Cm</t>
  </si>
  <si>
    <t>T.W.SCANTLING above 2M length</t>
  </si>
  <si>
    <t>T.W.SCANTLING below 2M length</t>
  </si>
  <si>
    <t>Phenol bonded BWR Plywood 9mm</t>
  </si>
  <si>
    <t>LABOUR CHARGE</t>
  </si>
  <si>
    <t xml:space="preserve"> 6"X1/2"ALU.TOWER BOLT</t>
  </si>
  <si>
    <t xml:space="preserve"> 5" ALU.BUTT HINGS</t>
  </si>
  <si>
    <t xml:space="preserve"> 10"X5/8" ALU. ALDROP</t>
  </si>
  <si>
    <t>NYLON BUSH</t>
  </si>
  <si>
    <t>ALU.HANDLE WITH C.P.SCREWS150mm long</t>
  </si>
  <si>
    <t>DOOR STOPPER</t>
  </si>
  <si>
    <t>TOTAL FOR 1.23 SQM</t>
  </si>
  <si>
    <t>3.3</t>
  </si>
  <si>
    <r>
      <t>CEMENT CONCRETE</t>
    </r>
    <r>
      <rPr>
        <b/>
        <sz val="12"/>
        <rFont val="Helv"/>
      </rPr>
      <t>(1:8:16)</t>
    </r>
    <r>
      <rPr>
        <sz val="11"/>
        <color theme="1"/>
        <rFont val="Calibri"/>
        <family val="2"/>
        <scheme val="minor"/>
      </rPr>
      <t xml:space="preserve"> USING</t>
    </r>
  </si>
  <si>
    <t>20mm brick jelly</t>
  </si>
  <si>
    <t xml:space="preserve"> 20mmbrick jelly</t>
  </si>
  <si>
    <t>|::</t>
  </si>
  <si>
    <r>
      <t>CEMENT CONCRETE</t>
    </r>
    <r>
      <rPr>
        <b/>
        <sz val="12"/>
        <rFont val="Helv"/>
      </rPr>
      <t>(1:4:8)</t>
    </r>
    <r>
      <rPr>
        <sz val="11"/>
        <color theme="1"/>
        <rFont val="Calibri"/>
        <family val="2"/>
        <scheme val="minor"/>
      </rPr>
      <t xml:space="preserve"> USING</t>
    </r>
  </si>
  <si>
    <t>40mm brick jelly</t>
  </si>
  <si>
    <t xml:space="preserve"> 40mm HGJ jelly</t>
  </si>
  <si>
    <r>
      <t xml:space="preserve">PROVIDING  </t>
    </r>
    <r>
      <rPr>
        <b/>
        <sz val="12"/>
        <rFont val="Helv"/>
      </rPr>
      <t>WBM 125mm</t>
    </r>
    <r>
      <rPr>
        <sz val="11"/>
        <color theme="1"/>
        <rFont val="Calibri"/>
        <family val="2"/>
        <scheme val="minor"/>
      </rPr>
      <t xml:space="preserve"> CONSOLIDATED</t>
    </r>
  </si>
  <si>
    <t>THICK WITH GRAVEL BLINDAGE</t>
  </si>
  <si>
    <t>Stacking charges</t>
  </si>
  <si>
    <t>63mm to 45mm IRC metal</t>
  </si>
  <si>
    <t>37.5mm to 26.5mm IRC metal</t>
  </si>
  <si>
    <t>Gravel blindage 2 layers</t>
  </si>
  <si>
    <t>Spreading charges for 2 layers</t>
  </si>
  <si>
    <t>(10.1+7.72)</t>
  </si>
  <si>
    <t>Total for 10 m2</t>
  </si>
  <si>
    <t>for 1 m2</t>
  </si>
  <si>
    <r>
      <t xml:space="preserve">SURFACE DRESSING OVER </t>
    </r>
    <r>
      <rPr>
        <b/>
        <sz val="12"/>
        <rFont val="Helv"/>
      </rPr>
      <t>WBM 25mm TK.</t>
    </r>
  </si>
  <si>
    <t>11.2mm IRC metal</t>
  </si>
  <si>
    <t>Filling sand</t>
  </si>
  <si>
    <t>Bitumen</t>
  </si>
  <si>
    <t>Total for 100M2</t>
  </si>
  <si>
    <t>S.W.BEND 150mm DIA p-53 M-0609</t>
  </si>
  <si>
    <t>4.1</t>
  </si>
  <si>
    <t xml:space="preserve">REINFORCED CEMENT CONCRETE </t>
  </si>
  <si>
    <t>PARTITION WALL OF 114mmTHICK</t>
  </si>
  <si>
    <t>S.W.GULLY TRAP 150X100mm -M-0569</t>
  </si>
  <si>
    <t>NAHANI TRAP 63mm/75mmPVC TYP,4 way/3way -M-0573</t>
  </si>
  <si>
    <t>75mm</t>
  </si>
  <si>
    <t>C.C(1:2:4)USING 20mm HBSTONE</t>
  </si>
  <si>
    <t>CENTERING C.W BOARDING 40mmT.K ( Silver oakplank 40mm thick)   p-19  M-0165</t>
  </si>
  <si>
    <t>JELLY FOR ALL RCCWORK</t>
  </si>
  <si>
    <t>CENTERING C.W. JOIST ( Silver oak scantling)    p-18   M-0159</t>
  </si>
  <si>
    <t>CASURINA POST 10cm TO 13cm DIA *M-0174</t>
  </si>
  <si>
    <t xml:space="preserve"> 20mm HB STONE JELLY</t>
  </si>
  <si>
    <t>CEMENT PAINT / matt paint -  M-0416</t>
  </si>
  <si>
    <t>GLASS 4mmTHICK  M-0410</t>
  </si>
  <si>
    <t>A.C. PIPE 100mm DIA p-38 /M-0289</t>
  </si>
  <si>
    <t>A.C.BEND100mm DIAp-38 /M-0291</t>
  </si>
  <si>
    <t>A.C. SHOE 100mm DIAp-38 /M-0290</t>
  </si>
  <si>
    <t xml:space="preserve"> 20a</t>
  </si>
  <si>
    <t>C.I EVERITE CLAMOE 100mm DIA</t>
  </si>
  <si>
    <t xml:space="preserve"> 20b</t>
  </si>
  <si>
    <t>CI GREATINGS 100mm DIA p38 M-0294</t>
  </si>
  <si>
    <t xml:space="preserve"> 20c</t>
  </si>
  <si>
    <t>G.I.SHEET 22G p38 /M-0283</t>
  </si>
  <si>
    <t>TOTAL FOR 10CUM</t>
  </si>
  <si>
    <t xml:space="preserve"> 20d</t>
  </si>
  <si>
    <t>ALU  HINGS 5" (PWD LR) p-40 /M-0328</t>
  </si>
  <si>
    <t>ALU  HINGS 4" (PWD LR)p-40 /M-0329</t>
  </si>
  <si>
    <t>DADOING WALL WITH MASAIC</t>
  </si>
  <si>
    <t>ALU  HINGS 3" (PWD LR)p-40 /M-0330</t>
  </si>
  <si>
    <t>GRADED CHIPS</t>
  </si>
  <si>
    <t>ALU  HINGS 2" (PWD LR)p-40 / M-0331</t>
  </si>
  <si>
    <t>VIBRATING CHARGES</t>
  </si>
  <si>
    <t>ALU TOWER BOLT 6"X1/2" (PWD LR) M-0340</t>
  </si>
  <si>
    <t>MASIC TILES LAID IN CM 1:3</t>
  </si>
  <si>
    <t>ALU TOWER BOLT 3"X5/10"/4"x5/10"   M-0342</t>
  </si>
  <si>
    <t>for foundation  and basement</t>
  </si>
  <si>
    <t>ALU ALDROP 10"X5.8"  p46  M-0350</t>
  </si>
  <si>
    <t>ALU ALDROP 6"X1/2"  p44  M-0352</t>
  </si>
  <si>
    <t>NYLON BUSH FOR Door ( qtn)</t>
  </si>
  <si>
    <t>NYLON BUSH FOR W&amp;V</t>
  </si>
  <si>
    <t>VENTILATER PIVET</t>
  </si>
  <si>
    <t>PAIR</t>
  </si>
  <si>
    <t>ALU HOOKS &amp; EYES8"</t>
  </si>
  <si>
    <t>ALU HOOKS &amp; EYES6"</t>
  </si>
  <si>
    <t>ALU HOOKS &amp; EYES3"</t>
  </si>
  <si>
    <t>RANDUM RABBLE MASONRY IN CM 1:5</t>
  </si>
  <si>
    <t>I.O. HINGES 4"</t>
  </si>
  <si>
    <t>PLASTERING C.M(1:3) 12mmTHICK</t>
  </si>
  <si>
    <t>I.O. HINGES 5"</t>
  </si>
  <si>
    <t>ROUGH STONE</t>
  </si>
  <si>
    <t>I.O SPL HING 8"LONG</t>
  </si>
  <si>
    <t>I.O. HINGES 3"</t>
  </si>
  <si>
    <t>I.O. HINGES 2"</t>
  </si>
  <si>
    <t>I.O. TOWER BOLT 6"X1/2"</t>
  </si>
  <si>
    <t>I.O. TOWER BOLT 2"X5/8"</t>
  </si>
  <si>
    <t>I.O. ALDROP 10"X5.8"</t>
  </si>
  <si>
    <t>I.O. ALDROP 6"X1/2"</t>
  </si>
  <si>
    <t>NYLON BUSH FOR D</t>
  </si>
  <si>
    <t>PLASTERING C.M(1:2) 12mmTHICK</t>
  </si>
  <si>
    <t>I.O HOOKS &amp; EYES8"</t>
  </si>
  <si>
    <t>I.O HOOKS &amp; EYES6"</t>
  </si>
  <si>
    <t xml:space="preserve">I.O HOOKS &amp; EYES3" Qtn </t>
  </si>
  <si>
    <t xml:space="preserve">B.W IN C.M(1:5) using kiln burnt country bricks </t>
  </si>
  <si>
    <t xml:space="preserve">B.W IN C.M(1:5) USING Chamber </t>
  </si>
  <si>
    <t xml:space="preserve">B.W IN C.M(1:5) using chamber burnt  bricks </t>
  </si>
  <si>
    <t>C.I. SOIL PIPE</t>
  </si>
  <si>
    <t>Bricks of size 22x11x7 cm</t>
  </si>
  <si>
    <t>Bricks of size 23x11.2x7 cm</t>
  </si>
  <si>
    <t>Bricks of size 23x11.4x7.5 cm</t>
  </si>
  <si>
    <t xml:space="preserve"> 50mm DIA</t>
  </si>
  <si>
    <t xml:space="preserve"> 75mm DIA</t>
  </si>
  <si>
    <t>1000Nos.</t>
  </si>
  <si>
    <t xml:space="preserve"> 100mm DIA</t>
  </si>
  <si>
    <t xml:space="preserve"> 150mm DIA</t>
  </si>
  <si>
    <t>C.I. SOIL BEND</t>
  </si>
  <si>
    <t>PLASTERING C.M(1:2) 10mmTHICK</t>
  </si>
  <si>
    <t>C.I. SOIL BEND WITHDOOR</t>
  </si>
  <si>
    <t>A.C. SOIL PIPE</t>
  </si>
  <si>
    <t>7.2</t>
  </si>
  <si>
    <r>
      <t xml:space="preserve">PROVIDING </t>
    </r>
    <r>
      <rPr>
        <b/>
        <sz val="12"/>
        <rFont val="Helv"/>
      </rPr>
      <t>BITUMEN PAD</t>
    </r>
    <r>
      <rPr>
        <sz val="11"/>
        <color theme="1"/>
        <rFont val="Calibri"/>
        <family val="2"/>
        <scheme val="minor"/>
      </rPr>
      <t xml:space="preserve"> FOR EXPANISION </t>
    </r>
  </si>
  <si>
    <t>/SQM</t>
  </si>
  <si>
    <t>JOINT     M-0661</t>
  </si>
  <si>
    <t xml:space="preserve">B.W IN C.M(1:6) using kiln burnt country bricks </t>
  </si>
  <si>
    <t xml:space="preserve">B.W IN C.M(1:6) USING Chamber  </t>
  </si>
  <si>
    <t xml:space="preserve">B.W IN C.M(1:6) using chamber burnt </t>
  </si>
  <si>
    <t>A.C. SOIL BEND</t>
  </si>
  <si>
    <t>A.C. SOIL BEND WITHDOOR</t>
  </si>
  <si>
    <t>A.C. SOIL TEE</t>
  </si>
  <si>
    <t>PLASTERING C.M(1:3) 20mmTHICK</t>
  </si>
  <si>
    <t>==========</t>
  </si>
  <si>
    <t>A.C. SOIL TEE WITH DOOR</t>
  </si>
  <si>
    <t>A.C. SOIL  SINGLE YEE</t>
  </si>
  <si>
    <t xml:space="preserve">B.W IN C.M(1:4) using kiln burnt country bricks </t>
  </si>
  <si>
    <t xml:space="preserve">B.W IN C.M(1:4) USING Chamber  </t>
  </si>
  <si>
    <t>A.C. SOIL  SINGLE YEE WITHDOOR</t>
  </si>
  <si>
    <t>PLASTERING C.M(1:4) 20mmTHICK</t>
  </si>
  <si>
    <t>MIXEDWITH RED OXIDE @9.8</t>
  </si>
  <si>
    <t>Kg/10 SQM</t>
  </si>
  <si>
    <t xml:space="preserve">B.W IN C.M(1:4) using  using chamber burnt </t>
  </si>
  <si>
    <t>A.C. SOIL  DOUBLE YEE WITHDOOR</t>
  </si>
  <si>
    <t>no.</t>
  </si>
  <si>
    <t>mason for polishing</t>
  </si>
  <si>
    <t>A.C. SOIL DOUBLE YEE</t>
  </si>
  <si>
    <t>RED OXIDE</t>
  </si>
  <si>
    <t>A.C. SOIL COWL</t>
  </si>
  <si>
    <t>A.C. SOIL SHOE</t>
  </si>
  <si>
    <t>WHITE WASHING ONE COAT</t>
  </si>
  <si>
    <t>B.W IN C.M(1:4) using Country BricksKiln Burnt  SIZE 22x11x7Cm</t>
  </si>
  <si>
    <t>B.W IN C.M(1:4) USING Country BricksKiln Burnt  SIZE 22x11x7Cm</t>
  </si>
  <si>
    <t>A.C. SOIL SOCKETS</t>
  </si>
  <si>
    <t>SUNDRIES FOR BRUSH ETC</t>
  </si>
  <si>
    <t>A.C.DRAIN SPOUT 18" LONG</t>
  </si>
  <si>
    <t>TOTAL FOR 100 SQM</t>
  </si>
  <si>
    <t>B.W IN C.M(1:4) using Chamber burnt Bricks of size 23x11.4x7.5Cm</t>
  </si>
  <si>
    <t>AAC BLOCK PARTITION WALL IN cm 1:4 of size 600 x 200x100mm</t>
  </si>
  <si>
    <t>A.C.DRAIN SPOUT 24" LONG</t>
  </si>
  <si>
    <t>-------------------</t>
  </si>
  <si>
    <t>WHITE WASHING TWO COAT</t>
  </si>
  <si>
    <t>AAC block 600x200x100 [SR P.71]</t>
  </si>
  <si>
    <t>G.I. PIPE B  CLASS</t>
  </si>
  <si>
    <t>===========</t>
  </si>
  <si>
    <t xml:space="preserve"> 15mmDIA p-50    M-0439</t>
  </si>
  <si>
    <t xml:space="preserve"> 20mm DIA   M-0438</t>
  </si>
  <si>
    <t>PARTITION WALL OF 112 mm thick</t>
  </si>
  <si>
    <t xml:space="preserve"> 25mm DIA   M-0437</t>
  </si>
  <si>
    <t xml:space="preserve"> 32mm DIA    M-0436</t>
  </si>
  <si>
    <t xml:space="preserve"> 40mm DIA   M-0435</t>
  </si>
  <si>
    <t xml:space="preserve"> 50mm DIA   M-0434</t>
  </si>
  <si>
    <t>TOTAL FOR 10.71 Sqm</t>
  </si>
  <si>
    <t xml:space="preserve"> 65mm DIA pWD   M-0433</t>
  </si>
  <si>
    <t>G.I. BEND p-46  S.No-155 it-c</t>
  </si>
  <si>
    <t xml:space="preserve"> 15mmDIA    M-0457</t>
  </si>
  <si>
    <t xml:space="preserve"> 20mm DIA   M-0456</t>
  </si>
  <si>
    <t>COLOUR WASHING  TWO COATS</t>
  </si>
  <si>
    <t xml:space="preserve"> 25mm DIA   M-0455</t>
  </si>
  <si>
    <t>PARTITION WALL OF 114 mm thick</t>
  </si>
  <si>
    <t xml:space="preserve"> 32mm DIA  M-0454</t>
  </si>
  <si>
    <t xml:space="preserve"> 40mm DIA   M-0453</t>
  </si>
  <si>
    <t>ADD 50% EXYRA FOR COLOURING</t>
  </si>
  <si>
    <t xml:space="preserve"> 50mm DIA   M-0452</t>
  </si>
  <si>
    <t>MAATERIAL</t>
  </si>
  <si>
    <t xml:space="preserve"> 65mm DIA TWAD 2022-2023 p44</t>
  </si>
  <si>
    <t>5th</t>
  </si>
  <si>
    <t>G.I.COUPLERp-47 it-e</t>
  </si>
  <si>
    <t>6th</t>
  </si>
  <si>
    <t xml:space="preserve"> 15mmDIA  M-0469</t>
  </si>
  <si>
    <t>B.W IN C.M(1:4) USING 2-B Categery</t>
  </si>
  <si>
    <t xml:space="preserve"> 20mm DIA   M-0468</t>
  </si>
  <si>
    <t xml:space="preserve"> 25mm DIA   M-0467</t>
  </si>
  <si>
    <t xml:space="preserve"> 32mm DIA   M-0466</t>
  </si>
  <si>
    <t xml:space="preserve">COLOUR  WASHING TWO COATS OVER </t>
  </si>
  <si>
    <t xml:space="preserve"> 40mm DIA    M-0465</t>
  </si>
  <si>
    <t>ONE COAT OF WHITE WASHING.</t>
  </si>
  <si>
    <t xml:space="preserve"> 50mm DIA    M-0464</t>
  </si>
  <si>
    <t xml:space="preserve"> 65mm DIA TWAD p 43</t>
  </si>
  <si>
    <t>G.I. ELBOWp-51 S.No.119/ it-b</t>
  </si>
  <si>
    <t xml:space="preserve"> 15mmDIA   M-0451</t>
  </si>
  <si>
    <t xml:space="preserve"> 20mm DIA   M-0450</t>
  </si>
  <si>
    <t xml:space="preserve"> 25mm DIA   M-0449</t>
  </si>
  <si>
    <t xml:space="preserve"> 32mm DIA   M-0448</t>
  </si>
  <si>
    <t>7th</t>
  </si>
  <si>
    <t xml:space="preserve"> 40mm DIA  M-0447</t>
  </si>
  <si>
    <t xml:space="preserve">8th </t>
  </si>
  <si>
    <t xml:space="preserve"> 50mm DIA   M-0446</t>
  </si>
  <si>
    <t>9th</t>
  </si>
  <si>
    <t xml:space="preserve"> 65mm DIA TWAD p 25</t>
  </si>
  <si>
    <t xml:space="preserve">12th </t>
  </si>
  <si>
    <t>G.I. UNIONp-51 it-A</t>
  </si>
  <si>
    <t>WATER SUPPLY</t>
  </si>
  <si>
    <t>13th</t>
  </si>
  <si>
    <t xml:space="preserve"> 15mmDIA    M-0445</t>
  </si>
  <si>
    <t xml:space="preserve"> 20mm DIA    M-0444</t>
  </si>
  <si>
    <t>LABOUR CHARGE FOR  LAYING</t>
  </si>
  <si>
    <t xml:space="preserve"> 25mm DIA    M-0443</t>
  </si>
  <si>
    <t>JOINTING GI PIPE AND SPECIALS</t>
  </si>
  <si>
    <t xml:space="preserve"> 32mm DIA    M-0442</t>
  </si>
  <si>
    <t>BELOW G.L</t>
  </si>
  <si>
    <t xml:space="preserve"> 40mm DIA   M-0441</t>
  </si>
  <si>
    <t xml:space="preserve"> 50mm DIA     M-0440</t>
  </si>
  <si>
    <t>A</t>
  </si>
  <si>
    <t>15mm DIA  GI PIPE BELOW G.L</t>
  </si>
  <si>
    <t xml:space="preserve"> 65mm DIA</t>
  </si>
  <si>
    <t>G.I. PLUG</t>
  </si>
  <si>
    <t>E.W EXCLUDING REFILLING</t>
  </si>
  <si>
    <t xml:space="preserve"> 15mmDIA</t>
  </si>
  <si>
    <t>REFILLING CHARGE</t>
  </si>
  <si>
    <t xml:space="preserve"> 20mm DIA</t>
  </si>
  <si>
    <t>CONVEYING,LOWERING  ANDLAYING</t>
  </si>
  <si>
    <t xml:space="preserve"> 25mm DIA</t>
  </si>
  <si>
    <t>TO PROPER GRADEAND</t>
  </si>
  <si>
    <t xml:space="preserve"> 32mm DIA</t>
  </si>
  <si>
    <t>ALIGNMENT,JOINTING</t>
  </si>
  <si>
    <t xml:space="preserve"> 40mm DIA</t>
  </si>
  <si>
    <t>ETC BUT EXCLUDING  COST OF</t>
  </si>
  <si>
    <t>JOINTING MATERIALS.</t>
  </si>
  <si>
    <t>PARTITION WALL OF 75mm thick</t>
  </si>
  <si>
    <t xml:space="preserve">PARTITION WALL </t>
  </si>
  <si>
    <t>CUTTING CHARGES</t>
  </si>
  <si>
    <t>G.I. TEE p-51 it-D</t>
  </si>
  <si>
    <t>==============</t>
  </si>
  <si>
    <t>THREADING CHARGES</t>
  </si>
  <si>
    <t xml:space="preserve"> 15mmDIA  M-0463</t>
  </si>
  <si>
    <t>B.W IN C.M(1:4) USING 4-A Categery</t>
  </si>
  <si>
    <t>COST OF JOINTING  MATERIALS</t>
  </si>
  <si>
    <t xml:space="preserve"> 20mm DIA  M-0462</t>
  </si>
  <si>
    <t xml:space="preserve"> 25mm DIA   M-0461</t>
  </si>
  <si>
    <t xml:space="preserve"> 32mm DIA    M-0460</t>
  </si>
  <si>
    <t>Bricks of size 22X11X5 cm</t>
  </si>
  <si>
    <t>TOTAL FOR 30M</t>
  </si>
  <si>
    <t xml:space="preserve"> 40mm DIA   M-0459</t>
  </si>
  <si>
    <t xml:space="preserve"> 50mm DIA    M-0458</t>
  </si>
  <si>
    <t xml:space="preserve"> 65mm DIA twad p25</t>
  </si>
  <si>
    <t>G.I.HEX NIPPLEp-53 it-I</t>
  </si>
  <si>
    <t>20mm DIA  GI PIPE BELOW G.L</t>
  </si>
  <si>
    <t xml:space="preserve"> 15mmDIA   M-0496</t>
  </si>
  <si>
    <t xml:space="preserve"> 20mm DIA  M-0495</t>
  </si>
  <si>
    <t xml:space="preserve"> 25mm DIA  M-0494</t>
  </si>
  <si>
    <t xml:space="preserve"> 32mm DIA  M-0493</t>
  </si>
  <si>
    <t xml:space="preserve"> 40mm DIA  M-0492</t>
  </si>
  <si>
    <t xml:space="preserve"> 50mm DIA  M-0491</t>
  </si>
  <si>
    <t>G.M. FERRULE</t>
  </si>
  <si>
    <t>PARTITION WALL OF 50mmTHICK</t>
  </si>
  <si>
    <t xml:space="preserve">Standardised concrete mix M20 </t>
  </si>
  <si>
    <t xml:space="preserve">Standardised concrete mix M30 </t>
  </si>
  <si>
    <t>SCRAPING THE OLD PLASTER SURFACE * p30/108/338</t>
  </si>
  <si>
    <t>16.1</t>
  </si>
  <si>
    <t>CEMENT CONCRETE(1:2:4) FOR</t>
  </si>
  <si>
    <t>WASHING PLASTERED AREA WITH SOAP&amp;SODA WATER *p30/109/339</t>
  </si>
  <si>
    <t xml:space="preserve">PETTY WORKS EXCLUDING COST </t>
  </si>
  <si>
    <t>PILE DRIVING CHARGES FOR 330mmDIA/375mm DIA</t>
  </si>
  <si>
    <t>OF STEEL M 2</t>
  </si>
  <si>
    <t>PILE DRIVING CHARGES FOR 400mmDIA/450mm DIA</t>
  </si>
  <si>
    <t>PILE DRIVING CHARGES FOR 500mmDIA/600mm DIA</t>
  </si>
  <si>
    <t>Standardised concrete mix M20  using 20mmHB JELLY ( witt out vibrating charges)</t>
  </si>
  <si>
    <t>Standardised concrete mix M30  using 20mmHB JELLY ( witt out vibrating charges)</t>
  </si>
  <si>
    <t>|</t>
  </si>
  <si>
    <t xml:space="preserve"> 15mmDIA G.M.CHEKVALUE</t>
  </si>
  <si>
    <t xml:space="preserve">SUNDRIES FOR MOULDING </t>
  </si>
  <si>
    <t xml:space="preserve"> 20mm DIA G.M.CHEKVALUE</t>
  </si>
  <si>
    <t>C</t>
  </si>
  <si>
    <t>25mm DIA  GI PIPE BELOW G.L</t>
  </si>
  <si>
    <t>FINISHING,OIL ETC</t>
  </si>
  <si>
    <t>TOTAL FOR .01 CUM</t>
  </si>
  <si>
    <t>CC(1:2:4) USING 20mmHB</t>
  </si>
  <si>
    <t>JALLY-50mm THICK</t>
  </si>
  <si>
    <t>C.C(1:2:4)USING 20mmJELLY</t>
  </si>
  <si>
    <t>FOR PETTY WORKS</t>
  </si>
  <si>
    <t>G.M.GATE VALUE (Heavy Duty)p-48it-144</t>
  </si>
  <si>
    <t>13.1</t>
  </si>
  <si>
    <t xml:space="preserve">FILLING IN BASEMENT  WITH </t>
  </si>
  <si>
    <t>EXCAVATED EARTH</t>
  </si>
  <si>
    <t xml:space="preserve"> 20mm DIA   M-0502</t>
  </si>
  <si>
    <t xml:space="preserve"> 25mm DIA    M-0501</t>
  </si>
  <si>
    <t>AS  PER SR(85)  2022-23(p-23</t>
  </si>
  <si>
    <t>TOTAL FOR0.372 SQM</t>
  </si>
  <si>
    <t xml:space="preserve"> 32mm DIA    M-0500</t>
  </si>
  <si>
    <t xml:space="preserve"> 40mm DIA    M-0499</t>
  </si>
  <si>
    <t>DAMP PROOF COURSE IN C.M(1:4),12mm thick</t>
  </si>
  <si>
    <t xml:space="preserve"> 50mm DIA    M-0498</t>
  </si>
  <si>
    <t>mixed with Water Proof Compound at 1KG per Bag of Cement</t>
  </si>
  <si>
    <t xml:space="preserve"> 65mm DIA    M-0497</t>
  </si>
  <si>
    <t xml:space="preserve">                                                                                                                                                                                                                                                                                                                                                                                                                                                                                                                                                                                                                                                                                                                                                                                                                                                                                                                                                                                                                                                                                                                                                                                                                                                                                                                                                                                                                                                                                                                                                                                                                                                                                                                                                                                                                                                                                                                                                                                                                                                                                                                                                                                                                                                                                                                                                                                                                                                                                                                                                                                                                                                                                                                                                                                                                                                                                                                                                                                                                                                                                                                                                                                                                                                                                                                                                                                                                                                                                                                                                                                                                                                                                                                                                                                                                                                                                                                                                                                                                                                                                                                                                                                                                                                                                                                                                                                                                                                                                                                                                                                                                                                                                                                                                                                                                                                                                                                                                                                                                                                                                                                                                                                                                                                                                                                                                                                                                                                                                                                                                                                          </t>
  </si>
  <si>
    <t>G.M.WHEELVALUE  (Heavy Duty)p-48it-145</t>
  </si>
  <si>
    <t xml:space="preserve"> 15mmDIA   -0507</t>
  </si>
  <si>
    <t xml:space="preserve"> 20mm DIA   -0506</t>
  </si>
  <si>
    <t xml:space="preserve"> 25mm DIA   -0505</t>
  </si>
  <si>
    <t>FOURTH FLOOR</t>
  </si>
  <si>
    <t xml:space="preserve"> 32mm DIA  -0504</t>
  </si>
  <si>
    <t xml:space="preserve"> 40mm DIA  -0503</t>
  </si>
  <si>
    <t xml:space="preserve">Water Proof Compound </t>
  </si>
  <si>
    <t xml:space="preserve">Standardised concrete mix M25 </t>
  </si>
  <si>
    <t>ABOVE G.L</t>
  </si>
  <si>
    <t>8th</t>
  </si>
  <si>
    <t>G.I.REDUCER p-47 it-155F</t>
  </si>
  <si>
    <t xml:space="preserve"> 15mmDIAX20mmDIA  (v)   M-0474</t>
  </si>
  <si>
    <t>15mm  DIA G.I PIPE ABOVE G.L</t>
  </si>
  <si>
    <t>10th</t>
  </si>
  <si>
    <t xml:space="preserve"> 15mmDIAX25mmDIA</t>
  </si>
  <si>
    <t>11th</t>
  </si>
  <si>
    <t xml:space="preserve"> 25mmDIAX20mmDIA (iv)  M-0473</t>
  </si>
  <si>
    <t>LAYING JOINTING INCLUDING</t>
  </si>
  <si>
    <t xml:space="preserve"> 50mmDIAX25mmDIA</t>
  </si>
  <si>
    <t>C.C(1:2:4)USING 3mm-10mm HBSTONE</t>
  </si>
  <si>
    <t>ALIGNING</t>
  </si>
  <si>
    <t xml:space="preserve"> 50mmDIAX32mmDIA</t>
  </si>
  <si>
    <t>G.I.REDUCER  TEEp-47 it-155H</t>
  </si>
  <si>
    <t xml:space="preserve"> 15mmDIAX20mmDIA</t>
  </si>
  <si>
    <t xml:space="preserve">  3mm-10mm HB STONE JELLY</t>
  </si>
  <si>
    <t>STONE CUTTER II</t>
  </si>
  <si>
    <t>MADON I</t>
  </si>
  <si>
    <t xml:space="preserve"> 25mmDIAX20mmDIA</t>
  </si>
  <si>
    <t>COST OF CLAMPS PLUGS PAINTING</t>
  </si>
  <si>
    <t>G.I.REDUCER  ELBOW p47 it-G</t>
  </si>
  <si>
    <t>REDOING WORKS ETC</t>
  </si>
  <si>
    <t xml:space="preserve"> 15mmDIAX20mmDIA    M-0481</t>
  </si>
  <si>
    <t xml:space="preserve"> 25mmDIAX20mmDIA   M-0480</t>
  </si>
  <si>
    <t>TOTAL FOR 30 M</t>
  </si>
  <si>
    <t xml:space="preserve"> 32mmX15mmDIA</t>
  </si>
  <si>
    <t>P.V.C.PIPE</t>
  </si>
  <si>
    <t xml:space="preserve"> 4KG/SQ.CM</t>
  </si>
  <si>
    <t>20mm  DIA G.I PIPE ABOVE G.L</t>
  </si>
  <si>
    <t xml:space="preserve"> 15mmDIA OF WALL THICK 2.8mm A.S.T.M (Qtn)</t>
  </si>
  <si>
    <t xml:space="preserve"> 20mm DIA----DO----2.9mm / 20 mm G.I. pipe</t>
  </si>
  <si>
    <t>RATE PER CUM with vibrating</t>
  </si>
  <si>
    <t xml:space="preserve"> 25mm DIA----DO-----3.4mm</t>
  </si>
  <si>
    <t xml:space="preserve"> 32mm DIA-----DO----3.6mm</t>
  </si>
  <si>
    <t xml:space="preserve"> 25a</t>
  </si>
  <si>
    <t xml:space="preserve"> 40mm DIA----DO----3.7mm</t>
  </si>
  <si>
    <t xml:space="preserve"> 25b</t>
  </si>
  <si>
    <t xml:space="preserve"> 50mm DIA----DO----3.9mm</t>
  </si>
  <si>
    <t xml:space="preserve"> 25c</t>
  </si>
  <si>
    <t>P.V.C.SOCKET</t>
  </si>
  <si>
    <t xml:space="preserve"> 25d</t>
  </si>
  <si>
    <t>14.I</t>
  </si>
  <si>
    <t xml:space="preserve"> P.C.C,R.C.C SLAB OF20mm THICK</t>
  </si>
  <si>
    <t>Standardised concrete mix M30</t>
  </si>
  <si>
    <t>Standardised concrete mix M25</t>
  </si>
  <si>
    <t>C.C(1:2:4)USING3mm-10mm HBG</t>
  </si>
  <si>
    <r>
      <t xml:space="preserve"> P.C.C,R.C.C SLAB OF20mm THICK </t>
    </r>
    <r>
      <rPr>
        <b/>
        <sz val="12"/>
        <rFont val="Helv"/>
      </rPr>
      <t>using standardised concrete mix M30</t>
    </r>
  </si>
  <si>
    <r>
      <t xml:space="preserve"> P.C.C,R.C.C SLAB OF20mm THICK </t>
    </r>
    <r>
      <rPr>
        <b/>
        <sz val="12"/>
        <rFont val="Helv"/>
      </rPr>
      <t>using standardised concrete mix M25</t>
    </r>
  </si>
  <si>
    <r>
      <t xml:space="preserve"> P.C.C,R.C.C SLAB OF20mm THICK </t>
    </r>
    <r>
      <rPr>
        <b/>
        <sz val="12"/>
        <rFont val="Helv"/>
      </rPr>
      <t>using standardised concrete mix M20</t>
    </r>
  </si>
  <si>
    <t>P.V.C.ELBOW</t>
  </si>
  <si>
    <t>TOTAL FOR 0.743 SQM</t>
  </si>
  <si>
    <t>25mm  DIA G.I PIPE ABOVE G.L</t>
  </si>
  <si>
    <t>P.V.C.TEE</t>
  </si>
  <si>
    <t>14.II</t>
  </si>
  <si>
    <t xml:space="preserve"> P.C.C,R.C.C SLAB OF40mm THICK</t>
  </si>
  <si>
    <r>
      <t xml:space="preserve"> P.C.C,R.C.C SLAB OF40mm THICK </t>
    </r>
    <r>
      <rPr>
        <b/>
        <sz val="12"/>
        <rFont val="Helv"/>
      </rPr>
      <t>using standardised concrete mix of M30 grade</t>
    </r>
  </si>
  <si>
    <r>
      <t xml:space="preserve"> P.C.C,R.C.C SLAB OF40mm THICK </t>
    </r>
    <r>
      <rPr>
        <b/>
        <sz val="12"/>
        <rFont val="Helv"/>
      </rPr>
      <t>using standardised concrete mix of M25 grade</t>
    </r>
  </si>
  <si>
    <t>P.V.C.REDUCER SOCKET</t>
  </si>
  <si>
    <r>
      <t xml:space="preserve"> P.C.C,R.C.C SLAB OF40mm THICK </t>
    </r>
    <r>
      <rPr>
        <b/>
        <sz val="12"/>
        <rFont val="Helv"/>
      </rPr>
      <t>using standardised concrete mix of M20 grade</t>
    </r>
  </si>
  <si>
    <t xml:space="preserve">standardised concrete mix M20 </t>
  </si>
  <si>
    <t xml:space="preserve"> 12mmDIAX25mmDIA</t>
  </si>
  <si>
    <t xml:space="preserve"> 40mmDIAX25mmDIA</t>
  </si>
  <si>
    <t xml:space="preserve"> 32mmDIAX40mmDIA</t>
  </si>
  <si>
    <t>P.V.C.REDUCER TEE</t>
  </si>
  <si>
    <t>RATE PER SQM (Foundation and basement)</t>
  </si>
  <si>
    <t xml:space="preserve"> 32mmDIAX25mmDIA</t>
  </si>
  <si>
    <t>JOINTING P.V.C  PIPE AND SPECIALS</t>
  </si>
  <si>
    <t>Fourth .floor</t>
  </si>
  <si>
    <t>Providing CUDDAPPAH SLAB for cupboard</t>
  </si>
  <si>
    <t>P.V.C.REDUCER ELBOW</t>
  </si>
  <si>
    <t>wardrobe, shelves, kitchen sinks,</t>
  </si>
  <si>
    <t>hearth slab and sunshade etc., for the</t>
  </si>
  <si>
    <t>UP 40MM PVC PIPE</t>
  </si>
  <si>
    <t>following thickness including cost of</t>
  </si>
  <si>
    <t>Cuddappah slab and labour charges for</t>
  </si>
  <si>
    <t>fixing in position etc., all complete</t>
  </si>
  <si>
    <t xml:space="preserve"> 40mmDIAX32mmDIA</t>
  </si>
  <si>
    <t>(Both sides polished)</t>
  </si>
  <si>
    <t xml:space="preserve"> 50mmDIAX40mmDIA</t>
  </si>
  <si>
    <t>TO PROPER GRADE AND</t>
  </si>
  <si>
    <t>C.I.COVER SLAB 18"X18"X56LBS(25Kg)</t>
  </si>
  <si>
    <t xml:space="preserve"> 20mm Thick slab:-</t>
  </si>
  <si>
    <t xml:space="preserve"> 40mm Thick slab:-</t>
  </si>
  <si>
    <t>C.I.COVER SLAB 18"X18"X36LBS(16Kg)</t>
  </si>
  <si>
    <t>==================</t>
  </si>
  <si>
    <t>C.I.COVER SLAB 24"X24"X112LBS(50Kg)</t>
  </si>
  <si>
    <t>Cuddappah slab</t>
  </si>
  <si>
    <t>C.I.STEEPS(5Kg)p62   M-0653</t>
  </si>
  <si>
    <t>Mason Ist</t>
  </si>
  <si>
    <t>C.I..BRACKET FOR W.B.</t>
  </si>
  <si>
    <t>Mazdoor Ist</t>
  </si>
  <si>
    <t>BRASS TAP 15mm / 12 mm dia (HEAVY) p - 53  M-0508</t>
  </si>
  <si>
    <t>Packing with C.M., Scaffolding</t>
  </si>
  <si>
    <t>C.P.TAP15mm DIA p - 53  M-0510</t>
  </si>
  <si>
    <t>and Polishing etc.,</t>
  </si>
  <si>
    <t>C.P.WASTE PLUGE WITH ALU CHAIN 32mm DIA</t>
  </si>
  <si>
    <t>Total for Ten sqm</t>
  </si>
  <si>
    <t>P.V.C. WASTE PIPE32mmDIA 2.5'LONG</t>
  </si>
  <si>
    <t>P.V.C.FLUSHING PIPE 32mm DIA 6'LONG</t>
  </si>
  <si>
    <t>Rate for one SQM</t>
  </si>
  <si>
    <t>P.V.C. CONECTION 1/2"X15"</t>
  </si>
  <si>
    <t>ALU TOWEL RAIL 12mm ,2'LONG</t>
  </si>
  <si>
    <t>CONSTRN. OF INSPECTION</t>
  </si>
  <si>
    <t>ALU TOWEL RAIL 20mm ,2'LONG p - 51  M-0565</t>
  </si>
  <si>
    <t>CHAMBER OF SIZE 60X60X60cm</t>
  </si>
  <si>
    <t>P.V.C. LOW LEVEL CISTERN 10 LITCAPACITY p-49   M-0536</t>
  </si>
  <si>
    <t>P.V.C. S.D TAP 15mm DIA</t>
  </si>
  <si>
    <t>E.W AND REFILLING</t>
  </si>
  <si>
    <t xml:space="preserve"> 40mm Thick slab:- for sun shade only</t>
  </si>
  <si>
    <t>E.W.C./SEAT COVER BLACK(H)</t>
  </si>
  <si>
    <t>C.C(1:8:16)USING 40mmB.J METEL</t>
  </si>
  <si>
    <t>EVERITE CLAMP IRON CLAMP  (Special clamp)  M-0636</t>
  </si>
  <si>
    <t>B.W IN C.M(1:5)</t>
  </si>
  <si>
    <t>150mm AL.HANDLE WITH CP SCREWS/DOOR STOPPER (PWD LR) M-0358, M-0366</t>
  </si>
  <si>
    <t xml:space="preserve"> it-110 p-41</t>
  </si>
  <si>
    <t>PLASTERING IN C.M(1:3) 12 mmT.K</t>
  </si>
  <si>
    <t>C.P.STOPCOCK 20mM DIA 500 gm</t>
  </si>
  <si>
    <t>R.C.C(1:2:4) PETTY WORKS</t>
  </si>
  <si>
    <t>C.P.STOPCOCK 15mM DIA 300gm</t>
  </si>
  <si>
    <t>(50mmT.K PCC SLAB)</t>
  </si>
  <si>
    <t>CERAMIC-FLOOR TILES WHITE/PLAINCOLOUR-6MM tk (PWD LR) p34  M-0203(35.15 /0.093025)</t>
  </si>
  <si>
    <t>SUNDRIES FOR MOULDIN ETC</t>
  </si>
  <si>
    <r>
      <t xml:space="preserve">Glazed-WALL TILES PLAINCOLOUR-6MM T.K (PWD LR) 100x200x6mm   M-0211
</t>
    </r>
    <r>
      <rPr>
        <b/>
        <sz val="12"/>
        <rFont val="Helv"/>
      </rPr>
      <t>item no. 11(ii)</t>
    </r>
  </si>
  <si>
    <t>G.M.VALUE WITH POLYTHENE BALL OF 15mmDIA</t>
  </si>
  <si>
    <t>G.M.VALUE WITH POLYTHENE BALL OF 20mmDIA</t>
  </si>
  <si>
    <t>G.M.VALUE WITH POLYTHENE BALL OF 25mmDIA</t>
  </si>
  <si>
    <t>C.P. SHOWER ROSE 1/2"X4"</t>
  </si>
  <si>
    <t>CHAMBER OF SIZE 60X60X75cm</t>
  </si>
  <si>
    <t>TARRED HEMP YARN p- 53 / M-0614</t>
  </si>
  <si>
    <t>StonecutterII</t>
  </si>
  <si>
    <t>WHITE / Colour CEMENT (PWD LR) average p-35 M-02305 + M-0231/2</t>
  </si>
  <si>
    <t>WHITE CEMENT (PWD LR) p-35 /  M-0230</t>
  </si>
  <si>
    <t>COLOUR CEMENT (PWD LR)   p-35/  M-0231</t>
  </si>
  <si>
    <t>Total for one sqm</t>
  </si>
  <si>
    <t>BRASS HEX NIPPLE15mm DIA</t>
  </si>
  <si>
    <t>BRASS HEX NIPPLE 20mm DIA</t>
  </si>
  <si>
    <t>COLOUR</t>
  </si>
  <si>
    <t>E.W.C. WITH S  TRAP   p-49   M-0532</t>
  </si>
  <si>
    <t>SET</t>
  </si>
  <si>
    <t>ANGLO INDIAN WATER CLOSET WITH P OR S TRAP</t>
  </si>
  <si>
    <t>I.W.C. 18" WITH P OR S TRAP WITH FOOT REST</t>
  </si>
  <si>
    <t>PORCELIN FOOT REST</t>
  </si>
  <si>
    <t>WASH BASIN 480x400mm without pedastal   M-0544</t>
  </si>
  <si>
    <t>C.</t>
  </si>
  <si>
    <r>
      <t xml:space="preserve"> 20mm Thick slab:- For </t>
    </r>
    <r>
      <rPr>
        <b/>
        <sz val="12"/>
        <rFont val="Helv"/>
      </rPr>
      <t>kitchen arrangements only</t>
    </r>
  </si>
  <si>
    <t>FLATE BACK URINAL FOR MEN</t>
  </si>
  <si>
    <t>FLATE BACK URINAL FOR WOMEN    M-0553</t>
  </si>
  <si>
    <t>Cuddappah slab (One side polised).it-100 p-19</t>
  </si>
  <si>
    <t>CONSTRUCTION OF LEACH PIT AS</t>
  </si>
  <si>
    <t>P.V.C. SOIL PIPE 110mm DIA</t>
  </si>
  <si>
    <t>C.M 1:3</t>
  </si>
  <si>
    <t>PER SD NO 49/77</t>
  </si>
  <si>
    <t>P.V.C. SOIL PIPE 75mm DIA</t>
  </si>
  <si>
    <t>P.V.C. SOIL PIPE 50mm DIA</t>
  </si>
  <si>
    <t>E.W ONLY</t>
  </si>
  <si>
    <r>
      <t xml:space="preserve">P.V.C. SOIL BENDWITH DOOR 110mm DIA </t>
    </r>
    <r>
      <rPr>
        <b/>
        <sz val="12"/>
        <color indexed="13"/>
        <rFont val="Helv"/>
      </rPr>
      <t xml:space="preserve">Qtn </t>
    </r>
  </si>
  <si>
    <t>C.C(1:8:16)USING 40mm HBS</t>
  </si>
  <si>
    <t>P.V.C. SOIL BENDWITH DOOR 75mm DIA</t>
  </si>
  <si>
    <t>B.W. IN C.M(1:6) USING COUNTRY BRICK</t>
  </si>
  <si>
    <t>P.V.C. SOIL BENDWITH DOOR 50mm DIA</t>
  </si>
  <si>
    <t>Total for TEN sqm</t>
  </si>
  <si>
    <t>DRY BRICK WORK</t>
  </si>
  <si>
    <t>P.V.C. SOIL SHOE 110mm DIA   M-1037</t>
  </si>
  <si>
    <t xml:space="preserve"> 40mm HBS JELLY</t>
  </si>
  <si>
    <t>P.V.C. SOIL SHOE 75mm DIA</t>
  </si>
  <si>
    <t>RATE for one sqm</t>
  </si>
  <si>
    <t>P.V.C. SOIL SHOE 50mm DIA</t>
  </si>
  <si>
    <t>PLASTERING IN C.M(1:5)12mm T.K</t>
  </si>
  <si>
    <t xml:space="preserve">P.V.C. SOIL BEND W.O.D 110mm DIA           M-1010 it F by pasting </t>
  </si>
  <si>
    <t>SUPPLY OF 100mmS.W TEE</t>
  </si>
  <si>
    <t>P.V.C. SOIL BEND 75mm DIA     M-1008</t>
  </si>
  <si>
    <t>R.C.C.(1:2:4) FOR PETTY WORK</t>
  </si>
  <si>
    <t>P.V.C. SOIL BEND 50mm DIA</t>
  </si>
  <si>
    <t>PCC-75MM T.K SLAB</t>
  </si>
  <si>
    <t>P.V.C. SOIL YEE 110mm DIA it-G p-103 by pasting     M-1014</t>
  </si>
  <si>
    <t>P.V.C. SOIL YEE 75mm DIA     M-1012</t>
  </si>
  <si>
    <t>P.V.C. SOIL YEE 50mm DIA</t>
  </si>
  <si>
    <t>P.V.C. SOIL YEEWITH DOOR 110mm DIA  single    M-1018</t>
  </si>
  <si>
    <t>OF STEEL</t>
  </si>
  <si>
    <t>P.V.C. SOIL YEEWITH DOOR 75mm DIA    M-1016</t>
  </si>
  <si>
    <t>CONSTRUCTION OF DISPERSION</t>
  </si>
  <si>
    <t>C.C(1:2:4)USING 20mmHB JELLY</t>
  </si>
  <si>
    <t>P.V.C. SOIL YEEWITH DOOR 50mm DIA</t>
  </si>
  <si>
    <t>TRENCH OF SIZE 3MX1MX1M</t>
  </si>
  <si>
    <t>4.2</t>
  </si>
  <si>
    <t>Standardised concrete mix M20</t>
  </si>
  <si>
    <t>P.V.C. SOIL DOUBLE  YEE WITH DOOR 110mm ( double)  M-1030</t>
  </si>
  <si>
    <t>JELLY FOR ALL WATER RETAINING</t>
  </si>
  <si>
    <t>P.V.C. SOIL DOUBLE YEE WITH DOOR 75mm    M-1028</t>
  </si>
  <si>
    <t>E.W EXCAVATION</t>
  </si>
  <si>
    <t>STRUCTURES AND R.C.C DOOR FRAMES</t>
  </si>
  <si>
    <t xml:space="preserve">P.V.C. SOIL DOUBLE YEE WITH DOOR 50mm </t>
  </si>
  <si>
    <t>SUPPLY OF 40mmB.J. METEL</t>
  </si>
  <si>
    <t>P.V.C. SOIL TEE 110mm DIA it C P-102</t>
  </si>
  <si>
    <t xml:space="preserve"> 100mm DIA S.W.PIPE</t>
  </si>
  <si>
    <t xml:space="preserve"> 3-10mmH.B.JELLY</t>
  </si>
  <si>
    <t>P.V.C. SOIL TEE 75mm DIA</t>
  </si>
  <si>
    <t>P.V.C. SOIL TEE 50mm DIA</t>
  </si>
  <si>
    <t>P.V.C. SOIL TEE WITH DOOR  110mm DIA (single)  M-1002</t>
  </si>
  <si>
    <t>P.V.C. SOIL TEE WITH DOOR  75mm DIA   M-1000</t>
  </si>
  <si>
    <t>P.V.C. SOIL TEE WITH DOOR  50mm DIA</t>
  </si>
  <si>
    <t>P.V.C. SOIL SLOTTED COWL 110mm DIA   M-1041</t>
  </si>
  <si>
    <t>CONSTRUCTION OF SEPTIC TANK</t>
  </si>
  <si>
    <t>Plasticiser</t>
  </si>
  <si>
    <t>P.V.C. SOIL  SLOTTED COWL PIPE 75mm DIA    M-1040</t>
  </si>
  <si>
    <t>OF SIZE 150X75X100cm( BER NO</t>
  </si>
  <si>
    <t>P.V.C. SOIL SLOTTEDCOWL 50mm DIA    M-1039</t>
  </si>
  <si>
    <t>6/91-92)</t>
  </si>
  <si>
    <t>P.V.C. SOIL DOUBLE YEEE 110mm DIA</t>
  </si>
  <si>
    <t>P.V.C. SOIL DOUBLE YEE 75mm DIA</t>
  </si>
  <si>
    <t>WATER PROOF COMPOUND ( PWD LR)p34     M-0197</t>
  </si>
  <si>
    <t xml:space="preserve"> CC(1:2:4)IN20mmmHBS(PLAIN)</t>
  </si>
  <si>
    <t>ROUND RING</t>
  </si>
  <si>
    <t>A.C. SHEETFULLY CORRUGATED 6mmT.K (PWD LR -M-0295</t>
  </si>
  <si>
    <t>PLASTERING IN C.M(1:3)12mmT.K</t>
  </si>
  <si>
    <t>Add watering charges &amp; other (0.5%of sub-total)</t>
  </si>
  <si>
    <t>A.C. SHEET SEMI CORRUGATED 6mmT.K</t>
  </si>
  <si>
    <t>R.C.C(1:2:4)USING 20mmHBS</t>
  </si>
  <si>
    <t>A.C. RIDGE FOR FULLYCORRUGATED AC SHEET (PWD Lr   M-0299</t>
  </si>
  <si>
    <t xml:space="preserve">PCC SLAB 50mm T.K </t>
  </si>
  <si>
    <t>Foundation &amp; Basement</t>
  </si>
  <si>
    <t>A.C. RIDGE FOR SEMI CORRUGATED AC SHEET (PWD Lrit-80 p-38)</t>
  </si>
  <si>
    <t>S/F OF S.W. TEE 1000mmmDIA</t>
  </si>
  <si>
    <t>U ORJ BOLT ANDBITUMENWASHERS   M-0300</t>
  </si>
  <si>
    <t>GI HOT</t>
  </si>
  <si>
    <t>MTS</t>
  </si>
  <si>
    <t>S/F OF 50mmDIA A.C PIPE</t>
  </si>
  <si>
    <t>M.S.WINDOW GRILLS / Special extruded sections for Steel Windows *  M-0196,  M-0301</t>
  </si>
  <si>
    <t>Kg p 44/76</t>
  </si>
  <si>
    <t>S/F OF 50mmDIA A.C COWL</t>
  </si>
  <si>
    <t>CONVEY,ALAIGN,JIONT ETC UP TO40mmPVC PIPE (TWAD SR-20-21 it-11b )</t>
  </si>
  <si>
    <t>16.2</t>
  </si>
  <si>
    <t>SUPPLYING &amp; FIXING OF TERRACOTTA</t>
  </si>
  <si>
    <t>COST OFPVC PIPE JOINTING MATERIALS UPTO 40mm</t>
  </si>
  <si>
    <t>JALLY(NOT BELOW 50MM THICK) OF BEST</t>
  </si>
  <si>
    <t>COST OFPVC PIPE JOINTING MATERIALS OVER 40mm</t>
  </si>
  <si>
    <t>QUALITY AND FIXING IN POSITION WITH</t>
  </si>
  <si>
    <t>MISCELLANCEOUS ITEMS</t>
  </si>
  <si>
    <t>Standardised concrete Mix M30 Grade Concrete</t>
  </si>
  <si>
    <t>C.I.DOUBLE YEE JUNCTION WITH DOOR  100mmDIA</t>
  </si>
  <si>
    <t>CEMENT PASTE AND REDOXIDE PUTTY INCLUDING</t>
  </si>
  <si>
    <t>S.F OF A.C.SPOUT PIPE OF50 mm DIA</t>
  </si>
  <si>
    <r>
      <t xml:space="preserve">20mm HBG Machine crushed stone jelly   </t>
    </r>
    <r>
      <rPr>
        <b/>
        <sz val="12"/>
        <rFont val="Helv"/>
      </rPr>
      <t xml:space="preserve"> (7730 Kg)</t>
    </r>
  </si>
  <si>
    <t>C.I.DOUBLE YEE JUNCTION WITH DOOR  75mmDIA</t>
  </si>
  <si>
    <t>COST OF ALL FLOOR(THE TERRA COTTA JALLY</t>
  </si>
  <si>
    <t xml:space="preserve"> 18" LONG</t>
  </si>
  <si>
    <r>
      <t xml:space="preserve">10-12mm HBG Machine crushed stone jelly   </t>
    </r>
    <r>
      <rPr>
        <b/>
        <sz val="12"/>
        <rFont val="Helv"/>
      </rPr>
      <t xml:space="preserve"> (5156 Kg)</t>
    </r>
  </si>
  <si>
    <t>QUALITY AND DESIGN SHALL BE GOT APPROVED</t>
  </si>
  <si>
    <r>
      <t xml:space="preserve">Sand   </t>
    </r>
    <r>
      <rPr>
        <b/>
        <sz val="12"/>
        <rFont val="Helv"/>
      </rPr>
      <t xml:space="preserve"> (7670 Kg)</t>
    </r>
  </si>
  <si>
    <t>C.I.DOUBLE YEE JUNCTION WITHOUT DOOR  100mmDIA</t>
  </si>
  <si>
    <t>BY THE DEPARTMENTAL OFFICERS</t>
  </si>
  <si>
    <t>SPOUT PIPE OF 50mm DIA</t>
  </si>
  <si>
    <t>C.I.DOUBLE YEE JUNCTION WITHOUT DOOR  75mmDIA</t>
  </si>
  <si>
    <t>LABOUR FOR FIXING INCLUDING</t>
  </si>
  <si>
    <t>Plasticiser /Super plasticiser @ 1% of cement</t>
  </si>
  <si>
    <t>C.I.DOUBLE YEE JUNCTION WITHOUT DOOR  50mmDIA</t>
  </si>
  <si>
    <t>COST OF TERRACOTTA JALLY OF50mm</t>
  </si>
  <si>
    <t>CLAMP ETC</t>
  </si>
  <si>
    <t>Mason II</t>
  </si>
  <si>
    <t>C.I. YEE JUNCTION WITH DOOR  100mmDIA</t>
  </si>
  <si>
    <t>LABOUR FOR FIXING JALLY</t>
  </si>
  <si>
    <t>Maz I</t>
  </si>
  <si>
    <t>C.I. YEE JUNCTION WITH DOOR  75mmDIA</t>
  </si>
  <si>
    <t>FOR PLASTERING &amp; REDOXIDE PUTTY</t>
  </si>
  <si>
    <t>TOTAL FOR  ONE NOS.</t>
  </si>
  <si>
    <t>Maz II</t>
  </si>
  <si>
    <t>C.I. YEE JUNCTION WITH  DOOR  50mmDIA</t>
  </si>
  <si>
    <t>Total for 10 cum</t>
  </si>
  <si>
    <t>C.I. YEE JUNCTION WITHOUT DOOR  100mmDIA</t>
  </si>
  <si>
    <t>for 1 cum</t>
  </si>
  <si>
    <t>C.I. YEE JUNCTION WITHOUT DOOR  75mmDIA</t>
  </si>
  <si>
    <t xml:space="preserve">           </t>
  </si>
  <si>
    <t>S.F OF A.C.SPOUT PIPE OF75 mm DIA</t>
  </si>
  <si>
    <t>Vibrating charges p-28 /103</t>
  </si>
  <si>
    <t>C.I. YEE JUNCTION WITH OUT DOOR  50mmDIA</t>
  </si>
  <si>
    <t>Sub Total</t>
  </si>
  <si>
    <t>C.I. TEE JUNCTION WITH DOOR  100mmDIA</t>
  </si>
  <si>
    <t>Add for water charges &amp; other sundries (0.5 % of sub total</t>
  </si>
  <si>
    <t>C.I. TEE JUNCTION WITH DOOR  75mmDIA</t>
  </si>
  <si>
    <t>SPOUT PIPE OF 75mm DIA</t>
  </si>
  <si>
    <t xml:space="preserve">For RCC Door Frame </t>
  </si>
  <si>
    <t>C.I. TEE JUNCTION WITH  DOOR  50mmDIA</t>
  </si>
  <si>
    <t>C.I. TEE JUNCTION WITHOUT DOOR  100mmDIA</t>
  </si>
  <si>
    <t>C.I. TEE JUNCTION WITHOUT DOOR  75mmDIA</t>
  </si>
  <si>
    <t>16.3</t>
  </si>
  <si>
    <t>JALLY(NOT BELOW 110MM THICK) OF BEST</t>
  </si>
  <si>
    <t>C.I.SLOTTED COWL  100mmDIA</t>
  </si>
  <si>
    <t>C.I.SLOTTED COWL  75mmDIA</t>
  </si>
  <si>
    <t>C.I.SLOTTED COWL  50mmDIA</t>
  </si>
  <si>
    <t>S.F OF A.C.SPOUT PIPE OF100mm DIA</t>
  </si>
  <si>
    <t>C.I. GRATING 100mmDIA    M-0294</t>
  </si>
  <si>
    <t>C.I. GRATING 75mmDIA</t>
  </si>
  <si>
    <t>BY THE DEPARTMENTAL OFFICERS)</t>
  </si>
  <si>
    <t>G.I PIPE "A"CLASS 80mmDIA / 20mm dia G.I. Pipe class B</t>
  </si>
  <si>
    <t>p50 118/vi</t>
  </si>
  <si>
    <t>SPOUT PIPE OF 100mm DIA</t>
  </si>
  <si>
    <t>G.I. 80MM DIA BEND TWAD 2020-21</t>
  </si>
  <si>
    <t>COST OF TERRACOTTA JALLY OF 110mm</t>
  </si>
  <si>
    <t>G.I. 80MM DIA CUPPLER</t>
  </si>
  <si>
    <t>G.I. 80MM DIA UNION</t>
  </si>
  <si>
    <t>G.I. 80MM DIA PLUG</t>
  </si>
  <si>
    <t>G.I. 80MM DIA TEE</t>
  </si>
  <si>
    <t>Solid panel PVC door with frame (Rajeshree) p-43   M-0391</t>
  </si>
  <si>
    <t>Standardised concrete Mix M20 Grade Concrete</t>
  </si>
  <si>
    <t>G.I. 80MM DIA HEX.NIPPLE</t>
  </si>
  <si>
    <t>G.I. 80MM X50mm REDUCER</t>
  </si>
  <si>
    <t>S.F OF G.I OUT LET PIPE OF 25mm DIA</t>
  </si>
  <si>
    <t>G.I. 80MM X65mm REDUCER</t>
  </si>
  <si>
    <t xml:space="preserve"> 30cm LONG</t>
  </si>
  <si>
    <t>G.I. 80MM X50mm REDUCER TEE</t>
  </si>
  <si>
    <t>G.I. 80MM X65mm REDUCER TEE</t>
  </si>
  <si>
    <t xml:space="preserve"> PIPE COST 25mm DIA</t>
  </si>
  <si>
    <t>Plasticiser /Super plasticiser @ .60% of cement (P57 item NO.198</t>
  </si>
  <si>
    <t>PLAIN GLASS</t>
  </si>
  <si>
    <t>P.V.C BEND</t>
  </si>
  <si>
    <t xml:space="preserve"> 15mm DIA</t>
  </si>
  <si>
    <t xml:space="preserve">PROVIDING FORM WORK AND CENTERING FOR </t>
  </si>
  <si>
    <t>PLAIN CONCRETE SURFACES FOR ALL R.C.C</t>
  </si>
  <si>
    <t>WORKS(beams &amp; lintels)</t>
  </si>
  <si>
    <t>COUNTRY WOOD ITEM</t>
  </si>
  <si>
    <t>=================</t>
  </si>
  <si>
    <t>P.V.C. COUPLER</t>
  </si>
  <si>
    <t>C.W BOARDING 40mm T.K</t>
  </si>
  <si>
    <t>DOOR OF SIZE 100X210Cm</t>
  </si>
  <si>
    <t>C.W JOIST(AVE.SIZE 100X6.5mm</t>
  </si>
  <si>
    <t>100mm DIA</t>
  </si>
  <si>
    <t>@90cm C/C)</t>
  </si>
  <si>
    <t>C.W.SCANTLING upto 4m long (Padak)</t>
  </si>
  <si>
    <t>P.V.C ELBOW</t>
  </si>
  <si>
    <t>CASURNA POST 10TO 13cmDIA</t>
  </si>
  <si>
    <t>MARINE PLYWOOD 12mm THICK</t>
  </si>
  <si>
    <t>AT75cm CENTERS</t>
  </si>
  <si>
    <t xml:space="preserve"> 6"X1/2" I.O.TOWER BOLT</t>
  </si>
  <si>
    <t>PLYWOOD FLUSH DOOR 30mm T.K FOR ALL SIZE</t>
  </si>
  <si>
    <t>TOTAL FOR   5 Operations for 10 sqm</t>
  </si>
  <si>
    <t xml:space="preserve"> 5" I.O.BUTT HINGS</t>
  </si>
  <si>
    <t>P.V.C.FLUSH D/F &amp; D/S 20mm T.K FOR 75X200cm</t>
  </si>
  <si>
    <t xml:space="preserve"> 10"X5/8" I.O ALDROP</t>
  </si>
  <si>
    <t>SINTEX WATER TANK OF 750 LIT    M-0540</t>
  </si>
  <si>
    <t>COST  OF ONE OPERATION</t>
  </si>
  <si>
    <t>STEEL DOOR FRAMEOF SIZE 100X200</t>
  </si>
  <si>
    <t>CARPENTER I</t>
  </si>
  <si>
    <t>STEEL DOOR FRAMEOF SIZE 90X200</t>
  </si>
  <si>
    <t>STEEL DOOR FRAMEOF SIZE 75X200</t>
  </si>
  <si>
    <t>SUNDRIES FOR WEDGES,NAILS,COIR</t>
  </si>
  <si>
    <t>TOTAL FOR 1.815 SQM</t>
  </si>
  <si>
    <t>Standardised concrete Mix M25 Grade Concrete</t>
  </si>
  <si>
    <t>STEEL WINDOW FRAME&amp;SHUTTER WITHOUT GLASS</t>
  </si>
  <si>
    <t xml:space="preserve"> "   OF SIZE 132.5X120cm</t>
  </si>
  <si>
    <t xml:space="preserve"> "   OF SIZE 90X120cm</t>
  </si>
  <si>
    <t xml:space="preserve"> "   OF SIZE 47.5X120cm</t>
  </si>
  <si>
    <t>DOOR OF SIZE 90X200Cm</t>
  </si>
  <si>
    <t xml:space="preserve"> "   OF SIZE 90X105cm</t>
  </si>
  <si>
    <t xml:space="preserve"> "   OF SIZE 47.5X105cm</t>
  </si>
  <si>
    <t>C.W.SCANTLING(PLLLI,KARIMURUTH)</t>
  </si>
  <si>
    <t xml:space="preserve"> "   OF SIZE 90X90cm</t>
  </si>
  <si>
    <t>Centering for soffits for R.C.C.Slabs or</t>
  </si>
  <si>
    <t xml:space="preserve"> "   OF SIZE 47.5X90cm</t>
  </si>
  <si>
    <t>plane surfaces including shuttering up to 3m</t>
  </si>
  <si>
    <t>STEEL VENTILATTER FRAME&amp;SHUTTER WITHOUT GLASS</t>
  </si>
  <si>
    <t>height using M.S sheets of size 90mmx60mm and</t>
  </si>
  <si>
    <t xml:space="preserve"> "   OF SIZE 75X47.5cm</t>
  </si>
  <si>
    <t>HP 10G stiffened with welded M.S angle of</t>
  </si>
  <si>
    <t xml:space="preserve"> "   OF SIZE 90X47.5cm</t>
  </si>
  <si>
    <t>size 25x25x3mm laid over silver oak (C.W)</t>
  </si>
  <si>
    <t>joist 10cmx6.5cm spaced at75cm c/c complying</t>
  </si>
  <si>
    <t>P.V.C REDUCER ELBOW</t>
  </si>
  <si>
    <t>with standard specification</t>
  </si>
  <si>
    <t xml:space="preserve"> 50X25MM</t>
  </si>
  <si>
    <t xml:space="preserve"> 50X40MM    M-0924</t>
  </si>
  <si>
    <t>Kg.</t>
  </si>
  <si>
    <t>Cost of M.S sheet of size</t>
  </si>
  <si>
    <t>TOTAL FOR 1.6191 SQM</t>
  </si>
  <si>
    <t>PORCELINE WHITE GLASED SOAP DISH 200X100mm</t>
  </si>
  <si>
    <t>90x60cm of 10 gauge</t>
  </si>
  <si>
    <t>PORCEINE WASH BASIN OVAL SHAPE 480X400mm</t>
  </si>
  <si>
    <t>Cost of M.S angle of size</t>
  </si>
  <si>
    <t>END CAP SULATED P.V.C. MANHOLE STEP</t>
  </si>
  <si>
    <t xml:space="preserve"> 25x25x3mm</t>
  </si>
  <si>
    <t>P.V.C. DOUBLE TEE WITH DOOR 75mm DIA</t>
  </si>
  <si>
    <t>Add for cutting, bending,</t>
  </si>
  <si>
    <t>P.V.C. DOUBLE TEE WITH DOOR 100mm DIA</t>
  </si>
  <si>
    <t>welding charges etc.</t>
  </si>
  <si>
    <t>DOOR OF SIZE 75X200Cm</t>
  </si>
  <si>
    <t>P.V.C. DOUBLE TEE WITH OUT DOOR 75mm DIA</t>
  </si>
  <si>
    <t>Pipe</t>
  </si>
  <si>
    <t>P.V.C. DOUBLE TEE WITH OUT DOOR 100mm DIA</t>
  </si>
  <si>
    <t>POISHED CUDDAPAH SLAB 20mm/40 mm THICK WELL POISHED  p-17    M-0132, M-0131</t>
  </si>
  <si>
    <t>Cost of one operation</t>
  </si>
  <si>
    <t>CUDDAPAH SLAB SINK 60X45cm,20mmT.K p -50  M-0549</t>
  </si>
  <si>
    <t>CUDDAPAH SLAB SINK 45X45cm,20mmT.K</t>
  </si>
  <si>
    <t>Adopting 40 uses for steel sheet and</t>
  </si>
  <si>
    <t>GRANITE SLAB 20mm THICK OF BEST QUALITY Synthetic Grey, p-36  M-0240</t>
  </si>
  <si>
    <t>angles and 5 uses for C.W.joist and</t>
  </si>
  <si>
    <t xml:space="preserve"> 4" I.O.BUTT HINGS</t>
  </si>
  <si>
    <t>ELECTRICAL ARRANGEMENT:- BOARD APPROVED RATES</t>
  </si>
  <si>
    <t>casurina props</t>
  </si>
  <si>
    <t xml:space="preserve"> 6"X1/2" I.O ALDROP</t>
  </si>
  <si>
    <t>WRING WITH 1.5SQMM COPPER WIRE  CONCELLED</t>
  </si>
  <si>
    <t>TYPE FOR LIGHT POINT WITH CEILING ROSE</t>
  </si>
  <si>
    <t>POINT</t>
  </si>
  <si>
    <t>Cost of M.S Sheet and Angles</t>
  </si>
  <si>
    <t xml:space="preserve"> 1Use</t>
  </si>
  <si>
    <t>---DO---FOR LIGHT POINT WITH BATTERN HODER</t>
  </si>
  <si>
    <t>for one operation</t>
  </si>
  <si>
    <t xml:space="preserve"> ---DO---FOR FAN POINT </t>
  </si>
  <si>
    <t>Cost of silver oak scantling</t>
  </si>
  <si>
    <t>TOTAL FOR 1.3247 SQM</t>
  </si>
  <si>
    <t xml:space="preserve"> --DO--FOR 5AMP 5PIN PLUG AT SWITCH BOARD</t>
  </si>
  <si>
    <t>Casurnia props 10 to 13cm dia</t>
  </si>
  <si>
    <t>Standardised concrete Mix M35 Grade Concrete</t>
  </si>
  <si>
    <t xml:space="preserve"> --DO--FOR 5AMP 5PIN PLUG AT CONVENTENT PLACE</t>
  </si>
  <si>
    <t>Add for Silver oak planks</t>
  </si>
  <si>
    <t xml:space="preserve"> ---DO---FOR STAIR CASE LIGHT POINT </t>
  </si>
  <si>
    <t>Carpenter Ist</t>
  </si>
  <si>
    <t>S/F OF BULKHEAD FITTING SUITABLE FOR 100/60W p114 i25</t>
  </si>
  <si>
    <t>549A</t>
  </si>
  <si>
    <t>CUDDAPAH SLAB SINK 60X60cm,20mmT.K p -50   M-0550</t>
  </si>
  <si>
    <t>Fitter IInd</t>
  </si>
  <si>
    <t>FLUSH SHUTTER P.V.C. 30mm THICK</t>
  </si>
  <si>
    <t>RUN OF MAINS 2-1.5 SQMM COPPER CONCELLED TYPE</t>
  </si>
  <si>
    <t>Add for nails, wedges,oils etc</t>
  </si>
  <si>
    <t xml:space="preserve"> SOLIDCORE OF BLACKBOARD</t>
  </si>
  <si>
    <t xml:space="preserve">S/F OF 16 AMP DPIC MAIN SWITCH </t>
  </si>
  <si>
    <t>Add for periodical cleaning,</t>
  </si>
  <si>
    <t>TYPE WITH COMMERCIAL TYPE</t>
  </si>
  <si>
    <t>EARTHING STATION ASPER IS3043</t>
  </si>
  <si>
    <t>painting etc  for M.S. Sheet</t>
  </si>
  <si>
    <t>LIPPING BOTH SIDES</t>
  </si>
  <si>
    <t>S/L OF 8SWG G.I WIRE FOREARTH TO MAIN</t>
  </si>
  <si>
    <t>SUPPLY OF 5-10AMP/10-20AMP ELE. ENERGY METER</t>
  </si>
  <si>
    <t>S/F OF CONSUMER UNIT OF 4NO OF 16AMP WAY</t>
  </si>
  <si>
    <t>FOR ALL SIZE OF DOORS/SQM</t>
  </si>
  <si>
    <t>RUN OF MAINS 4-4 SQMM COPPER CONCELLED TYPE</t>
  </si>
  <si>
    <t>LABOUR FOR FIXING CEIING FAN OF AL SWEEP</t>
  </si>
  <si>
    <t xml:space="preserve">S/F OF S.C TW BOARD,3-30AMPFUSE, EARTHPLATE </t>
  </si>
  <si>
    <t>PROVIDING FORMWORK AND</t>
  </si>
  <si>
    <t>STEEL DOOR FRAMES AND WINDOW FRAMES WITH SHUTTER</t>
  </si>
  <si>
    <t xml:space="preserve">RUN OF S.C WIRING WITH 2-4 SQMM COPPER ,7/20 GI </t>
  </si>
  <si>
    <t>CENTERING FOR PLAIN CONCRETE</t>
  </si>
  <si>
    <t>====</t>
  </si>
  <si>
    <t>S/F OF AERI FUSE UNIT 30AMP 500V AT E.B POLE</t>
  </si>
  <si>
    <t>SURFACES FOR SMALL QTY such as sunshade etc</t>
  </si>
  <si>
    <t>ITEM NO 1:-MANUFACTURING AND</t>
  </si>
  <si>
    <t>S/F OF 40mmDIA B-CASS G.I PIPE</t>
  </si>
  <si>
    <t>SUPPLYING OF STEEL DOOR frame OF</t>
  </si>
  <si>
    <t>S/F OF 40mmDIA B-CASS G.I COUPLER</t>
  </si>
  <si>
    <t>MS angles &amp; sheets for one</t>
  </si>
  <si>
    <t>ALL SIZES WITH OUT SHUTTER</t>
  </si>
  <si>
    <t>S/F OF 40mmDIA B-CASS G.I BEND</t>
  </si>
  <si>
    <t>use (1.2 times of operation</t>
  </si>
  <si>
    <t>MADE OF 100X50 18GAUGE CRCA</t>
  </si>
  <si>
    <t>S/F OF 40X40X6mmANGLE TO SUPPORT G.I.PIPE.</t>
  </si>
  <si>
    <t>for plain surface)</t>
  </si>
  <si>
    <t>STELL WITH ALL FOURNITURE AND</t>
  </si>
  <si>
    <t>S/F OF 15AMP 3PIN POWER PLUG WITH SWITCH</t>
  </si>
  <si>
    <t>C.W Joist for one use (1.2</t>
  </si>
  <si>
    <t>FITTINGS.</t>
  </si>
  <si>
    <t>RUN OF MAINS 2-2.5 SQMM COPPER CONCELLED TYPE</t>
  </si>
  <si>
    <t>times of operation for plain</t>
  </si>
  <si>
    <t>S/F OF SINGE PHASE ELCB OF CONCEAED TYPE</t>
  </si>
  <si>
    <t>surface)</t>
  </si>
  <si>
    <t>MARINE PLYWOOD OF 9mm THICK OF BWR GRADE L.R ( qtn)</t>
  </si>
  <si>
    <t>Manufacturing and supplying of</t>
  </si>
  <si>
    <t>m.s.angle window shutter  and</t>
  </si>
  <si>
    <t>m.s grills with out glass of</t>
  </si>
  <si>
    <t>all sizes of windows,ventilaters.</t>
  </si>
  <si>
    <t xml:space="preserve"> ---DO---FOR CALLING BELL POINT </t>
  </si>
  <si>
    <t>ADD FOR SILVER OKE PLANKS</t>
  </si>
  <si>
    <t>Supply and fixing of window</t>
  </si>
  <si>
    <t>Add for periodical cleaning</t>
  </si>
  <si>
    <t>glass panels of 4mm thick for</t>
  </si>
  <si>
    <t>and painting etc for M.S. Sheet</t>
  </si>
  <si>
    <t>steel window and ventilaters.</t>
  </si>
  <si>
    <t xml:space="preserve"> --DO--FOR 15AMP OWER PLUG</t>
  </si>
  <si>
    <t>Cost of 4mm window glass</t>
  </si>
  <si>
    <t>S/F OF BULK HEAD FITTING</t>
  </si>
  <si>
    <t>S/F OF DOUBLE POLE MAIN SWITCH</t>
  </si>
  <si>
    <t>nos.</t>
  </si>
  <si>
    <t>Carpenter I class</t>
  </si>
  <si>
    <t>S/F OF 6 WAY D.B</t>
  </si>
  <si>
    <t>Cost of binding meterials etc.,</t>
  </si>
  <si>
    <t>SUPPLY AND DELIVERY OF FAN 48"SWEEP</t>
  </si>
  <si>
    <t>SUPPLY AND DELIVERY OF FAN 42"SWEEP</t>
  </si>
  <si>
    <t>total for 0.4sqm</t>
  </si>
  <si>
    <t>S/F OF 8SWG G.I WIRE</t>
  </si>
  <si>
    <t>SURFACES FOR PLINTH BEAM ETC.</t>
  </si>
  <si>
    <t>Design Mix M30 Grade Concrete (CER 255/2012-13)</t>
  </si>
  <si>
    <t>RUN OFF MAIN WITH 2NO OF 1.50sq.mm WIRE</t>
  </si>
  <si>
    <t>Rate for one sqm</t>
  </si>
  <si>
    <t>20mm HBG</t>
  </si>
  <si>
    <t>EARTHING STATION AS PER ISI</t>
  </si>
  <si>
    <t>HALF THE RATE  OF F.W USING C.W.PLANKS</t>
  </si>
  <si>
    <t>10mm HBG</t>
  </si>
  <si>
    <t>S/F OF 1 NO OF 30 AMP FUSE UNIT.</t>
  </si>
  <si>
    <t>FOR LINTEL &amp; BEAMS</t>
  </si>
  <si>
    <t>S/F OF 375mmX300mmX20mmT.W.PLANK FOR S.C.</t>
  </si>
  <si>
    <t>R.C.C 1:1.5:3 USING 20mmHBG</t>
  </si>
  <si>
    <t>S/F OF METRE CUPBOARD</t>
  </si>
  <si>
    <t>S/F OF STREET LIGHTS.</t>
  </si>
  <si>
    <r>
      <t xml:space="preserve">PROVIDING ANTI-TERMITE TREATMENT </t>
    </r>
    <r>
      <rPr>
        <b/>
        <sz val="12"/>
        <color indexed="13"/>
        <rFont val="Helv"/>
      </rPr>
      <t>Say 34</t>
    </r>
  </si>
  <si>
    <t>PROVIDING ELCB WITH MCB IN MS BOX</t>
  </si>
  <si>
    <t xml:space="preserve"> 20mmH.B.JELLY</t>
  </si>
  <si>
    <t>Vibrating charges</t>
  </si>
  <si>
    <t>Flat back urinal WITH ALL ACCESSORIES (white)p-50    M-0553</t>
  </si>
  <si>
    <t>Admixture</t>
  </si>
  <si>
    <t>WIRE MAN GR-I p-11  L-0013</t>
  </si>
  <si>
    <t>Batching plant</t>
  </si>
  <si>
    <t>Electrical HELPERp-15 L-0097</t>
  </si>
  <si>
    <t>STACKING GHARGES HW DATA 16-17</t>
  </si>
  <si>
    <t>CUTTING CHARGE OF PVC pipe32mm p-32 it-129</t>
  </si>
  <si>
    <t>Design Mix M25 Grade Concrete (CER 255/2012-13)</t>
  </si>
  <si>
    <t>THREADING CHARGES FOR PVC 32mm</t>
  </si>
  <si>
    <t xml:space="preserve">by pasting </t>
  </si>
  <si>
    <t>R.C.C DOOR FRAME</t>
  </si>
  <si>
    <t>21.1</t>
  </si>
  <si>
    <t>SUPPLYING AND FIXING MONOLITHIC RCC DOOR</t>
  </si>
  <si>
    <t>FRAME OF SIZEM 100MMX75MM WITH ONE EDGE</t>
  </si>
  <si>
    <t>GROOVE OF SIZE 30MMX20MM IN RCC(1:1.5:3)USING</t>
  </si>
  <si>
    <t>20MM HBS JELLY INCLUDING COST OF STEEL AND</t>
  </si>
  <si>
    <t>FABRICATION OF REINFORCEMENT WITH -6MM M.S</t>
  </si>
  <si>
    <t>ROD AROUND AND 3MM STEEL STIRRUP AT 30CM C/C</t>
  </si>
  <si>
    <t>INCLUDING FIXING OF 3NOS OF IRON BRACKET OF</t>
  </si>
  <si>
    <t>SIZE 100MMX100MMX5MM, 6NOS OF HOLDFAST</t>
  </si>
  <si>
    <t>CHECKNUTS AND ALUMINIUM SLEEVES AND 2 NOS OF</t>
  </si>
  <si>
    <t xml:space="preserve">RCC door </t>
  </si>
  <si>
    <t>I.O.TOWER BOLT RECEIVER ALL AS PER DRAWING</t>
  </si>
  <si>
    <t>1200MMX2100MM SIZE OF DOOR FRAME</t>
  </si>
  <si>
    <t>INCLUDING MOULDING INSTEEL MOULD PRECASTING</t>
  </si>
  <si>
    <t>WITH SMOOTH SURFACE AND FINE EDGES, CURING,</t>
  </si>
  <si>
    <t>R.C.C.IN C.C 1:1.5:3</t>
  </si>
  <si>
    <t>TRANSPORTING ETC., ALL COMPLETE, AS DIRECTED</t>
  </si>
  <si>
    <t>FAB OF M.S STEEL</t>
  </si>
  <si>
    <t>BY DEPT.OFFICERS.</t>
  </si>
  <si>
    <t>HANGER BRACKET</t>
  </si>
  <si>
    <t>ALU.SLEEVES</t>
  </si>
  <si>
    <t>TOWER BOLT RECEIVER</t>
  </si>
  <si>
    <t>1000MMX2100MM SIZE OF DOOR FRAME</t>
  </si>
  <si>
    <t>TAILNUT FOR BOLT</t>
  </si>
  <si>
    <t>1000MMX2400MM SIZE OF DOOR FRAME</t>
  </si>
  <si>
    <t>-------------------------------</t>
  </si>
  <si>
    <t>MASON Ist</t>
  </si>
  <si>
    <t>R.C.C.IN (M 20)</t>
  </si>
  <si>
    <t>MAZDOOR Ist</t>
  </si>
  <si>
    <t>MOULDING CHARGES</t>
  </si>
  <si>
    <t>HANDLING CHARGES MAZDOOR-II</t>
  </si>
  <si>
    <t>ADD FOR OIL,CONVEYANCE ETC.,</t>
  </si>
  <si>
    <t>TOTAL FOR 1 NO</t>
  </si>
  <si>
    <t>900MMX2100MM SIZE OF DOOR FRAME</t>
  </si>
  <si>
    <t>1500MMX2100MM SIZE OF DOOR FRAME</t>
  </si>
  <si>
    <r>
      <t xml:space="preserve">Satndardised cement Concrtet </t>
    </r>
    <r>
      <rPr>
        <b/>
        <sz val="12"/>
        <rFont val="Helv"/>
      </rPr>
      <t>M30 grade 1:1.5:3 without vibrating charges</t>
    </r>
  </si>
  <si>
    <t>21.2</t>
  </si>
  <si>
    <t>SUPPLING  AND FIXING OF BEST T.W.WROUGHT AND</t>
  </si>
  <si>
    <t>PUTUP FOR DOORS, WINDOWS AND VENTILATERS ETC</t>
  </si>
  <si>
    <t>LABOUR CHARGES:-</t>
  </si>
  <si>
    <t>CARPENTER-I</t>
  </si>
  <si>
    <t>700MMX2100MM SIZE OF DOOR FRAME</t>
  </si>
  <si>
    <t>MAZDOOR-I</t>
  </si>
  <si>
    <t>1500MMX2400MM SIZE OF DOOR FRAME</t>
  </si>
  <si>
    <t>TOTAL FOR .0283 CUM</t>
  </si>
  <si>
    <t>TOTAL FOR ONE CUM</t>
  </si>
  <si>
    <t>S&amp;F P.V.C. 20mmTHICK DOOR SHUTTER WITH DOOR FRAME OF SIZE 40mmX57mm FOR OUTER FRAME AND THE SINGLE LEAF SHUTTER MADEOF PLASTIC SHEET 20mmX200mm FOR SHUTTER PANNEL AND SHUTTER FRAME OF PLASTIC 24mmX59mm WITH 8 NOS OF 3 HINGS ALU,2N0S OFAL. HANDLES</t>
  </si>
  <si>
    <t>FOR DOORS OF ALL SIZE</t>
  </si>
  <si>
    <t>…</t>
  </si>
  <si>
    <t>FOR DOORS OF ALL SIZE (Qtn. For syntex.) Hollow     M-0396</t>
  </si>
  <si>
    <t>TEAK WOODS</t>
  </si>
  <si>
    <t xml:space="preserve">========= </t>
  </si>
  <si>
    <t>TEAK WOOD WROUGHT &amp; PUT UP</t>
  </si>
  <si>
    <t>T.W.SCANTLING 2M-3M LONG</t>
  </si>
  <si>
    <t>LABOUR CHARGE FOR WROUGHT &amp; PUTUP</t>
  </si>
  <si>
    <t>RATE FOR T.W.SCANDLING 2M-3M LONG</t>
  </si>
  <si>
    <t>T.W.SCANTLING UP TO 2M LONG</t>
  </si>
  <si>
    <t>22.1 (a)</t>
  </si>
  <si>
    <t>COUNTRY WOOD SINGLY LEAF FULLY PANELLED</t>
  </si>
  <si>
    <t>DOOR SHUTTER FOR DOOR OF SIZE</t>
  </si>
  <si>
    <t>1000 X 2100MM</t>
  </si>
  <si>
    <t>RATE FOR T.W.SCANTLING 2M LONG</t>
  </si>
  <si>
    <t>SHUTTER SIZE-.9X2.025   =1.823M2</t>
  </si>
  <si>
    <t>STYLES(OVER 2M) -1X2X2.025X0.075X0.0375=0.0114</t>
  </si>
  <si>
    <t>T.W.SINGLY LEAF FULLY PANELLED</t>
  </si>
  <si>
    <t>RAILS(BELOW 2M)- 1X4X0.9X0.15X0.0375=      0.0203</t>
  </si>
  <si>
    <t xml:space="preserve">               - 1X2X0.70625X0.075X0.0375 =0.0040</t>
  </si>
  <si>
    <t>PLANKS      -1X4X0.58125X0.3375X0.01875=</t>
  </si>
  <si>
    <t xml:space="preserve">             -1X1X0.725X0.3375X0.01875=</t>
  </si>
  <si>
    <t xml:space="preserve">C.W SCANTLING UPTO 4M LONG </t>
  </si>
  <si>
    <t xml:space="preserve">C.W SCANTLING  UPTO 4M LONG </t>
  </si>
  <si>
    <t>C.W PLANKS 25mm thick, 30cm WIDE</t>
  </si>
  <si>
    <t>LABOUR FOR WROUGHT&amp;PUTUP</t>
  </si>
  <si>
    <t>DOOR HANDLE WITH CP SCREWS</t>
  </si>
  <si>
    <t xml:space="preserve">  5"BUTT HINGS</t>
  </si>
  <si>
    <t>T.W SCANTLING  ABOVE 2M LONG</t>
  </si>
  <si>
    <t xml:space="preserve"> 6"X1/2"TOWER BOLT</t>
  </si>
  <si>
    <t>T.W SCANTLING  BELOW 2M LONG</t>
  </si>
  <si>
    <t>10"X5/8"ALDROP</t>
  </si>
  <si>
    <t>T.W PLANKS OVER 15TO 30cm</t>
  </si>
  <si>
    <t>NYLONBUSH</t>
  </si>
  <si>
    <t>WIDE&amp;12TO15mm T.K</t>
  </si>
  <si>
    <t>DOOR HANDLE WITH CP SCREWS 6" (p-41)</t>
  </si>
  <si>
    <t>TOTAL FOR 1.8230SQM</t>
  </si>
  <si>
    <t xml:space="preserve">  5"BUTT HINGS (p-40)</t>
  </si>
  <si>
    <t xml:space="preserve"> 6"X1/2"TOWER BOLT (p-40)</t>
  </si>
  <si>
    <t>10"X5/8"ALDROP (p-41)</t>
  </si>
  <si>
    <t>DOOR STOPPER (p-41)</t>
  </si>
  <si>
    <t>Nos.</t>
  </si>
  <si>
    <t>Brass screw    M-0634</t>
  </si>
  <si>
    <t>No,</t>
  </si>
  <si>
    <t>22.1 (b)</t>
  </si>
  <si>
    <t>900 X 2100MM</t>
  </si>
  <si>
    <t>SHUTTER SIZE0-.8X2.05   =1.64M2</t>
  </si>
  <si>
    <t>STYLES(OVER 2M) -1X2X2.05X0.075X0.0375=0.0115</t>
  </si>
  <si>
    <t>RAILS(BELOW 2M)- 1X4X0.8X0.15X0.0375=      0.018</t>
  </si>
  <si>
    <t xml:space="preserve">               - 1X2X0.73125X0.075X0.0375 =0.0040</t>
  </si>
  <si>
    <t>PLANKS      -1X4X0.60625X0.2875X0.01875=</t>
  </si>
  <si>
    <t xml:space="preserve">             -1X1X0.625X0.2875X0.01875=</t>
  </si>
  <si>
    <t>BWR   single leaf</t>
  </si>
  <si>
    <t>(a)</t>
  </si>
  <si>
    <t>DOOR OF SIZE 750X2100 MM</t>
  </si>
  <si>
    <t xml:space="preserve">                                                                                                                                                                                                                                                                                                                                                                                                                                                                                                                                                                                                                                                                                                                                                                                                                                                                                                                                                                                                                                                                                                                                                                                                                                                                                                                                                                                                                                                                                                                                                                                                                                                                                                                                                                                                                                                                                                                                                                                                                                                                                                                                                                                       </t>
  </si>
  <si>
    <t>DOOR HANDLE WITH CP SCREWS 6"</t>
  </si>
  <si>
    <t xml:space="preserve"> 5" ALU BUTT HINGES</t>
  </si>
  <si>
    <t>ALU.HANDLE WITH C.P.SCREWS 6"</t>
  </si>
  <si>
    <t>brass screws</t>
  </si>
  <si>
    <t>TOTAL FOR 1.6400SQM</t>
  </si>
  <si>
    <t xml:space="preserve">                                                                                                                                                                                                               </t>
  </si>
  <si>
    <t>22.1 (c)</t>
  </si>
  <si>
    <t>700 X 2100MM</t>
  </si>
  <si>
    <t>SHUTTER SIZE0-.6X2.025   =1.215M2</t>
  </si>
  <si>
    <t>RAILS(BELOW 2M)- 1X2X0.6X0.15X0.0375=      0.0068</t>
  </si>
  <si>
    <t xml:space="preserve">               - 1X3X0.6X0.075X0.0375 =0.0051</t>
  </si>
  <si>
    <t>PLANKS      -1X5X0.425X0.295X0.01875=</t>
  </si>
  <si>
    <t>23.1.</t>
  </si>
  <si>
    <t>S/F OF BWR PLYWOOD DOOR</t>
  </si>
  <si>
    <t>SHUTTER WITH VERTICALS AND</t>
  </si>
  <si>
    <t>TOTAL FOR 1.215SQM</t>
  </si>
  <si>
    <t>TOP RAIL AND BOTTOM RAILS</t>
  </si>
  <si>
    <t>WITH 9mm THICK MARINE GRADE</t>
  </si>
  <si>
    <t>BWR  PLYWOOD WITH</t>
  </si>
  <si>
    <t>I.O FITTINGS AS PER SCHEDULE E</t>
  </si>
  <si>
    <t>Hollow type PVC door with frame</t>
  </si>
  <si>
    <t>STYLES(OVER 2M) -1X2X2.05X0.075X0.0375=0.01153</t>
  </si>
  <si>
    <t>RAILS(BELOW 2M)- 1X3X0.8X0.15X0.0375=      0.0135</t>
  </si>
  <si>
    <t>PLANKS      -1X1X0.625X0.64=0.40</t>
  </si>
  <si>
    <t>PLANKS      -1X1X0.985X0.625=0.616</t>
  </si>
  <si>
    <t>1.016M2</t>
  </si>
  <si>
    <r>
      <t>S/F OF</t>
    </r>
    <r>
      <rPr>
        <b/>
        <sz val="12"/>
        <rFont val="Helv"/>
      </rPr>
      <t xml:space="preserve"> BWR PLYWOOD DOOR</t>
    </r>
  </si>
  <si>
    <t>DOOR OF SIZE 900 X2100 MM</t>
  </si>
  <si>
    <t>C.W.SCANTLING UPTO 4M length (PADAK)</t>
  </si>
  <si>
    <r>
      <t xml:space="preserve">I.O FITTINGS AS PER SCHEDULE E </t>
    </r>
    <r>
      <rPr>
        <b/>
        <sz val="12"/>
        <rFont val="Helv"/>
      </rPr>
      <t>1200 x 2100mm size</t>
    </r>
  </si>
  <si>
    <t>SHUTTER SIZE0-1.1X2.05   =2.255M2</t>
  </si>
  <si>
    <t>STYLES(OVER 2M) -2X2X2.05X0.075X0.0375=0.02306</t>
  </si>
  <si>
    <t>RAILS(BELOW 2M)- 2X3X0.55X0.15X0.0375=      0.01856</t>
  </si>
  <si>
    <t>ALU.HANDLE WITH C.P.SCREWS</t>
  </si>
  <si>
    <t>PLANKS      -1X2X0.625X0.425=0.53</t>
  </si>
  <si>
    <t>PLANKS      -1X2X1.025X0.425=0.87</t>
  </si>
  <si>
    <t>1.40M2</t>
  </si>
  <si>
    <t>TOTAL FOR 1.64 SQM</t>
  </si>
  <si>
    <t>DOOR OF SIZE 1200 X2100 MM</t>
  </si>
  <si>
    <t>DOOR OF SIZE 1000 X2100 MM</t>
  </si>
  <si>
    <t>Brass screw</t>
  </si>
  <si>
    <t>22.2(a)</t>
  </si>
  <si>
    <t>TW single leaf glazed window</t>
  </si>
  <si>
    <t xml:space="preserve">shutter  for frame of overall height 135cm </t>
  </si>
  <si>
    <t>TW scantling below 2m length</t>
  </si>
  <si>
    <t>frosted glass 4mmthick</t>
  </si>
  <si>
    <t>TOTAL FOR 2.255 SQM</t>
  </si>
  <si>
    <t xml:space="preserve"> 3" ALU BUTT HINGES</t>
  </si>
  <si>
    <t xml:space="preserve"> 2"X5/16" ALU. TOWERBOLT</t>
  </si>
  <si>
    <t>TOTAL FOR 1.845SQM</t>
  </si>
  <si>
    <t>NYLON BUSH with screws</t>
  </si>
  <si>
    <t>6" hooks and eyes</t>
  </si>
  <si>
    <t>TOTAL FOR .4766 SQM</t>
  </si>
  <si>
    <t>22.2(c)</t>
  </si>
  <si>
    <t xml:space="preserve">shutter  for frame of overall height 105cm </t>
  </si>
  <si>
    <t>1800 X 2100MM (Double leaves)</t>
  </si>
  <si>
    <t>WIDE&amp;12TO25mm T.K</t>
  </si>
  <si>
    <t>TOTAL FOR .362 SQM</t>
  </si>
  <si>
    <t>22.2(d)</t>
  </si>
  <si>
    <t>TW Swing type ventilater</t>
  </si>
  <si>
    <t>of size 90x 60cm</t>
  </si>
  <si>
    <t>pair</t>
  </si>
  <si>
    <t xml:space="preserve"> pivoted hinges with screw</t>
  </si>
  <si>
    <t>3" hooks and eyes</t>
  </si>
  <si>
    <t>8" hooks and eyes</t>
  </si>
  <si>
    <t>TW Panelled Door 1500 X 2100MM (Double leaves)</t>
  </si>
  <si>
    <t>TOTAL FOR .40 SQM</t>
  </si>
  <si>
    <t>T.W SCANTLING above 2m</t>
  </si>
  <si>
    <t>T.W SCANTLING below 2m</t>
  </si>
  <si>
    <t>T.W PLANKS (15.30 CM) (12 TO 25CM THICK)</t>
  </si>
  <si>
    <t>LABOUR CHARGES FOR WROUGHT AND PUT UP</t>
  </si>
  <si>
    <t>TW  double leaf shutter for ward robe / cup board</t>
  </si>
  <si>
    <t>DOOR HANDLE 6"</t>
  </si>
  <si>
    <t>5" BUTT HINGES</t>
  </si>
  <si>
    <t>6" X .6" TOWER BOLTS</t>
  </si>
  <si>
    <t>SHUTTER SIZE 1.2X2.1   =2.52M2</t>
  </si>
  <si>
    <t>10" X 5/8" ALDROPS</t>
  </si>
  <si>
    <t>TW scantling(OVER 2M) -1X2X2.1X0.075X0.0375=0.0118</t>
  </si>
  <si>
    <t>TW scantling(below 2M) -1X2X1.2X0.075X0.0375=0.00675</t>
  </si>
  <si>
    <t>Shutter styles(vertical) -1X4X1.95X0.075X0.0375=0.02194</t>
  </si>
  <si>
    <t>Shutter styles(Horizantal) -2X2X0.4X0.075X0.0375=0.0045</t>
  </si>
  <si>
    <t>============</t>
  </si>
  <si>
    <t>0000000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</si>
  <si>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Shutter(OSL Board)      -1X2X1.825X0.4=1.46m2</t>
  </si>
  <si>
    <t>RATE FOR 2.835 SQM</t>
  </si>
  <si>
    <t>Shutter area      -1X1X1.05X1.95=2.05 m2</t>
  </si>
  <si>
    <t>LABOUR FOR WROUGHT &amp;PUTUP</t>
  </si>
  <si>
    <t>BISON PANEL  8MMTK. OSL</t>
  </si>
  <si>
    <t>LABOUR CHARGE FOR SHUTTER</t>
  </si>
  <si>
    <t xml:space="preserve"> 3"X5/8"ALU.TOWER BOLT</t>
  </si>
  <si>
    <t xml:space="preserve"> ORNAMENTAL; HANDLE WITH SCREWS(100mm)    M-0362</t>
  </si>
  <si>
    <t>LOCKS &amp;KEY Qtn</t>
  </si>
  <si>
    <t>VARNISH TWO COATS</t>
  </si>
  <si>
    <t>SUNDRIES FOR NAILS,PLUGS ETC.</t>
  </si>
  <si>
    <t>TOTAL FOR 2.52 SQM</t>
  </si>
  <si>
    <t>Cement Concrete using design mix of grade M25 concrete for all RCC works</t>
  </si>
  <si>
    <t>10mmH.B.JELLY</t>
  </si>
  <si>
    <t>BEST VARNISHING ONE COAT OVER WOOD WORK</t>
  </si>
  <si>
    <t>Lit.</t>
  </si>
  <si>
    <t>BEST VARNISH</t>
  </si>
  <si>
    <t>LINSEED OIL BOILED</t>
  </si>
  <si>
    <t>PAINTER-I</t>
  </si>
  <si>
    <t>Mazdoor II</t>
  </si>
  <si>
    <t>TOTAL FOR TEN SQM</t>
  </si>
  <si>
    <t>In Foundation and Basement</t>
  </si>
  <si>
    <t>BEST VARNISHING TWO COAT OVER WOOD WORK</t>
  </si>
  <si>
    <t>BEST VARNISH p37/52</t>
  </si>
  <si>
    <t>Supplying and fixing of Magnetic Door Catches</t>
  </si>
  <si>
    <t>23.2</t>
  </si>
  <si>
    <r>
      <t xml:space="preserve">Supplying and fixing </t>
    </r>
    <r>
      <rPr>
        <b/>
        <sz val="12"/>
        <rFont val="Helv"/>
      </rPr>
      <t>4mm thick pin</t>
    </r>
  </si>
  <si>
    <t>headed glass panels 450x1350</t>
  </si>
  <si>
    <t>4mm glass frosted   M-0410</t>
  </si>
  <si>
    <t xml:space="preserve"> 12x12mm Alu.Beedings ( Qtn)</t>
  </si>
  <si>
    <t>Alu. bolts and nuts( Qtn)</t>
  </si>
  <si>
    <t>Labour for fixing glass paneles</t>
  </si>
  <si>
    <t xml:space="preserve"> (1.08SQM LABOUR =.25CARPENTER-II)</t>
  </si>
  <si>
    <t>Total for 0.5334 Sqm</t>
  </si>
  <si>
    <t>Rate for one Sqm.</t>
  </si>
  <si>
    <t>S &amp; F of Granite slab of size 4'x2', 18 to 20mm Thick For kitchen arrangements (jet black) for SP and ADSP</t>
  </si>
  <si>
    <t>S &amp; F of Granite tile of size 2'x 1', 10mm Thick For kitchen arrangements (jet black for SFO)</t>
  </si>
  <si>
    <r>
      <t>Supplying and fixing 5.5</t>
    </r>
    <r>
      <rPr>
        <b/>
        <sz val="12"/>
        <rFont val="Helv"/>
      </rPr>
      <t>mm thick pin</t>
    </r>
  </si>
  <si>
    <t>Granite slab ( Jet Black) p-36 it-29a</t>
  </si>
  <si>
    <t>Granite slab ( Jet Black) p-35 it-28 a</t>
  </si>
  <si>
    <t xml:space="preserve">5.5mm glass frosted </t>
  </si>
  <si>
    <t>Mazdoor Ist class</t>
  </si>
  <si>
    <t>Maz  Ist</t>
  </si>
  <si>
    <t>35mm x 12mm T.W.Beedings PWD SR</t>
  </si>
  <si>
    <t>Supplying and fixing M.S.Hold Qtn</t>
  </si>
  <si>
    <t>fast with screws</t>
  </si>
  <si>
    <t>WITH C.M(1:4)20mm THICK</t>
  </si>
  <si>
    <t>i8</t>
  </si>
  <si>
    <t xml:space="preserve">Granite Slab flooring in cm1:3,20mm thk </t>
  </si>
  <si>
    <t>Satheleri Grey</t>
  </si>
  <si>
    <t>Eurocon tile/ Designer tile flooring (as per CER-112/2007-08)</t>
  </si>
  <si>
    <t>COST OF granite FLOOR slab , (p-36/29c)
gray</t>
  </si>
  <si>
    <t>Old rate</t>
  </si>
  <si>
    <t>29.2</t>
  </si>
  <si>
    <t>MOSAIC FLOORING IN C.M(1:3)</t>
  </si>
  <si>
    <r>
      <t xml:space="preserve">COST OF Eurocon TILES </t>
    </r>
    <r>
      <rPr>
        <b/>
        <sz val="12"/>
        <rFont val="Helv"/>
      </rPr>
      <t>(pwd -p 35/17</t>
    </r>
  </si>
  <si>
    <t>USING GREY COLOUR TILES</t>
  </si>
  <si>
    <t>COST OF GRAY COLOUR  TILES</t>
  </si>
  <si>
    <t>25X25X2cm</t>
  </si>
  <si>
    <t>white/colour cement</t>
  </si>
  <si>
    <t>POLISHING</t>
  </si>
  <si>
    <t>HIRE CHARGES FOR POWER POLISH</t>
  </si>
  <si>
    <t>Vertified tile flooring (Colour)</t>
  </si>
  <si>
    <t>ELCT.CHARGES</t>
  </si>
  <si>
    <t>COST OF POLISHING STONE</t>
  </si>
  <si>
    <t>MOSAIC POLISHER FOR POLISHING</t>
  </si>
  <si>
    <t>COST OF   nano polish Vitified TILES (LSR New It-1) p-35 it-14</t>
  </si>
  <si>
    <t>Vertified  tile flooring  ( Ivory)</t>
  </si>
  <si>
    <t>MAZDOORII FOR WATER,WASHING ETC</t>
  </si>
  <si>
    <t>COST OF stain free nano polish Vertified TILES (p51, it-156)</t>
  </si>
  <si>
    <t>S &amp; F of Granite tile of size 2'x1', 10mm Thick For kitchen arrangements (Ruby red)</t>
  </si>
  <si>
    <t>COST OF granite FLOOR TILES, 
Ruby Red  p-36 28b</t>
  </si>
  <si>
    <r>
      <t xml:space="preserve">COST OF Vertified TILES  </t>
    </r>
    <r>
      <rPr>
        <b/>
        <sz val="16"/>
        <color indexed="13"/>
        <rFont val="Helv"/>
      </rPr>
      <t>qtn</t>
    </r>
  </si>
  <si>
    <t>710          ruby red</t>
  </si>
  <si>
    <t>Suppling and laying granite wall cladding</t>
  </si>
  <si>
    <t xml:space="preserve"> in C.M(1:2)  </t>
  </si>
  <si>
    <t>COST OF granite TILES</t>
  </si>
  <si>
    <r>
      <t xml:space="preserve">Suppling and laying </t>
    </r>
    <r>
      <rPr>
        <b/>
        <sz val="12"/>
        <rFont val="Helv"/>
      </rPr>
      <t>colour matt finish floor tiles</t>
    </r>
  </si>
  <si>
    <t>Granite slab laying in Entrance steps</t>
  </si>
  <si>
    <t>COST OF matt finish wall of 12x12
(Quotation rate)</t>
  </si>
  <si>
    <t>COST OF Granite slab Jet black</t>
  </si>
  <si>
    <r>
      <t xml:space="preserve">Suppling and laying </t>
    </r>
    <r>
      <rPr>
        <b/>
        <sz val="12"/>
        <rFont val="Helv"/>
      </rPr>
      <t>colour matt finish wall tiles</t>
    </r>
  </si>
  <si>
    <t>COST OF  TILES (Quotation rate)</t>
  </si>
  <si>
    <r>
      <t xml:space="preserve">PAINTING TWO COATS OVER NEW           </t>
    </r>
    <r>
      <rPr>
        <b/>
        <sz val="12"/>
        <rFont val="Helv"/>
      </rPr>
      <t>(as per CER-112/2007-08)</t>
    </r>
  </si>
  <si>
    <r>
      <t xml:space="preserve">S &amp; F of </t>
    </r>
    <r>
      <rPr>
        <b/>
        <sz val="12"/>
        <rFont val="Helv"/>
      </rPr>
      <t>Granite slab 18mm to 12mm Thick</t>
    </r>
    <r>
      <rPr>
        <sz val="11"/>
        <color theme="1"/>
        <rFont val="Calibri"/>
        <family val="2"/>
        <scheme val="minor"/>
      </rPr>
      <t xml:space="preserve"> For </t>
    </r>
    <r>
      <rPr>
        <b/>
        <sz val="12"/>
        <rFont val="Helv"/>
      </rPr>
      <t xml:space="preserve">kitchen arrangements </t>
    </r>
  </si>
  <si>
    <r>
      <t>WATER REPELLANT PAINT</t>
    </r>
    <r>
      <rPr>
        <sz val="11"/>
        <color theme="1"/>
        <rFont val="Calibri"/>
        <family val="2"/>
        <scheme val="minor"/>
      </rPr>
      <t xml:space="preserve"> OVER ONE PRIMER COAT</t>
    </r>
  </si>
  <si>
    <r>
      <t xml:space="preserve">Granite slab </t>
    </r>
    <r>
      <rPr>
        <b/>
        <sz val="12"/>
        <rFont val="Helv"/>
      </rPr>
      <t>(Ruby red) P-36 it-29 b</t>
    </r>
  </si>
  <si>
    <t>COST OF PAINT</t>
  </si>
  <si>
    <r>
      <t xml:space="preserve">OF 10mm&amp;BELOW </t>
    </r>
    <r>
      <rPr>
        <b/>
        <sz val="12"/>
        <rFont val="Helv"/>
      </rPr>
      <t>(ELLISPATTERN)</t>
    </r>
  </si>
  <si>
    <t>PRIMER (LMR item 112) p44</t>
  </si>
  <si>
    <t>Mason IIst</t>
  </si>
  <si>
    <t xml:space="preserve">PAINTER II </t>
  </si>
  <si>
    <t>Mazdoor IIst</t>
  </si>
  <si>
    <t>Pointing the joint</t>
  </si>
  <si>
    <t>Thorough scrapping p28 /108</t>
  </si>
  <si>
    <t>31.</t>
  </si>
  <si>
    <r>
      <t>WEATHERING COURSE</t>
    </r>
    <r>
      <rPr>
        <sz val="11"/>
        <color theme="1"/>
        <rFont val="Calibri"/>
        <family val="2"/>
        <scheme val="minor"/>
      </rPr>
      <t xml:space="preserve"> WITH BRICK</t>
    </r>
  </si>
  <si>
    <t>40.</t>
  </si>
  <si>
    <r>
      <t xml:space="preserve">PAINTING TWO COATS OVER NEW            </t>
    </r>
    <r>
      <rPr>
        <b/>
        <sz val="12"/>
        <rFont val="Helv"/>
      </rPr>
      <t xml:space="preserve"> (as per CER-112/2007-08)</t>
    </r>
  </si>
  <si>
    <t>JELLY LIME IN RATIO 32:121/2</t>
  </si>
  <si>
    <r>
      <t xml:space="preserve">S &amp; F of </t>
    </r>
    <r>
      <rPr>
        <b/>
        <sz val="12"/>
        <rFont val="Helv"/>
      </rPr>
      <t>Granite slab 18mm to 20mm Thick</t>
    </r>
    <r>
      <rPr>
        <sz val="11"/>
        <color theme="1"/>
        <rFont val="Calibri"/>
        <family val="2"/>
        <scheme val="minor"/>
      </rPr>
      <t xml:space="preserve"> For </t>
    </r>
    <r>
      <rPr>
        <b/>
        <sz val="12"/>
        <rFont val="Helv"/>
      </rPr>
      <t xml:space="preserve">kitchen arrangements </t>
    </r>
  </si>
  <si>
    <t>BY VOLUMN WELL WATERING</t>
  </si>
  <si>
    <t>Exterior Emulsion PAINT</t>
  </si>
  <si>
    <t>CONSOLIDATED WITH WOODEN</t>
  </si>
  <si>
    <r>
      <t xml:space="preserve">Granite slab </t>
    </r>
    <r>
      <rPr>
        <b/>
        <sz val="12"/>
        <rFont val="Helv"/>
      </rPr>
      <t>( Jet Black) P-36 it-29 a</t>
    </r>
  </si>
  <si>
    <t>BEATERS TO REQUIRED SLOP</t>
  </si>
  <si>
    <t>Plastic Emulsion PAINT  (LMR item 113) p-45 143( First qty</t>
  </si>
  <si>
    <t>Primer     (LMR item 142) p45</t>
  </si>
  <si>
    <t>BROKEN BRICKJELLY2OmmGAUGE</t>
  </si>
  <si>
    <t>COST OF LIME STONE</t>
  </si>
  <si>
    <t>Providing cooling tiles over terrace floor</t>
  </si>
  <si>
    <t>COST OF CERAMIC FLOOR TILES p-34 it-7 a</t>
  </si>
  <si>
    <t>6-10mm thick metal</t>
  </si>
  <si>
    <r>
      <t xml:space="preserve">Granite slab </t>
    </r>
    <r>
      <rPr>
        <b/>
        <sz val="12"/>
        <color indexed="10"/>
        <rFont val="Helv"/>
      </rPr>
      <t>(Ruby red) P-36 it-29b</t>
    </r>
  </si>
  <si>
    <t>POINTING WITH C.M.(1:3)FOR</t>
  </si>
  <si>
    <t>Pointing with CM 1:3</t>
  </si>
  <si>
    <t>PRESSED TILES</t>
  </si>
  <si>
    <t>CEMENT MORTER(1:3)</t>
  </si>
  <si>
    <t>ABC plus powder</t>
  </si>
  <si>
    <t>Colour cement p-36</t>
  </si>
  <si>
    <t>ABC Grout</t>
  </si>
  <si>
    <t>Base concrete 1:2:4 (6-10mm thick metal)</t>
  </si>
  <si>
    <t>FINISHING TOP OF ROOF WITH</t>
  </si>
  <si>
    <t>ONE  COURSE OF PRESSED TILES</t>
  </si>
  <si>
    <t>OVER A BED OF C.M(1:3),</t>
  </si>
  <si>
    <t>12mmTHICK MIXED WITH WATER PROOF COMPOUND</t>
  </si>
  <si>
    <t>Aluminium section</t>
  </si>
  <si>
    <t>AT 2% BY WEIGHT OF CEMENT</t>
  </si>
  <si>
    <t>Two legged scaffolding</t>
  </si>
  <si>
    <t>Aluminium window openable 1.35x1.05m  (Six leaves)</t>
  </si>
  <si>
    <t>PRESSED TILES 23X23X2cm P-15</t>
  </si>
  <si>
    <t>15cm dia casurina poles p -19 /115a.</t>
  </si>
  <si>
    <t>glass 4mm pin headed</t>
  </si>
  <si>
    <t>POINTING WITH C.M(1:3)</t>
  </si>
  <si>
    <t>Country wood planks p -18 /107</t>
  </si>
  <si>
    <t>rubber beeding</t>
  </si>
  <si>
    <t>WPC</t>
  </si>
  <si>
    <t>hinges</t>
  </si>
  <si>
    <t>Total for 10 times</t>
  </si>
  <si>
    <t>handle</t>
  </si>
  <si>
    <t>For one operation</t>
  </si>
  <si>
    <t>hinges it-77 a p-40</t>
  </si>
  <si>
    <t>stay</t>
  </si>
  <si>
    <t>stiffner</t>
  </si>
  <si>
    <t>holdfast</t>
  </si>
  <si>
    <t>labbour charges</t>
  </si>
  <si>
    <t>Coir, nails etc.</t>
  </si>
  <si>
    <t>sundries</t>
  </si>
  <si>
    <t>Total for 6 Rmt.</t>
  </si>
  <si>
    <t>Rate per each</t>
  </si>
  <si>
    <t>Total for1 Rmt.</t>
  </si>
  <si>
    <t>Aluminium window openable 1.05x1.35m  (Four leaves)</t>
  </si>
  <si>
    <t>Providing Granite slab flooring of</t>
  </si>
  <si>
    <t>Aluminium window openable 0.90x1.35m  (Four leaves)</t>
  </si>
  <si>
    <t>COST OF Granite  tile 20mm tk(Ruby red/raw silk) polished</t>
  </si>
  <si>
    <t>PRESSED TILES 23X23X18MM</t>
  </si>
  <si>
    <t>Aluminium window openable 0.50x1.35m (Two leaves)</t>
  </si>
  <si>
    <t>Aluminium window openable 1.80x1.35m (Eight leaves)</t>
  </si>
  <si>
    <t>33.</t>
  </si>
  <si>
    <t>PLASTERING C.M(1:5) 12mmTHICK</t>
  </si>
  <si>
    <t>Aluminium window openable 1.35x1.35m (Six leaves)</t>
  </si>
  <si>
    <t>Aluminium section (p-38/84a)</t>
  </si>
  <si>
    <t>rubber beeding P-45/81</t>
  </si>
  <si>
    <t>hinges 75mm x 30 mm P-45/94 b</t>
  </si>
  <si>
    <t>handle 150 mm long p-42 /80b</t>
  </si>
  <si>
    <t>stay 10"</t>
  </si>
  <si>
    <t>Aluminium window openable 0.90x0.60m (Two leaves)</t>
  </si>
  <si>
    <t>Aluminium window openable 1.80x2.20m (Eight leaves)</t>
  </si>
  <si>
    <t>34.</t>
  </si>
  <si>
    <t>PLASTERING C.M(1:4) 12mmTHICK</t>
  </si>
  <si>
    <t>Aluminium window openable 1.20x1.35m  (Four leaves)</t>
  </si>
  <si>
    <t>Aluminium section (p-40/61a)</t>
  </si>
  <si>
    <t>rubber beeding P-41/64</t>
  </si>
  <si>
    <t>hinges 75mm x 30 mm P-41/77 b</t>
  </si>
  <si>
    <t>35.</t>
  </si>
  <si>
    <t>PLASTERING C.M(1:3) 10mmTHICK</t>
  </si>
  <si>
    <t>Aluminium window openable 0.90x1.20m  (Four leaves)</t>
  </si>
  <si>
    <t>2014-15 RATE</t>
  </si>
  <si>
    <t>Aluminium window openable 0.45x1.35m (Two leaves)</t>
  </si>
  <si>
    <t>PLASTERING C.M(1:3)12mmTHICK</t>
  </si>
  <si>
    <t>MIXEDWITH WATER PROOF COMPOUND</t>
  </si>
  <si>
    <t xml:space="preserve">  2Kg/10 SQM</t>
  </si>
  <si>
    <t>Alum Vent 0.90x0.45m</t>
  </si>
  <si>
    <t>Data based on Police Acadamy</t>
  </si>
  <si>
    <t>Aluminium luvered Ventilator 0.60x0.60m</t>
  </si>
  <si>
    <t>WATER PROOF COMPOUNDS</t>
  </si>
  <si>
    <t>Rate / Sqm</t>
  </si>
  <si>
    <t>Aluminium window openable 1.80x1.65m (Eight leaves)</t>
  </si>
  <si>
    <t>Aluminium luvered Ventilator 0.75x0.60m</t>
  </si>
  <si>
    <t>36.</t>
  </si>
  <si>
    <t>Providing Band with C.M 1:5, 12mm thick</t>
  </si>
  <si>
    <t>and 75mmwide in all floors including</t>
  </si>
  <si>
    <t>Aluminium window openable 0.75x1.35m (Two leaves)</t>
  </si>
  <si>
    <t>finishing with neat cement scaffolding</t>
  </si>
  <si>
    <t>curing etc complete.</t>
  </si>
  <si>
    <t>Aluminium window openable 1.20x1.05m (Four leaves)</t>
  </si>
  <si>
    <t xml:space="preserve"> 150mm Thick Band</t>
  </si>
  <si>
    <t>Cement mortar1:5</t>
  </si>
  <si>
    <t>Masn Ist</t>
  </si>
  <si>
    <t>Aluminium window Fixed 0.90x2.10m</t>
  </si>
  <si>
    <t>Total for 6.77Rmt</t>
  </si>
  <si>
    <t>Rate per Rmt.</t>
  </si>
  <si>
    <t xml:space="preserve"> 75mm Thick Band</t>
  </si>
  <si>
    <t>Aluminium Ventilator 1.285x0.60m</t>
  </si>
  <si>
    <t>Aluminium Ventilator 0.90x0.60m</t>
  </si>
  <si>
    <t>50mm Thick Band</t>
  </si>
  <si>
    <t>Aluminium Ventilator 1.35x0.60m</t>
  </si>
  <si>
    <t>WHITE WASHING THREE COAT</t>
  </si>
  <si>
    <t>Aluminium window openable 1.50x1.35m  (Six leaves)</t>
  </si>
  <si>
    <t>SUNDRIES FOR BRUSH,BLUE,GUM ETC</t>
  </si>
  <si>
    <t>38.1.</t>
  </si>
  <si>
    <t>CEMENT PAINTING TWO COATS</t>
  </si>
  <si>
    <t>CEMENT PAINT</t>
  </si>
  <si>
    <t>38.2</t>
  </si>
  <si>
    <t>Matt paint Two coats</t>
  </si>
  <si>
    <t>SUPERCEM PAINTING TWO COATS</t>
  </si>
  <si>
    <t>Lts</t>
  </si>
  <si>
    <t>Matt paint</t>
  </si>
  <si>
    <t>Painter Ist</t>
  </si>
  <si>
    <t>Mazdoor IInd</t>
  </si>
  <si>
    <t>SUPERCEM</t>
  </si>
  <si>
    <t>Total for 10 Sqm</t>
  </si>
  <si>
    <t>PAINTING TWO COATS OVER new</t>
  </si>
  <si>
    <t>SYNTHETIC ENAMEL PAINT INCL.PRIMER COAT.</t>
  </si>
  <si>
    <t>Aluminium window openable 1.80 x 1.65 m =2.97m2</t>
  </si>
  <si>
    <t>READY MIXED PRIMER PAINT</t>
  </si>
  <si>
    <t>FRENCH WINDOW Reference Data Nagapattinam Ar Ph-XIX  CER 224-2012-2013</t>
  </si>
  <si>
    <t>Clip Beading</t>
  </si>
  <si>
    <t>Glass 4mm pin headed</t>
  </si>
  <si>
    <t>Rubber beeding</t>
  </si>
  <si>
    <t>sets</t>
  </si>
  <si>
    <t>Max hinges (10")</t>
  </si>
  <si>
    <t>Handle</t>
  </si>
  <si>
    <t>Holdfast</t>
  </si>
  <si>
    <t>Labbour charges</t>
  </si>
  <si>
    <t>RATE  FOR   EACH</t>
  </si>
  <si>
    <r>
      <t xml:space="preserve">FITTER  </t>
    </r>
    <r>
      <rPr>
        <b/>
        <sz val="13"/>
        <rFont val="Arial"/>
        <family val="2"/>
      </rPr>
      <t>Ist CLASS</t>
    </r>
  </si>
  <si>
    <r>
      <t xml:space="preserve">MAZDOOR  </t>
    </r>
    <r>
      <rPr>
        <b/>
        <sz val="13"/>
        <rFont val="Arial"/>
        <family val="2"/>
      </rPr>
      <t>Ist CLASS</t>
    </r>
  </si>
  <si>
    <r>
      <t>CARPENTER</t>
    </r>
    <r>
      <rPr>
        <b/>
        <sz val="13"/>
        <rFont val="Arial"/>
        <family val="2"/>
      </rPr>
      <t xml:space="preserve"> II CLASS</t>
    </r>
  </si>
  <si>
    <t xml:space="preserve"> LABOUR RATE </t>
  </si>
  <si>
    <t>ANTI-CORROSIVE TREATMENT FOR STEEL</t>
  </si>
  <si>
    <t>FABRICATION  (RCC WORKS)</t>
  </si>
  <si>
    <r>
      <t xml:space="preserve">ANTI-CORROSIVE(COROLOK-CP </t>
    </r>
    <r>
      <rPr>
        <sz val="12"/>
        <color indexed="13"/>
        <rFont val="Helv"/>
      </rPr>
      <t>( qtn)</t>
    </r>
  </si>
  <si>
    <t>/PROTEKLOL) CHEMICALS</t>
  </si>
  <si>
    <t>BRUSHES GLOVES ETC</t>
  </si>
  <si>
    <t>TRANSPORTING AND HANDLING</t>
  </si>
  <si>
    <t>PAINTERII</t>
  </si>
  <si>
    <t>SUNDRIES FOR BRUSHES,CLOTH ETC</t>
  </si>
  <si>
    <t>TOTTAL FOR 1 MT</t>
  </si>
  <si>
    <t>42.</t>
  </si>
  <si>
    <t>PLACING  M.S RODS/RTS ROD (upto 16mm dia)</t>
  </si>
  <si>
    <t>Cement for slurry</t>
  </si>
  <si>
    <t>Painter-II</t>
  </si>
  <si>
    <t>b. above 16mm dia</t>
  </si>
  <si>
    <t>R.T.S RODS/M.S.RODS ABOVE 16MM DIA</t>
  </si>
  <si>
    <t>COASTAL AREA</t>
  </si>
  <si>
    <t>BINDING WIRE insulated with PVC as per circular</t>
  </si>
  <si>
    <t>PLACING R.T.S RODS/MS RODS above 16mm dia(without cement  slurry)</t>
  </si>
  <si>
    <t>SUPPLY AND FIXING OF</t>
  </si>
  <si>
    <t>110mmDIA P.V.C RAIN WATER</t>
  </si>
  <si>
    <r>
      <t>DOWN FALL PIPE    T</t>
    </r>
    <r>
      <rPr>
        <b/>
        <sz val="12"/>
        <rFont val="Helv"/>
      </rPr>
      <t>ype- A  SWR pipe</t>
    </r>
  </si>
  <si>
    <t xml:space="preserve"> 110mmDIA P.V.C PIPE</t>
  </si>
  <si>
    <t xml:space="preserve"> 110mmDIA P.V.C PLAIN BEND</t>
  </si>
  <si>
    <t xml:space="preserve"> 110mmDIA P.V.C SHOE</t>
  </si>
  <si>
    <t>SPECIAL CLAMP</t>
  </si>
  <si>
    <t>C.I. GRATING 100mm DIA</t>
  </si>
  <si>
    <t>UPVC SPECIAL CLAMP as per qtn</t>
  </si>
  <si>
    <t>COST OF PLUG SCREWS , RUBBER</t>
  </si>
  <si>
    <t>LUBRICANT ETC</t>
  </si>
  <si>
    <t>45.</t>
  </si>
  <si>
    <t>STUCCO PLASTERING 12mm tk.</t>
  </si>
  <si>
    <t>CHIPSUSING 86.5KgCEMENT AND</t>
  </si>
  <si>
    <t>.15CUM FOR 10  SQM</t>
  </si>
  <si>
    <t>BLUE METEL 3-10mm HBG</t>
  </si>
  <si>
    <t>46.</t>
  </si>
  <si>
    <t>SUPPLYING AND FIXING OF 20MM</t>
  </si>
  <si>
    <t>DIA  ALUMINIUM HANGER ROD TO</t>
  </si>
  <si>
    <t>THE  REQUIRED LENGTH WITH</t>
  </si>
  <si>
    <t>ALUMINUM END BRACKETS INCLUDING</t>
  </si>
  <si>
    <t>COST OF SCREWS TW PLUGS AND</t>
  </si>
  <si>
    <t>LABOUR CHARGES FOR FIXING IN</t>
  </si>
  <si>
    <t>POSTION COMPLETE IN ALL RESPECT</t>
  </si>
  <si>
    <t>AND AS DIRECTED BY THE DEPT,</t>
  </si>
  <si>
    <t>OFFICERS</t>
  </si>
  <si>
    <t xml:space="preserve"> 2omm alu. hanger rod </t>
  </si>
  <si>
    <t>Set</t>
  </si>
  <si>
    <t>Alu.Bracket with screws</t>
  </si>
  <si>
    <t>Sundries FOR PLUGS ,NAILS AND LABOUR ETC.,</t>
  </si>
  <si>
    <t>Total for 1 Rmt</t>
  </si>
  <si>
    <t>47.</t>
  </si>
  <si>
    <r>
      <t xml:space="preserve">SUPPLY AND FIXING ALUMINUM </t>
    </r>
    <r>
      <rPr>
        <b/>
        <sz val="12"/>
        <rFont val="Helv"/>
      </rPr>
      <t xml:space="preserve">TOWEL RAIL </t>
    </r>
    <r>
      <rPr>
        <sz val="11"/>
        <color theme="1"/>
        <rFont val="Calibri"/>
        <family val="2"/>
        <scheme val="minor"/>
      </rPr>
      <t>OF</t>
    </r>
  </si>
  <si>
    <t>70CM LONG INCLUDING COST OF SCREW TW</t>
  </si>
  <si>
    <t>PLUGS AND LABOURS CHARGES FOR FIXING IN</t>
  </si>
  <si>
    <t>POSITION ETC COMPLETE IN ALL RESPECT AND</t>
  </si>
  <si>
    <t>AS DIRECTED BY THE DEPT OFFICERS.</t>
  </si>
  <si>
    <t>Alu.Towel rail 75Cm long</t>
  </si>
  <si>
    <t>Alu. Bolt With screws</t>
  </si>
  <si>
    <t>Labour for fixing and cost of</t>
  </si>
  <si>
    <t>T.W.Pluges</t>
  </si>
  <si>
    <t>48.</t>
  </si>
  <si>
    <r>
      <t xml:space="preserve">SUPPLING AND FIXING </t>
    </r>
    <r>
      <rPr>
        <b/>
        <sz val="12"/>
        <rFont val="Helv"/>
      </rPr>
      <t>COAT STAND</t>
    </r>
  </si>
  <si>
    <t>WITH FIVE PINS</t>
  </si>
  <si>
    <t>Cost of Coat stand</t>
  </si>
  <si>
    <t xml:space="preserve">Labour for fixing </t>
  </si>
  <si>
    <t>Total for 1 No.</t>
  </si>
  <si>
    <t>49.</t>
  </si>
  <si>
    <r>
      <t xml:space="preserve">SUPPLING AND FIXING OF </t>
    </r>
    <r>
      <rPr>
        <b/>
        <sz val="12"/>
        <rFont val="Helv"/>
      </rPr>
      <t>PICTURE HOOKS</t>
    </r>
  </si>
  <si>
    <t>Cost of Picture hooks</t>
  </si>
  <si>
    <t>Supplying and fixing of Precast slab</t>
  </si>
  <si>
    <t>50mm thick made in C.C 1:3:6 using 20mm</t>
  </si>
  <si>
    <t>Hbs jelly ,moulding the slab, laying,</t>
  </si>
  <si>
    <t>curing,transporting and placing in</t>
  </si>
  <si>
    <t>possition etc complete</t>
  </si>
  <si>
    <t xml:space="preserve"> 20mm HBS Jelly</t>
  </si>
  <si>
    <t>C.M. 1:3</t>
  </si>
  <si>
    <t>Mason IInd</t>
  </si>
  <si>
    <t>Total for 10  cum</t>
  </si>
  <si>
    <t>Rate per  cum</t>
  </si>
  <si>
    <t>PRECAST Plain cement concrete P.C.C</t>
  </si>
  <si>
    <r>
      <t xml:space="preserve">Slabs of 50mm thick </t>
    </r>
    <r>
      <rPr>
        <b/>
        <sz val="12"/>
        <rFont val="Helv"/>
      </rPr>
      <t>(precast slab 50mm Thick)</t>
    </r>
  </si>
  <si>
    <t>C.C. 1:3:6 using 20mm HBS</t>
  </si>
  <si>
    <t>Precasting Charges ( 6.28*120sqm=753.6/18=41.87each)</t>
  </si>
  <si>
    <t>Transporting</t>
  </si>
  <si>
    <t>Laying and Pointing</t>
  </si>
  <si>
    <t>Total for 6.28 Sqm</t>
  </si>
  <si>
    <t>Rate per Sqm</t>
  </si>
  <si>
    <t>PCC 1:3:6, for petty works</t>
  </si>
  <si>
    <t>moulding charges</t>
  </si>
  <si>
    <t>Total for .01 cum</t>
  </si>
  <si>
    <t>Rate per cum</t>
  </si>
  <si>
    <t>50.2</t>
  </si>
  <si>
    <r>
      <t>KERB STONE</t>
    </r>
    <r>
      <rPr>
        <sz val="11"/>
        <color theme="1"/>
        <rFont val="Calibri"/>
        <family val="2"/>
        <scheme val="minor"/>
      </rPr>
      <t xml:space="preserve"> 450x300x150mm</t>
    </r>
  </si>
  <si>
    <t xml:space="preserve"> 'including Transporting charges</t>
  </si>
  <si>
    <t>Total for 9 m</t>
  </si>
  <si>
    <t>Rate per M</t>
  </si>
  <si>
    <t>50.3</t>
  </si>
  <si>
    <t>PLANTING AVENUE TREES</t>
  </si>
  <si>
    <t>Earth work excavation</t>
  </si>
  <si>
    <t>Manure</t>
  </si>
  <si>
    <t>RED EARTH</t>
  </si>
  <si>
    <t>River sand</t>
  </si>
  <si>
    <t>mixing charges</t>
  </si>
  <si>
    <t>Avenue trees</t>
  </si>
  <si>
    <t>Casurina props 5 to 8cm dia p19 /   M-0176</t>
  </si>
  <si>
    <t>filling chares</t>
  </si>
  <si>
    <t>Maintenance charges</t>
  </si>
  <si>
    <t>Total for 20 no.</t>
  </si>
  <si>
    <t>Total for 1 no.</t>
  </si>
  <si>
    <t>50.4</t>
  </si>
  <si>
    <t xml:space="preserve"> AVENUE TREE GUARD</t>
  </si>
  <si>
    <t>CW reepers 50x25 cm    p-19   M-0167</t>
  </si>
  <si>
    <t>Casurina props 5 to 8cm dia</t>
  </si>
  <si>
    <t>Chicken mesh</t>
  </si>
  <si>
    <t>Carpenter II</t>
  </si>
  <si>
    <t>Fitter I</t>
  </si>
  <si>
    <t xml:space="preserve">sundries </t>
  </si>
  <si>
    <t>50.5</t>
  </si>
  <si>
    <t>PROVIDING SCHME NAME BOARD</t>
  </si>
  <si>
    <t>CC 1:5:10</t>
  </si>
  <si>
    <t>MS angle</t>
  </si>
  <si>
    <t>MS Stiffner</t>
  </si>
  <si>
    <t>MS Sheet</t>
  </si>
  <si>
    <t>Welding charges</t>
  </si>
  <si>
    <r>
      <t xml:space="preserve">Painting / lettering charges </t>
    </r>
    <r>
      <rPr>
        <sz val="12"/>
        <color indexed="13"/>
        <rFont val="Helv"/>
      </rPr>
      <t>qtn</t>
    </r>
  </si>
  <si>
    <t>Labour for erection of board</t>
  </si>
  <si>
    <t>Bolts &amp;nuts</t>
  </si>
  <si>
    <t>PROVIDING ANTI-TERMITE TREATMENT</t>
  </si>
  <si>
    <t>PVC WATER TANK OF 700 LITRE CAPACITY p50 /180</t>
  </si>
  <si>
    <t>PVC WATER TANK OF 200 LITRE CAPACITY</t>
  </si>
  <si>
    <t>JOINTING P.V.C PIPE AND SPECIALS</t>
  </si>
  <si>
    <t>c</t>
  </si>
  <si>
    <t xml:space="preserve"> 20mm Dia</t>
  </si>
  <si>
    <t>MASAN I</t>
  </si>
  <si>
    <t xml:space="preserve">COST OF CLAMPS PLUGS </t>
  </si>
  <si>
    <t>JOINTING MATERIALS ETC</t>
  </si>
  <si>
    <t xml:space="preserve"> 25mm</t>
  </si>
  <si>
    <t>32mm</t>
  </si>
  <si>
    <t>40mm</t>
  </si>
  <si>
    <t>CUTTING CHARGES p -26 Itm 91</t>
  </si>
  <si>
    <t>THREADING CHARGES p -26 Itm 91</t>
  </si>
  <si>
    <t xml:space="preserve"> 40MM DIA UPVC PIPE ABOVE G.L:-</t>
  </si>
  <si>
    <t xml:space="preserve">COST OF40MM DIA PVC PIPE </t>
  </si>
  <si>
    <t>50mm</t>
  </si>
  <si>
    <t xml:space="preserve">LAYING JOINTING INCLUDING </t>
  </si>
  <si>
    <t>ALIGNING (Twad-2022-23/268)</t>
  </si>
  <si>
    <t>CUTTING CHARGES p -26 Itm 93</t>
  </si>
  <si>
    <t>THREADING CHARGES p- 26 Itm 93</t>
  </si>
  <si>
    <t xml:space="preserve"> 50MM DIA PVC PIPE ABOVE G.L:-</t>
  </si>
  <si>
    <t xml:space="preserve">COST OF 50MM DIA PVC PIPE </t>
  </si>
  <si>
    <t>S &amp; F of GI Pipe 20mm dia for Hot Water line Pipe
Fully Consealed in Wall</t>
  </si>
  <si>
    <t xml:space="preserve">GI PIPE 20MM DIA </t>
  </si>
  <si>
    <t>LAYING,FIXING AND CONSELING GI PIPE</t>
  </si>
  <si>
    <t xml:space="preserve">COST OF50MM DIA PVC PIPE </t>
  </si>
  <si>
    <t>20MM DIA GI PIPE FOR HOT WATER LINE</t>
  </si>
  <si>
    <t xml:space="preserve">COST OF 20MM DIA GI PIPE </t>
  </si>
  <si>
    <t>ADD 20% FOR GI SPECIALS</t>
  </si>
  <si>
    <t>L.S FOR CONSEALING GI PIPE IN WALLS
PAKING ETC.,</t>
  </si>
  <si>
    <t>SUPPLYING AND FIXING</t>
  </si>
  <si>
    <r>
      <t>WASHBASIN</t>
    </r>
    <r>
      <rPr>
        <sz val="11"/>
        <color theme="1"/>
        <rFont val="Calibri"/>
        <family val="2"/>
        <scheme val="minor"/>
      </rPr>
      <t xml:space="preserve"> 22"X16" INCLUDING</t>
    </r>
  </si>
  <si>
    <t>COST OF ALL MATERIALS AND</t>
  </si>
  <si>
    <t>FIXING CHARGES</t>
  </si>
  <si>
    <t>Wash Hand Basin of size 550 x 400 mm with all accessories such as CI brackets, 32mm dia CP waste coupling, Rubber pug and chain, 32mm dia B class GI waste pipe, 15mm dia brass nipples. 15mm CP pillar tap etc.,   M-0544</t>
  </si>
  <si>
    <t>deduct rate for 15mm dia GM wheel valve   M-0507</t>
  </si>
  <si>
    <t xml:space="preserve"> Angle Valve</t>
  </si>
  <si>
    <t>SUNDRIES FOR PLUGSCREW,PAINT</t>
  </si>
  <si>
    <t>53.2</t>
  </si>
  <si>
    <t xml:space="preserve">CI MANHOLE COVER 45CMX45CMX20KG </t>
  </si>
  <si>
    <t>CI MANHOLE COVER 60CMX60CMX50KG    M-0640</t>
  </si>
  <si>
    <t>53.3</t>
  </si>
  <si>
    <t>CI STEPS (5Kg) (59.65+.35)</t>
  </si>
  <si>
    <t>Brass Tap with ISI Mark    M-0508</t>
  </si>
  <si>
    <t>CP TAP (LONG BODY)</t>
  </si>
  <si>
    <t>CP TAP (SHORT BODY)</t>
  </si>
  <si>
    <t>56.2.</t>
  </si>
  <si>
    <t xml:space="preserve"> IN OTHER THAN G.FLOOR.</t>
  </si>
  <si>
    <t>WEATHERING COURSE</t>
  </si>
  <si>
    <t>USING20mmBRICK JELLY</t>
  </si>
  <si>
    <t>PLASTERING IN C.M(1:3)</t>
  </si>
  <si>
    <t>12mMT.K MIXED WITH W.P.C.</t>
  </si>
  <si>
    <t>BRICK JELLY CONCRETE (1:8:16)</t>
  </si>
  <si>
    <t>USING 40 mm BRICK JELLY</t>
  </si>
  <si>
    <r>
      <t>SUPPLY AND FIXING OF E.W.C.   18" SIZE</t>
    </r>
    <r>
      <rPr>
        <b/>
        <sz val="12"/>
        <rFont val="Helv"/>
      </rPr>
      <t xml:space="preserve"> (WHITE)</t>
    </r>
  </si>
  <si>
    <t>WITH DOUBLE FLAPPED PLASTIC SEAT COVER</t>
  </si>
  <si>
    <t>LOW LEVEL FLUSHING CISTERN 10 LIT.</t>
  </si>
  <si>
    <t>EUROPEAN WATER CLOSET WITH "P" OR "S" TRAP WITH DOUBLE FLAPPED SEAT AND SEAT COVER WITH BRASS HINGES AND 10LIT CAPACITY PVC L;OW LEVEL FLUSHING TANK WITH ALL INTERNAL FITTINGS p-48</t>
  </si>
  <si>
    <t>LABOUR FOR FIXING OF EWC</t>
  </si>
  <si>
    <t>EUROPEAN WATER CLOSET WITH "P" OR "S" TRAP WITH DOUBLE FLAPPED SEAT AND SEAT COVER WITH BRASS HINGES AND 10LIT CAPACITY PVC L;OW LEVEL FLUSHING TANK WITH ALL INTERNAL FITTINGS</t>
  </si>
  <si>
    <t>LABOUR FOR FIXING OF FLUSHING TANK</t>
  </si>
  <si>
    <r>
      <t xml:space="preserve">SUPPLY AND FIXING OF E.W.C.   18" SIZE </t>
    </r>
    <r>
      <rPr>
        <b/>
        <sz val="12"/>
        <rFont val="Helv"/>
      </rPr>
      <t>(COLOUR)</t>
    </r>
  </si>
  <si>
    <r>
      <t xml:space="preserve">110MM DIA OF </t>
    </r>
    <r>
      <rPr>
        <b/>
        <sz val="12"/>
        <rFont val="Helv"/>
      </rPr>
      <t>PVC</t>
    </r>
    <r>
      <rPr>
        <sz val="11"/>
        <color theme="1"/>
        <rFont val="Calibri"/>
        <family val="2"/>
        <scheme val="minor"/>
      </rPr>
      <t xml:space="preserve"> </t>
    </r>
    <r>
      <rPr>
        <b/>
        <sz val="12"/>
        <rFont val="Helv"/>
      </rPr>
      <t>SWR PIPE</t>
    </r>
    <r>
      <rPr>
        <sz val="11"/>
        <color theme="1"/>
        <rFont val="Calibri"/>
        <family val="2"/>
        <scheme val="minor"/>
      </rPr>
      <t xml:space="preserve"> INCLUDING </t>
    </r>
  </si>
  <si>
    <t>Rest room Cupboard - Men</t>
  </si>
  <si>
    <t>SHUTTER SIZE 3.93 x 2.10 =</t>
  </si>
  <si>
    <t>TW scantling(OVER 2M)</t>
  </si>
  <si>
    <t>Vertical (7 nos) - 1 x 7x 2.1 x 0.075 x0.0375</t>
  </si>
  <si>
    <t>Horizontal (5nos) - 1 x 5 x 3.93 x 0.075 x 0.0375</t>
  </si>
  <si>
    <t xml:space="preserve">TW scantling(below 2M) </t>
  </si>
  <si>
    <t>Shutter -A</t>
  </si>
  <si>
    <t>Vertical  - 2 x 18 x0.6 x 0.075 x 0.0375</t>
  </si>
  <si>
    <t>Horizontal  - 2 x 18 x 0.69 x 0.075 x 0.0375</t>
  </si>
  <si>
    <t>Shutter -B</t>
  </si>
  <si>
    <t>Vertical  - 2 x 6 x0.66 x 0.075 x 0.0375</t>
  </si>
  <si>
    <t>Horizontal  - 2 x 6 x 0.69 x 0.075 x 0.0375</t>
  </si>
  <si>
    <t>Shutter  ( BWR Plywood)</t>
  </si>
  <si>
    <t>Shutter -A - 1 x 18 x 0.54 x 0.45</t>
  </si>
  <si>
    <t>Shutter -B - 1 x 6 x 0.54 x 0.51</t>
  </si>
  <si>
    <t>58.1(b)</t>
  </si>
  <si>
    <t>B.</t>
  </si>
  <si>
    <t>SUPPLY AND FIXING OF PVC PIPE</t>
  </si>
  <si>
    <r>
      <t xml:space="preserve">75MM DIA OF </t>
    </r>
    <r>
      <rPr>
        <b/>
        <sz val="12"/>
        <rFont val="Helv"/>
      </rPr>
      <t>PVC SWR PIPE</t>
    </r>
    <r>
      <rPr>
        <sz val="11"/>
        <color theme="1"/>
        <rFont val="Calibri"/>
        <family val="2"/>
        <scheme val="minor"/>
      </rPr>
      <t xml:space="preserve"> INCLUDING </t>
    </r>
  </si>
  <si>
    <t>Shutter area      -1X1X3.78X1.95=7.37 m2</t>
  </si>
  <si>
    <t>LUBERICANT AND FIXING IN TO</t>
  </si>
  <si>
    <t>WALL WITH WOODEN PLUGES</t>
  </si>
  <si>
    <t xml:space="preserve"> 3" ALU BUTT HINGES - 18 x 2</t>
  </si>
  <si>
    <t xml:space="preserve"> ORNAMENTAL; HANDLE - 18 x1</t>
  </si>
  <si>
    <t>Enamel Paint - 3.93 x 2.60 x 2.10</t>
  </si>
  <si>
    <t>P.V.C. PIPE 75mm DIA</t>
  </si>
  <si>
    <t>P.V.C BEND WITH DOOR</t>
  </si>
  <si>
    <t>P.V.C COWL</t>
  </si>
  <si>
    <t>P.V.C DOOR TEE</t>
  </si>
  <si>
    <t>9mm thick BWR Ply wood</t>
  </si>
  <si>
    <t xml:space="preserve"> ORNAMENTAL; HANDLE WITH SCREWS(100mm)p46 it-98c </t>
  </si>
  <si>
    <t xml:space="preserve">LOCKS &amp;KEY </t>
  </si>
  <si>
    <t>Two coat of enamel paint</t>
  </si>
  <si>
    <t>Providing Rain Water Harvesting well ring circular shape of 90cm dia, 60cm depth,50mm thick using m20 grade concrete including steel fabrication.</t>
  </si>
  <si>
    <t>M20 grade concrete</t>
  </si>
  <si>
    <t>Steel fabrication</t>
  </si>
  <si>
    <t>M30 grade concrete</t>
  </si>
  <si>
    <t>59.</t>
  </si>
  <si>
    <t>SUPLY ING AND FIXING OF</t>
  </si>
  <si>
    <t>150X100mm S.W. GULLY TRAPS</t>
  </si>
  <si>
    <t>BRICK JELLY CONCRETE (1:8:16)40MM</t>
  </si>
  <si>
    <t>Providing Rain Water Harvesting well ring circular shape of 90cm dia, 60cm depth,50mm thick using m30 grade concrete including steel fabrication.</t>
  </si>
  <si>
    <t>61.1(a)</t>
  </si>
  <si>
    <t>SUPPLY AND FIXING OF 100mm</t>
  </si>
  <si>
    <t>DIA S.W.PIPE</t>
  </si>
  <si>
    <t xml:space="preserve"> 100mmDIA S.W.PIPE WITH ISI MARK</t>
  </si>
  <si>
    <t>E.W. EXCAVATION</t>
  </si>
  <si>
    <t>TAARRED HOMP YARN</t>
  </si>
  <si>
    <t>FITTER II</t>
  </si>
  <si>
    <t>TESTING CHARGES 10%of LABOUR</t>
  </si>
  <si>
    <t>TOTAL FOR 30RMT</t>
  </si>
  <si>
    <t>RATE PER  RMT</t>
  </si>
  <si>
    <t>61.2(b)</t>
  </si>
  <si>
    <t>SUPPLY AND FIXING OF 150mm</t>
  </si>
  <si>
    <t xml:space="preserve"> 150mmDIA S.W.PIPE WITH ISI MARK</t>
  </si>
  <si>
    <t>SUPPLY AND FIXING OF 250mm</t>
  </si>
  <si>
    <r>
      <t xml:space="preserve">250mmDIA S.W.PIPE WITH ISI MARK ( it-13.0/4 </t>
    </r>
    <r>
      <rPr>
        <b/>
        <sz val="12"/>
        <rFont val="Helv"/>
      </rPr>
      <t>of twad20-21 spl I CLASS )</t>
    </r>
  </si>
  <si>
    <t>61.2(a)</t>
  </si>
  <si>
    <t>DIA S.W.PIPE(LOOSE JOINTING)</t>
  </si>
  <si>
    <t xml:space="preserve"> 100mmDIA S.W.PIPE</t>
  </si>
  <si>
    <t xml:space="preserve"> 150mmDIA S.W.PIPE</t>
  </si>
  <si>
    <t>Total for One Number</t>
  </si>
  <si>
    <t>62.1(a)</t>
  </si>
  <si>
    <t xml:space="preserve"> STONEWARE BEND</t>
  </si>
  <si>
    <t xml:space="preserve"> 100mmDIA S.W.BEND </t>
  </si>
  <si>
    <t>EXCAVATION,REFILLING,JOINTING</t>
  </si>
  <si>
    <t>AND CONCRETING</t>
  </si>
  <si>
    <t xml:space="preserve"> 150mmDIA S.W.BEND </t>
  </si>
  <si>
    <t>62.2.a.</t>
  </si>
  <si>
    <t xml:space="preserve"> STONEWARE TEE</t>
  </si>
  <si>
    <t xml:space="preserve"> 100mmDIA S.W.TEE </t>
  </si>
  <si>
    <t>62.2.b.</t>
  </si>
  <si>
    <t xml:space="preserve"> 150mmDIA S.W.TEE </t>
  </si>
  <si>
    <t>63</t>
  </si>
  <si>
    <t>32mm dia P.V.C Waste Pipe and</t>
  </si>
  <si>
    <t xml:space="preserve">C.P.Coupling of best quality. </t>
  </si>
  <si>
    <t>Rft</t>
  </si>
  <si>
    <t>C.P.Coupling</t>
  </si>
  <si>
    <t>Labour Charge for fixing</t>
  </si>
  <si>
    <t>81</t>
  </si>
  <si>
    <t>Supplying and fixing B.I.C.W.Meter cupboard with</t>
  </si>
  <si>
    <t>shutter double leaves with 230mmx25mm size CW</t>
  </si>
  <si>
    <t>plank for alround sides 62.5x31.25mm styles and</t>
  </si>
  <si>
    <t>rails for shutters and 75x25mm weldmesh of bamd</t>
  </si>
  <si>
    <t>10 gauge for panels including labour charges for</t>
  </si>
  <si>
    <t>fixing inposition of shutters and cost of</t>
  </si>
  <si>
    <t>L-clamps 6nos of size 150x150mm size with</t>
  </si>
  <si>
    <t>25mmx4mm MS flats 1 no 6"x1/2" alumium aldrop</t>
  </si>
  <si>
    <t>with bolt and nuts 6 nos of 2" size I.O. hooks</t>
  </si>
  <si>
    <t>and eyes T.W.plugs screws etc complete and as</t>
  </si>
  <si>
    <t>directed by the Departmental Officers as per</t>
  </si>
  <si>
    <t>Drawings</t>
  </si>
  <si>
    <t>C.W.Scantling for Shutter</t>
  </si>
  <si>
    <t>C.W.Planks</t>
  </si>
  <si>
    <t>Weldmesh</t>
  </si>
  <si>
    <t xml:space="preserve"> 3"I.O. ButtHinges</t>
  </si>
  <si>
    <t xml:space="preserve"> 6"x1/2" Alu. Aldrops</t>
  </si>
  <si>
    <t xml:space="preserve"> 2" I.O.Hooks and Eyes</t>
  </si>
  <si>
    <t>M.S."L" Clamps</t>
  </si>
  <si>
    <t>SUNDRIES FOR T.W.Plugs etc</t>
  </si>
  <si>
    <t>Total for 1.62 Sqm</t>
  </si>
  <si>
    <t>Total for 1.00 Sqm</t>
  </si>
  <si>
    <t>================================================</t>
  </si>
  <si>
    <t>WIRING WITH 1.5SQMM COPPER WIRE  CONCEALED</t>
  </si>
  <si>
    <t>64.a.</t>
  </si>
  <si>
    <t>64.b</t>
  </si>
  <si>
    <t>64.c</t>
  </si>
  <si>
    <t xml:space="preserve"> --DO--FOR 15AMP POWER PLUG</t>
  </si>
  <si>
    <t>70.1</t>
  </si>
  <si>
    <t>70.2</t>
  </si>
  <si>
    <t>S/F OF SLIM TUBELIGHT FITTING WITH ELECTRONICS BALLAST.</t>
  </si>
  <si>
    <t>70.3</t>
  </si>
  <si>
    <t>S/F OF 40W/60W BULB</t>
  </si>
  <si>
    <t>70.4</t>
  </si>
  <si>
    <t>S/F OF PLASTIC SHADE</t>
  </si>
  <si>
    <t>S/F of Fibre Fan Hook</t>
  </si>
  <si>
    <t>73.1</t>
  </si>
  <si>
    <t>73.2</t>
  </si>
  <si>
    <t>S/F OF 4 WAY D.B</t>
  </si>
  <si>
    <t>75(a)</t>
  </si>
  <si>
    <t>SUPPLY AND DELIVERY OF FAN 48"SWEEP with ordinary regulator.</t>
  </si>
  <si>
    <t>75(b)</t>
  </si>
  <si>
    <t>SUPPLY AND FIXING EXSAUST FAN 300MM SWEEP</t>
  </si>
  <si>
    <t>RUN OF MAIN WITH 2NO OF 1.50sq.mm WIRE</t>
  </si>
  <si>
    <t xml:space="preserve">RUN OF 2 WIRES OF 4 SQMM WITH CONTINUOUS EARTHING BY MEANS OF 2.5SQMM FOR A/C </t>
  </si>
  <si>
    <t>SUPPLYING AND FIXING OF A/C METAL CLAD</t>
  </si>
  <si>
    <t>SUPPLYING AND FIXING OF TV/TELEPHONE LINE SOCKET</t>
  </si>
  <si>
    <t>S &amp; F of Exsaust Fan 225mm dia</t>
  </si>
  <si>
    <t>M.S. Angle</t>
  </si>
  <si>
    <t>SUPPLYING AND FIXING OF 20MM DIA PVC PIPE FOR TV/TELEPHONE LINE</t>
  </si>
  <si>
    <t>SUPPLYING AND FIXING OF 25MM DIA PVC PIPE FOR TV/TELEPHONE LINE</t>
  </si>
  <si>
    <t>Mtr</t>
  </si>
  <si>
    <t>PVC RIGID CONDUIT PIPE 19M/20MM HEAVY DUTY WITH ISI P -128/ part  I 1b</t>
  </si>
  <si>
    <t>PVC RIGID CONDUIT PIPE 19M/20MM HEAVY DUTY WITH ISI P -127/ part  I 1b</t>
  </si>
  <si>
    <t>WIREMAN GR-I</t>
  </si>
  <si>
    <t>SUNDRIES FOR PVC SPECIALS &amp; FISH WIRE ETC.,</t>
  </si>
  <si>
    <t>TOTAL FOR 90RMT</t>
  </si>
  <si>
    <t>EARTHING STATION (TYPE II)</t>
  </si>
  <si>
    <t>GI PIPE 40MM DIA</t>
  </si>
  <si>
    <t>Charcoal 17-18 SD 233 (101.70/20.32 = 5.00)</t>
  </si>
  <si>
    <t xml:space="preserve">SALT  SD 233 </t>
  </si>
  <si>
    <t>GI WIRE 8 GAUGE p125/3c</t>
  </si>
  <si>
    <t>WIRE MAN GR-I</t>
  </si>
  <si>
    <t>HELPER</t>
  </si>
  <si>
    <t>CIVIL WORK SUCH AS EXCAVATION FILLING MASONRY WORK, COVER SLAB ETC.,</t>
  </si>
  <si>
    <t>BOLTS,NUTS &amp; CHOCK NUTS ETC.,</t>
  </si>
  <si>
    <t>Labour Charges for barbed wire fencing for 8.16 kg</t>
  </si>
  <si>
    <t>TOTAL FOR 8.16 kg</t>
  </si>
  <si>
    <t>Rate for 1 kg</t>
  </si>
  <si>
    <t>Barbed wire fencing for 10 m</t>
  </si>
  <si>
    <t>Barbed wire 10 gauge 2 ply and four pronged ( Galvanised) it-133 p-44</t>
  </si>
  <si>
    <t>Rate for 10m</t>
  </si>
  <si>
    <t>Rate for 1m</t>
  </si>
  <si>
    <t>Labour charges for Auger pile foundation for 2.44m</t>
  </si>
  <si>
    <t>Mason II class</t>
  </si>
  <si>
    <t>Hire charges @ 10% of labour charges</t>
  </si>
  <si>
    <t>Rate for 2.44m</t>
  </si>
  <si>
    <t>Rate for 1.00m</t>
  </si>
  <si>
    <t>Auger pile of size 30cm dia and 3m depth for 1m</t>
  </si>
  <si>
    <t>M3</t>
  </si>
  <si>
    <t>RCC 1:2:4</t>
  </si>
  <si>
    <t>1M3</t>
  </si>
  <si>
    <t>Rate for 1 RM</t>
  </si>
  <si>
    <t>Providing Rain Water Harvesting Perculation pit
a) Providing pit</t>
  </si>
  <si>
    <t>Strutting to centering of R.C.C plain surface, 3.00m height wall.</t>
  </si>
  <si>
    <t>HBSJ 40mm</t>
  </si>
  <si>
    <t>x-559-m20</t>
  </si>
  <si>
    <t>Casurina Props 10 to 13 m dia @ 75m c/c cost for 1 
operation 25.20/5=5.040 p-19 it-116/b</t>
  </si>
  <si>
    <t>Precasted slab Standardised Cement comncrete M 20 grade</t>
  </si>
  <si>
    <t>AD561-m30</t>
  </si>
  <si>
    <t xml:space="preserve"> --------------------</t>
  </si>
  <si>
    <t>AK561.M25</t>
  </si>
  <si>
    <t>Add sundries</t>
  </si>
  <si>
    <t>Rate for 10 sqm</t>
  </si>
  <si>
    <t>.</t>
  </si>
  <si>
    <t>Rate for 1 sqm, for 3m ht.</t>
  </si>
  <si>
    <t>Rate for 1 sqm, for 1m ht.</t>
  </si>
  <si>
    <t>Augering 30 cm dia</t>
  </si>
  <si>
    <t>MASON II CLASS</t>
  </si>
  <si>
    <t>MAZDOORI CLASS</t>
  </si>
  <si>
    <t>Hire charges for O2296TOOLS PLANTS at 10% of labour</t>
  </si>
  <si>
    <t>A.C .sheet Roofing with ridge piece</t>
  </si>
  <si>
    <t>A.C. sheet 6mm thick p -38 /78</t>
  </si>
  <si>
    <t>pairs</t>
  </si>
  <si>
    <t>Adjustable ridges p-38 it-80</t>
  </si>
  <si>
    <t>Pairs</t>
  </si>
  <si>
    <t>set</t>
  </si>
  <si>
    <t>U' bolts and nuts p-38 it-81</t>
  </si>
  <si>
    <t>Fitter - II</t>
  </si>
  <si>
    <t>Carpenter - I</t>
  </si>
  <si>
    <t>Mazdoor - I</t>
  </si>
  <si>
    <t xml:space="preserve">Sundries  for white lead </t>
  </si>
  <si>
    <t>A.C .sheet Roofing without ridge piece</t>
  </si>
  <si>
    <t>A.C. sheet 6mm thick fully corrugated</t>
  </si>
  <si>
    <t>Rate for 10 Sqm</t>
  </si>
  <si>
    <t>U bolts &amp; Nuts</t>
  </si>
  <si>
    <t>Pre cast slab 50mm thick in c.c. 1:3:6 mixed with fibre of size .28 x .28 m , 50mm thick</t>
  </si>
  <si>
    <t>Pcc slab - 500 x .28 x .28 = 39.2 Sq.m</t>
  </si>
  <si>
    <t xml:space="preserve">                =39.2 x .05 =1.96 cum</t>
  </si>
  <si>
    <t>Rate per 1 Sqm</t>
  </si>
  <si>
    <t>C.C 1:3:6 using 20mm HBS</t>
  </si>
  <si>
    <t>Mason I class</t>
  </si>
  <si>
    <t>Mazdoor II class</t>
  </si>
  <si>
    <t>Moulding charge</t>
  </si>
  <si>
    <r>
      <t xml:space="preserve">Providing wooden </t>
    </r>
    <r>
      <rPr>
        <b/>
        <sz val="12"/>
        <rFont val="Helv"/>
      </rPr>
      <t>MELAMEN DOOR POLISH</t>
    </r>
  </si>
  <si>
    <t>Cutting, Transporting , Laying &amp; Pointing charges</t>
  </si>
  <si>
    <t>For New Wood</t>
  </si>
  <si>
    <t>Packet</t>
  </si>
  <si>
    <t xml:space="preserve">Fibre (125g/packet) Qtn </t>
  </si>
  <si>
    <t>Contain a size 1.2x2.1 m</t>
  </si>
  <si>
    <t>Area of Polishing 1x1x2.25x1.2x2.1+5.67m2</t>
  </si>
  <si>
    <t>Rate for 39.2 sqm</t>
  </si>
  <si>
    <t xml:space="preserve">Sand paper No 50 (Qtn) </t>
  </si>
  <si>
    <t>Sand paper No 80</t>
  </si>
  <si>
    <t>Sand paper No 100</t>
  </si>
  <si>
    <t>Wooden filter</t>
  </si>
  <si>
    <t>liter</t>
  </si>
  <si>
    <t>sand seal thinner</t>
  </si>
  <si>
    <t>Thinner</t>
  </si>
  <si>
    <t>Squat urinal including all accesseries (LSR new Item -4)p -55/i229</t>
  </si>
  <si>
    <t>Water Emery No 250</t>
  </si>
  <si>
    <t>Water Emery No 320</t>
  </si>
  <si>
    <t>Water Emery No 400</t>
  </si>
  <si>
    <t>gm</t>
  </si>
  <si>
    <t>Teak Powder</t>
  </si>
  <si>
    <t>100gm</t>
  </si>
  <si>
    <t>Red Powder</t>
  </si>
  <si>
    <t>500gm</t>
  </si>
  <si>
    <t xml:space="preserve"> Fresh Chalk Powder</t>
  </si>
  <si>
    <t xml:space="preserve">MELAMEN matt Qtn </t>
  </si>
  <si>
    <t>MELAMEN  Glozy</t>
  </si>
  <si>
    <t>Thinner 106</t>
  </si>
  <si>
    <t>Banian waste</t>
  </si>
  <si>
    <t>S &amp; F of Flat urinal (white)</t>
  </si>
  <si>
    <t>3" Brush</t>
  </si>
  <si>
    <t>1No</t>
  </si>
  <si>
    <t>Flat back urinal including all accesseries p-50/136 1</t>
  </si>
  <si>
    <t>2" Flat Brush</t>
  </si>
  <si>
    <t>Plumber I class</t>
  </si>
  <si>
    <t>PAINTER- I Class</t>
  </si>
  <si>
    <t>PAINTER - II  Class</t>
  </si>
  <si>
    <t>Mazdoor - II  Class</t>
  </si>
  <si>
    <t>Add sundries for CM 1:3</t>
  </si>
  <si>
    <t>Ls</t>
  </si>
  <si>
    <t xml:space="preserve">Bladder &amp; Tools </t>
  </si>
  <si>
    <t>----------------------</t>
  </si>
  <si>
    <r>
      <t xml:space="preserve">TOTAL FOR </t>
    </r>
    <r>
      <rPr>
        <b/>
        <sz val="12"/>
        <rFont val="Helv"/>
      </rPr>
      <t>5.67</t>
    </r>
    <r>
      <rPr>
        <sz val="11"/>
        <color theme="1"/>
        <rFont val="Calibri"/>
        <family val="2"/>
        <scheme val="minor"/>
      </rPr>
      <t xml:space="preserve"> SQM</t>
    </r>
  </si>
  <si>
    <t>Rate for 1 Sqm</t>
  </si>
  <si>
    <t xml:space="preserve">              Providing shahabad stone grey colour of 20mm thick in C.M 1:3</t>
  </si>
  <si>
    <t>COST OF Shahabad stone grey colour (Polished Shahabad stone 20mm thick with machine cut edges of size 2' x 2' below) p -36/ 34</t>
  </si>
  <si>
    <t>Cement slurry</t>
  </si>
  <si>
    <t>1000 Kg</t>
  </si>
  <si>
    <t>Pigment (20.03+23.13)/2 =21.58 p37 ( 9 &amp;10/2)</t>
  </si>
  <si>
    <t xml:space="preserve">Mason II </t>
  </si>
  <si>
    <t>Providing rajasthan kota stone of 20mm thick in C.M 1:3</t>
  </si>
  <si>
    <t>Providing rajasthan kota stone slabs of of 20mm thick with machine cut edges of size below in C.M 1:3 p-36 sl.36</t>
  </si>
  <si>
    <t>Pigment</t>
  </si>
  <si>
    <t>RED OXIDE PLASTERING C.M 1:4, 20MM THICK</t>
  </si>
  <si>
    <t>C.M 1:4 , 20MM THICK</t>
  </si>
  <si>
    <t>RED OXIDE p37/i24</t>
  </si>
  <si>
    <t xml:space="preserve">M.S VENTILATOR OF SIZE - 600 X 1350mm ( 1 No ) </t>
  </si>
  <si>
    <t xml:space="preserve">ALROUND M.S FLAT OF SIZE 50 X 10mm      = 3.9 M X 3.9 Kg/Met </t>
  </si>
  <si>
    <t>SQUARE BARS OF SIZE 20 x 20mm               = 12Nos X .6M 3.14 Kg/Met</t>
  </si>
  <si>
    <t>M.S FLAT OF SIZE 25 X 6mm HORIZONTAL = 1 X 2 X 1.2 Kg/Met</t>
  </si>
  <si>
    <t>VERTICAL                                                             = 1 X 3 X 0.6 X 1.2 Kg/Met</t>
  </si>
  <si>
    <t xml:space="preserve"> ============</t>
  </si>
  <si>
    <t>Weld Mesh of size 7.5 x 2.5 cm 10 gauge</t>
  </si>
  <si>
    <t>Fly proof  Mesh</t>
  </si>
  <si>
    <t>Hings</t>
  </si>
  <si>
    <t>Rate for 1 No.</t>
  </si>
  <si>
    <t xml:space="preserve">M.S VENTILATOR OF SIZE - 600 X 900mm ( 1 No ) </t>
  </si>
  <si>
    <t xml:space="preserve">ALROUND M.S FLAT OF SIZE 50 X 10mm      = 3.0 M X 3.925 Kg/Met </t>
  </si>
  <si>
    <t>SQUARE BARS OF SIZE 20 x 20mm               = 8Nos X 0.6M 3.14 Kg/Met</t>
  </si>
  <si>
    <t>M.S FLAT OF SIZE 25 X 6mm HORIZONTAL = 1 X 2 X0.9 x 1.2 Kg/Met</t>
  </si>
  <si>
    <t>ADD FOR BUILDING</t>
  </si>
  <si>
    <t>=============</t>
  </si>
  <si>
    <t>Rate per sqm</t>
  </si>
  <si>
    <t xml:space="preserve">M.S VENTILATOR OF SIZE - 600 X 600mm ( 1 No ) </t>
  </si>
  <si>
    <t xml:space="preserve">ALROUND M.S FLAT OF SIZE 50 X 10mm      = 2.4 M X 3.925 Kg/Met </t>
  </si>
  <si>
    <t>SQUARE BARS OF SIZE 20 x 20mm               =5Nos X 0.6M 3.14 Kg/Met</t>
  </si>
  <si>
    <t>M.S FLAT OF SIZE 25 X 6mm HORIZONTAL = 1 X 2 X0.6 x 1.2 Kg/Met</t>
  </si>
  <si>
    <t xml:space="preserve">M.S VENTILATOR OF SIZE -1285 X 600mm ( 1 No ) </t>
  </si>
  <si>
    <t xml:space="preserve">ALROUND M.S FLAT OF SIZE 50 X 10mm      = 3.77 M X 3.9 Kg/Met </t>
  </si>
  <si>
    <t>SQUARE BARS OF SIZE 20 x 20mm               =12Nos X 0.6M 3.14 Kg/Met</t>
  </si>
  <si>
    <t>M.S FLAT OF SIZE 25 X 6mm HORIZONTAL = 1 X 2 X1.285 x 1.2 Kg/Met</t>
  </si>
  <si>
    <t>Chicken Mesh</t>
  </si>
  <si>
    <t>Hinges</t>
  </si>
  <si>
    <t xml:space="preserve">M.S DOOR OF SIZE 1000 X 2100mm </t>
  </si>
  <si>
    <t>WEIGHT OF MATERIAL</t>
  </si>
  <si>
    <t xml:space="preserve">M.S FLAT OF SIZE 50 X 10mm    = 1.00 X .05 X .01 X 7850 Kg/CUM </t>
  </si>
  <si>
    <t xml:space="preserve">M.S SQUARE BAR 20 X 20mm    = 1.00 X .02 X .02 X 7850 Kg/CUM </t>
  </si>
  <si>
    <t xml:space="preserve">M.S FLAT OF SIZE 25 X 6mm    = 1.00 X .025 X .06 X 7850 Kg/CUM </t>
  </si>
  <si>
    <t>M.S FLAT OF SIZE 50 X 10mm ALROUND            = 1 X 1 X 6.20 X 3.92 Kg/m</t>
  </si>
  <si>
    <t>M.S SQUARE BAR 20 X 20mm HORIZONTAL    = 1 X 3 X 1 X 3.295KG/m</t>
  </si>
  <si>
    <t>M.S FLAT OF SIZE 20 X 20mm                               = 1 X 9 X 2.10 X 3.14Kg/m</t>
  </si>
  <si>
    <t>M.S FLAT OF SIZE 25 X 6mm VERTICAL           = 1 X 2 X 2.10 X 1.2Kg/m</t>
  </si>
  <si>
    <t>M.S FLAT OF SIZE 25 X 6mm HORIZONTAL            = 1 X 4 X 1 X 1.2Kg</t>
  </si>
  <si>
    <t>ADD FOR WELDING</t>
  </si>
  <si>
    <t>1285 x 600mm</t>
  </si>
  <si>
    <t>STEEL</t>
  </si>
  <si>
    <t>Fly proof mesh</t>
  </si>
  <si>
    <t>FOR HINGES</t>
  </si>
  <si>
    <t>LOCKING MATERIAL COST</t>
  </si>
  <si>
    <t>RATE FOR 1 NO</t>
  </si>
  <si>
    <t xml:space="preserve">M.S DOOR OF SIZE 750 X1350mm </t>
  </si>
  <si>
    <t xml:space="preserve">M.S FLAT OF SIZE 50 X 10mm    =0.75 X .05 X .01 X 7850 Kg/CUM </t>
  </si>
  <si>
    <t xml:space="preserve">M.S SQUARE BAR 20 X 20mm    = 0.75X .02 X .02 X 7850 Kg/CUM </t>
  </si>
  <si>
    <t xml:space="preserve">M.S FLAT OF SIZE 25 X 6mm    = 0.75 X .025 X .06 X 7850 Kg/CUM </t>
  </si>
  <si>
    <t>M.S FLAT OF SIZE 50 X 10mm ALROUND            = 1 X 1 X4.20 X 3.9Kg/m</t>
  </si>
  <si>
    <t>M.S SQUARE BAR 20 X 10mm HORIZONTAL    = 1 X 3 X 0.75 X 3.29KG/m</t>
  </si>
  <si>
    <t xml:space="preserve">ALROUND M.S FLAT OF SIZE 50 X 10mm      = 3.77 M X 3.925 Kg/Met </t>
  </si>
  <si>
    <t>M.S FLAT OF SIZE 20 X 20mm                               = 1 X 9 X1.35 X 3.11Kg/m</t>
  </si>
  <si>
    <t>M.S FLAT OF SIZE 25 X 6mm VERTICAL           = 1 X 2 X1.35 X 1.2Kg/m</t>
  </si>
  <si>
    <t>M.S FLAT OF SIZE 25 X 6mm HORIZONTAL            = 1 X 4 X 0.75 X 1.2Kg</t>
  </si>
  <si>
    <t>Steel (p-21 it-130 )</t>
  </si>
  <si>
    <t>Weld Mesh</t>
  </si>
  <si>
    <t>Fly proof  Mesh p-22 it- 167/130</t>
  </si>
  <si>
    <t xml:space="preserve">T.W DOOR SHUTTER TWO LEAVES(1800 X 2100 mm </t>
  </si>
  <si>
    <t xml:space="preserve">SHUTTER AREA      = 2X0.85 X 2.025                         </t>
  </si>
  <si>
    <t>STYLES (OVER 2m) = 2 X 2 X 2.025 X 0.075 X 0.0375         = 0.0228</t>
  </si>
  <si>
    <t xml:space="preserve">RAILS (BELOW 2M) = 2 X 3 X 0.85 X 0.15 X 0.0375          </t>
  </si>
  <si>
    <t xml:space="preserve">              2X 3 X 0.85 X 0.075 X 0.0375     </t>
  </si>
  <si>
    <t xml:space="preserve">PLANKS : 2 X 4 X 0.725 X 0.30 X 0.01875    </t>
  </si>
  <si>
    <t xml:space="preserve">                  2 X 1 X 0.725 X 0.30 X 0.01875    </t>
  </si>
  <si>
    <t>MAIN DATA</t>
  </si>
  <si>
    <t>T.W SCANTLING over 2m</t>
  </si>
  <si>
    <r>
      <t xml:space="preserve">T.W DOUBLE LEAVES FULLY PANELLED DOOR SHUTTER FOR DOOR OF SIZE   (2000 X 2100 mm) </t>
    </r>
    <r>
      <rPr>
        <b/>
        <sz val="14"/>
        <rFont val="Arial"/>
        <family val="2"/>
      </rPr>
      <t>WITH BRASS FITTINGS</t>
    </r>
  </si>
  <si>
    <t xml:space="preserve">SHUTTER AREA      = 2X0.95 X 2.025                         </t>
  </si>
  <si>
    <t xml:space="preserve">RAILS (BELOW 2M) = 2 X 3 X 0.95 X 0.15 X 0.0375          </t>
  </si>
  <si>
    <t xml:space="preserve">              2X 3 X 0.95 X 0.075 X 0.0375     </t>
  </si>
  <si>
    <t>CHICKEN MESH</t>
  </si>
  <si>
    <t xml:space="preserve">PLANKS : 2 X 4 X 0.825 X 0.30 X 0.01875    </t>
  </si>
  <si>
    <t xml:space="preserve">                  2 X 1 X 0.825 X 0.30 X 0.01875    </t>
  </si>
  <si>
    <t>RATE FOR 3.443 SQM</t>
  </si>
  <si>
    <t>T.W DOOR SHUTTER TWO LEAVES(1500 X 2100 mm ) with Brass Fittings</t>
  </si>
  <si>
    <t>SHUTTER AREA      = 2X0.7 X 2.025                                    = 2.835 Sqm</t>
  </si>
  <si>
    <t>RAILS (BELOW 2M) = 2 X 3 X 0.70 X 0.15 X 0.0375              =0.0236</t>
  </si>
  <si>
    <t xml:space="preserve">              2X 3 X 0.7 X 0.075 X 0.0375           = 0.0118</t>
  </si>
  <si>
    <t>T.W DOOR SHUTTER TWO LEAVES(1200 X 2100 mm ) with Brass Fittings</t>
  </si>
  <si>
    <t>PLANKS : 2 X 4 X 0.575 X 0.30 X 0.01875     = 0.0259</t>
  </si>
  <si>
    <t>SHUTTER AREA      = 2X0.55 X 2.025                                    = 2.23 Sqm</t>
  </si>
  <si>
    <t xml:space="preserve">                  2 X 1 X 0.575 X 0.30 X 0.01875     = 0.0065</t>
  </si>
  <si>
    <t>RATE FOR 3.8475 SQM</t>
  </si>
  <si>
    <t>RAILS (BELOW 2M) = 2 X 3 X 0.55 X 0.15 X 0.0375              =0.0186</t>
  </si>
  <si>
    <t xml:space="preserve">              2X 3 X 0.55 X 0.075 X 0.0375           = 0.0093</t>
  </si>
  <si>
    <t>T.W PLANKS (30-45 CM) (12 TO 25CM THICK) p-17 it-86</t>
  </si>
  <si>
    <t>PLANKS : 2 X 4 X 0.425 X 0.30 X 0.01875     = 0.019</t>
  </si>
  <si>
    <t xml:space="preserve">                  2 X 1 X 0.425 X 0.30 X 0.01875     = 0.0048</t>
  </si>
  <si>
    <t>With Brass Filltings</t>
  </si>
  <si>
    <t>DOOR HANDLE Mejastic</t>
  </si>
  <si>
    <t>6" Brass HINGES</t>
  </si>
  <si>
    <t>8" BRASS TOWER BOLTS</t>
  </si>
  <si>
    <t>Mortice lock with handle</t>
  </si>
  <si>
    <t>Nylon BUSH (p-41/111)</t>
  </si>
  <si>
    <t>DOOR STOPPER (p41/110)</t>
  </si>
  <si>
    <t>T.W PLANKS (30.45 CM) (12 TO 25CM THICK)</t>
  </si>
  <si>
    <t>Annexure</t>
  </si>
  <si>
    <t>RATE FOR 2.23 SQM</t>
  </si>
  <si>
    <t>RUBBER BUSH</t>
  </si>
  <si>
    <t>Shutter middle rail(Horizantal) -1X2X0.4X0.15X0.0375=0.0045</t>
  </si>
  <si>
    <t>Shutter(OSL Board)      -2X2X.85X0.4=1.36m2</t>
  </si>
  <si>
    <t xml:space="preserve"> 4"X5/8"ALU.TOWER BOLT</t>
  </si>
  <si>
    <t xml:space="preserve"> ORNAMENTAL  HANDLE WITH SCREWS 100mm</t>
  </si>
  <si>
    <t>LOCKS &amp;KEY</t>
  </si>
  <si>
    <t xml:space="preserve"> ORNAMENTAL  HANDLE WITH SCREWS</t>
  </si>
  <si>
    <t>Supplying,Manufacturing and fixing of cloth drying arrangements data for 1 set</t>
  </si>
  <si>
    <t xml:space="preserve">Cost of 32 mm dia G.I pipe </t>
  </si>
  <si>
    <t>Rm</t>
  </si>
  <si>
    <t>Cost of MS angle 35 x 35x 4mm (2x.6x2.1 kg/m)</t>
  </si>
  <si>
    <t>Cost of Square bars (2x.5x1.13kg/m)</t>
  </si>
  <si>
    <t>Cost of 1clamp 10mm (3x.15x.78)</t>
  </si>
  <si>
    <t xml:space="preserve">Labour charges for welding </t>
  </si>
  <si>
    <t>Cost of fixturehooks</t>
  </si>
  <si>
    <t>Fixing of screws,painting etc.,</t>
  </si>
  <si>
    <t>Rate for 1 set</t>
  </si>
  <si>
    <t>Certified that the observed datas prepard based on the actuals in curred at the time of execution and least amount to the best of my Knowledge.</t>
  </si>
  <si>
    <t>S&amp; F of MS angle of size 35 x35 x 5 mm for stair case steps (.95m)</t>
  </si>
  <si>
    <t>Data for 16 steps - 16*2.6kgs = 41.60 kgs</t>
  </si>
  <si>
    <t xml:space="preserve">Cost of MS angle </t>
  </si>
  <si>
    <t>Stone cutter I</t>
  </si>
  <si>
    <t>Mason I</t>
  </si>
  <si>
    <t>CC 1:2:4,Screws, MS flat, welding charges,painting etc.,</t>
  </si>
  <si>
    <t>Rate for 16 steps</t>
  </si>
  <si>
    <t>Rs.</t>
  </si>
  <si>
    <t>Rate for 1 steps</t>
  </si>
  <si>
    <t>Rate per 1m</t>
  </si>
  <si>
    <t>ABOVE G.L (Fully concealed in walls).</t>
  </si>
  <si>
    <t>SUNDRIES for dismantling &amp; packing the dismantled 
portion</t>
  </si>
  <si>
    <t>GROUND LEVEL(OR) FIXING ON WALLS FULLY CONCEALED TO THE</t>
  </si>
  <si>
    <t>C.W.SINGLY LEAF FULLY PANELLED</t>
  </si>
  <si>
    <t>Anticorrosive Treatment for Window M.S. Grills.</t>
  </si>
  <si>
    <t>SHUTTER SIZE-.9X2.025   =1.8225M2</t>
  </si>
  <si>
    <t>litres</t>
  </si>
  <si>
    <t>Zite Zinc primer ( qtn)</t>
  </si>
  <si>
    <t>litre</t>
  </si>
  <si>
    <t>STYLES(OVER 2M) -1X2X2.025X0.125X0.0375=0.01898</t>
  </si>
  <si>
    <t>Brush</t>
  </si>
  <si>
    <t>Painter I st Class</t>
  </si>
  <si>
    <t>RAILS(BELOW 2M)- 1X4X0.9X0.15X0.0375=      0.02025</t>
  </si>
  <si>
    <t xml:space="preserve">               - 1X2X0.731X0.125X0.0375 =0.00685</t>
  </si>
  <si>
    <t>Rate for 1 MT</t>
  </si>
  <si>
    <t>PLANKS      -1X4X0.60625X02825X0.01875=</t>
  </si>
  <si>
    <t xml:space="preserve">             -1X1X0675X0.2825X0.01875=</t>
  </si>
  <si>
    <t>Providing Single under reamed Pile of 4.50m depth,375mm dia</t>
  </si>
  <si>
    <t>C.W SCANTLING  UPTO 4M LONG (PADAK)</t>
  </si>
  <si>
    <t>Volume of Concrete = 3.14/4*0.3*0.3 (3.50+(1*6*0.3))</t>
  </si>
  <si>
    <t>C.W PLANKS 25mm thick &amp; 30cm wide.</t>
  </si>
  <si>
    <t>TW panelled Door 1800X2400 Double leaves</t>
  </si>
  <si>
    <t>Shutter size 2 x 0.85 x 2.325m</t>
  </si>
  <si>
    <t>T.W PLANKS  (30 TO 45CM wide, 12 - 25mm THICK)</t>
  </si>
  <si>
    <t>RCC 1:11/2:3 excluding vibrating charges</t>
  </si>
  <si>
    <t>Cement extra @ 10% (323.1*.37)</t>
  </si>
  <si>
    <t>Brass screws</t>
  </si>
  <si>
    <t xml:space="preserve">Ls </t>
  </si>
  <si>
    <t>Add for tools &amp; Plant</t>
  </si>
  <si>
    <t>TOTAL FOR 1.82250SQM</t>
  </si>
  <si>
    <t>_______________________</t>
  </si>
  <si>
    <t>For 3.50m depth</t>
  </si>
  <si>
    <t>For 1m depth</t>
  </si>
  <si>
    <t>Four horizontal &amp; one vertical Panel</t>
  </si>
  <si>
    <t>1200 X 2100MM</t>
  </si>
  <si>
    <t>Five horizontal panels</t>
  </si>
  <si>
    <t xml:space="preserve">             -1X1X0.675X0.2825X0.01875=</t>
  </si>
  <si>
    <t>SHUTTER SIZE-1.10X2.025   =2.2275M2</t>
  </si>
  <si>
    <t>RAILS(BELOW 2M)- 1X3X1.10X0.15X0.0375=      0.01856</t>
  </si>
  <si>
    <t xml:space="preserve">                                         - 1X3X1.10X0.075X0.0375 =  0.00928</t>
  </si>
  <si>
    <t>PLANKS      -1X5X0.9625X02825X0.01875=</t>
  </si>
  <si>
    <t>brass DOOR HANDLE 150mm long P-41/109b</t>
  </si>
  <si>
    <t>5" Brass BUTT HINGS P-40/102a</t>
  </si>
  <si>
    <t xml:space="preserve"> 6"x1/2" Brass TOWER BOLT  P-40/104d</t>
  </si>
  <si>
    <t xml:space="preserve">10"x5/8" Brass ALDROP  P-41/106b </t>
  </si>
  <si>
    <t>DOOR STOPPER P-41/110</t>
  </si>
  <si>
    <t>WIDE&amp;12 to 25mm thick</t>
  </si>
  <si>
    <t>Sundries for brass scruew</t>
  </si>
  <si>
    <t>MDF</t>
  </si>
  <si>
    <t>TOTAL FOR 2.2275SQM</t>
  </si>
  <si>
    <t>MDF board exterior grade both side pre laminated including external lipping with kiln dried soft wood 35mm thick P-42/116</t>
  </si>
  <si>
    <t xml:space="preserve">LABOUR FOR WROUGHT&amp;PUTUP p 28/116 a single </t>
  </si>
  <si>
    <t xml:space="preserve">Four horizontal panels </t>
  </si>
  <si>
    <t>&amp; one vertical panel</t>
  </si>
  <si>
    <t>TOTAL FOR 1.823SQM</t>
  </si>
  <si>
    <t>SHUTTER SIZE-1.10X2.05   =2.255M2</t>
  </si>
  <si>
    <t>STYLES(OVER 2M) -1X2X2.05X0.125X0.0375=0.01922</t>
  </si>
  <si>
    <t>RAILS(BELOW 2M)- 1X4X1.10X0.15X0.0375=      0.02475</t>
  </si>
  <si>
    <t>MDF  double leaf shutter with TW alround frame for ward robe / cup board</t>
  </si>
  <si>
    <t xml:space="preserve">                                         - 1X2X0.74X0.075X0.0375 =  0.00416</t>
  </si>
  <si>
    <t>PLANKS      -1X4X0.60625X02825X0.01875=0.01284</t>
  </si>
  <si>
    <t>PLANKS      -1X1X0.975X02825X0.01875=0.00516</t>
  </si>
  <si>
    <t>Shutter(MDF Board)      -2X2X.85X0.4=1.36m2</t>
  </si>
  <si>
    <t>TOTAL FOR 2.255SQM</t>
  </si>
  <si>
    <t>MDF board 18mm thk exterior grade one side prelaminated.</t>
  </si>
  <si>
    <t>LABOUR CHARGE FOR SHUTTER (Double leaf) p/28 /116 b</t>
  </si>
  <si>
    <t>LOCKS &amp;KEY ( qtn)</t>
  </si>
  <si>
    <t xml:space="preserve">Supply,Laying &amp; Concealing the 50mm dia PVC (SWR) pipe </t>
  </si>
  <si>
    <t xml:space="preserve"> with ISI mark confirming to 13952:1992-type 'B'</t>
  </si>
  <si>
    <t>50 mm dia PVC (SWR) pipe ( qtn) (p-99)</t>
  </si>
  <si>
    <t>PVC bend</t>
  </si>
  <si>
    <t>sundries for finishing dismantled portion</t>
  </si>
  <si>
    <t>Rate for 2Rmt.</t>
  </si>
  <si>
    <t>Rate per 1Rmt.</t>
  </si>
  <si>
    <t>RCC 1:2:4 for Earth quake resistance arrangements at corner of brick wall including cost of concrete, farication &amp; curing etc.,  data for 2.1m.</t>
  </si>
  <si>
    <t xml:space="preserve">RATE PER CUM </t>
  </si>
  <si>
    <t>RCC 1:2:4 for earth quake resistance arrangements for door/window james.</t>
  </si>
  <si>
    <r>
      <t>concrete  (0.23 x .075 x 2.1 =</t>
    </r>
    <r>
      <rPr>
        <b/>
        <sz val="12"/>
        <rFont val="Arial"/>
        <family val="2"/>
      </rPr>
      <t xml:space="preserve"> 0.036 cum</t>
    </r>
    <r>
      <rPr>
        <sz val="12"/>
        <rFont val="Arial"/>
        <family val="2"/>
      </rPr>
      <t>)</t>
    </r>
  </si>
  <si>
    <t>Steel 8RTS ( 2 x 2.7 x0.3950 = 2.133 kg)</t>
  </si>
  <si>
    <t>Ties 6RTS (0.28 x 15 x 0.222 = 0.932 kg)</t>
  </si>
  <si>
    <t>Total      3.065 kg</t>
  </si>
  <si>
    <r>
      <t xml:space="preserve">Form Work  Small qty.  0.38 x 2.1 = </t>
    </r>
    <r>
      <rPr>
        <b/>
        <sz val="12"/>
        <rFont val="Arial"/>
        <family val="2"/>
      </rPr>
      <t>0.798 sqm</t>
    </r>
  </si>
  <si>
    <t>a. In Ground Floor</t>
  </si>
  <si>
    <t>*2</t>
  </si>
  <si>
    <t>RCC 1:2:4 using 3-10mm HBGS</t>
  </si>
  <si>
    <t xml:space="preserve">steel </t>
  </si>
  <si>
    <t xml:space="preserve">Form Work  Small qty. </t>
  </si>
  <si>
    <t>Total     for 2.1m</t>
  </si>
  <si>
    <t>b. In First Floor</t>
  </si>
  <si>
    <t>c. In  Second Floor</t>
  </si>
  <si>
    <t>d. In  Third Floor</t>
  </si>
  <si>
    <t>SHUTTER SIZE-0.8X2.05   =1.64 M2</t>
  </si>
  <si>
    <t>MDF board exterior grade both side pre laminated including external lipping with kiln dried soft wood 35mm thick</t>
  </si>
  <si>
    <t>1200 X 2100MM single leaf</t>
  </si>
  <si>
    <t>SHUTTER SIZE-1.1X2.05   =2.255 M2</t>
  </si>
  <si>
    <t>TOTAL FOR 1.64 sqm</t>
  </si>
  <si>
    <t>Providing Double under reamed Pile of 6m depth,375mm dia</t>
  </si>
  <si>
    <t>Volume of Concrete = (2x4x.375x3.14/4*.375*.375)+(3.14/4x.375x.375x6)</t>
  </si>
  <si>
    <t>TOTAL FOR 2.255 sqm</t>
  </si>
  <si>
    <t>RCC 1:1.5:3 excluding vibrating charges</t>
  </si>
  <si>
    <t>Cement extra @ 10%(323.1x.9935)</t>
  </si>
  <si>
    <t>For 6m depth</t>
  </si>
  <si>
    <t>Gravel Filling</t>
  </si>
  <si>
    <t>Filling charges</t>
  </si>
  <si>
    <t>supply &amp;fixing of cuddapah sink 600x600x200mmsize</t>
  </si>
  <si>
    <t>with 32mm GI waste pipe and 32mm CP waste coupling it-191 p-50</t>
  </si>
  <si>
    <t>Supply and fixing of Mirror of size 600x450mm size (p-51-it-204)</t>
  </si>
  <si>
    <t>Supply and fixing of Mirror of size500x400mm size (p-51 it-204 -ii)</t>
  </si>
  <si>
    <t>Supply and fixing of PVC flushing tank with all fittings</t>
  </si>
  <si>
    <t>10 lit. capacity. P- 49 / 183a</t>
  </si>
  <si>
    <t>SUPPLY AND FIXING EXSAUST FAN 225MM SWEEP</t>
  </si>
  <si>
    <t>Compact Fluoresent Lamp (CFL)</t>
  </si>
  <si>
    <t>a. 14W for Bath &amp; WC</t>
  </si>
  <si>
    <t>b. 18W for Bulkhead fittings</t>
  </si>
  <si>
    <t xml:space="preserve">S/F OF BULK HEAD FITTING for CFL </t>
  </si>
  <si>
    <t>10 lit. capacity.</t>
  </si>
  <si>
    <t>Plumber I</t>
  </si>
  <si>
    <t>1200 X 2100MM (Double Leaf)</t>
  </si>
  <si>
    <t>SHUTTER SIZE-1.1X2.025   =2.2275M2</t>
  </si>
  <si>
    <t>1500 X 2400MM (Double Leaf)</t>
  </si>
  <si>
    <t>SHUTTER SIZE-1.4X2.35   =3.29M2</t>
  </si>
  <si>
    <t>TOTAL FOR 2.2275 SQM</t>
  </si>
  <si>
    <t>1500 X 2100MM (Double Leaf)</t>
  </si>
  <si>
    <t>TOTAL FOR 3.29 SQM</t>
  </si>
  <si>
    <t>SHUTTER SIZE-1.4X2.05   =2.87 M2</t>
  </si>
  <si>
    <t>TOTAL FOR 2.87 SQM</t>
  </si>
  <si>
    <t>TW  frame &amp; TW styles &amp; rails with 9 mm thick BWR double leaf shutter for ward robe / cup board</t>
  </si>
  <si>
    <t>Shutter(BWR Plywood)      -2X2X.85X0.4=1.36m2</t>
  </si>
  <si>
    <t>TW single leaf glazed window shutter of size 3.08 x 2.1cm</t>
  </si>
  <si>
    <t xml:space="preserve">SHUTTER SIZE0- 3.08 x 2.1  </t>
  </si>
  <si>
    <t>STYLES(OVER 2M) -1X4X2.05X0.075X0.0375</t>
  </si>
  <si>
    <t>Engineering Polymer Tap  short body tap for coastal area only</t>
  </si>
  <si>
    <t xml:space="preserve">9mm thick BWR ply wood </t>
  </si>
  <si>
    <t>RAILS(BELOW 2M)- 2X3X0.55X0.15X0.0375</t>
  </si>
  <si>
    <t xml:space="preserve"> 4"X5/8"ALU.TOWER BOLT p -40/103f</t>
  </si>
  <si>
    <t>Plywood      -1X2X0.625X0.425</t>
  </si>
  <si>
    <t>Shellac p-49</t>
  </si>
  <si>
    <t>Plywood      -1X2X1.025X0.425</t>
  </si>
  <si>
    <t>Thread ball p-49</t>
  </si>
  <si>
    <t>TWO COATS of enamel paint incl. Primer</t>
  </si>
  <si>
    <t>SUNDRIES FOR NAILS,PLUGS &amp; Brass screws ETC.</t>
  </si>
  <si>
    <t xml:space="preserve">French Window  OF Size  3080 X2100 MM </t>
  </si>
  <si>
    <t>T.W.SCANTLING belw 2M length</t>
  </si>
  <si>
    <t>4mm thick pin headed glass</t>
  </si>
  <si>
    <t>Rmt.</t>
  </si>
  <si>
    <t>TW beeding 15 x 12 mm</t>
  </si>
  <si>
    <t>rmt</t>
  </si>
  <si>
    <t>Bottle trap with UPVC coupling</t>
  </si>
  <si>
    <t>Providing tee with end cap</t>
  </si>
  <si>
    <t>Bottle trap (Polymer range)</t>
  </si>
  <si>
    <t>PVC Tee 32mm dia (p-100 D-d)</t>
  </si>
  <si>
    <t>200 mm x 12 mm Alu. Towerbolt</t>
  </si>
  <si>
    <t>UPVC coupling</t>
  </si>
  <si>
    <t>PVC end cap 32mm dia (p-100 E-d)</t>
  </si>
  <si>
    <t xml:space="preserve">6" Handle </t>
  </si>
  <si>
    <t>Plumber - I</t>
  </si>
  <si>
    <t>Sundries for brass scrwew</t>
  </si>
  <si>
    <t>TOTAL FOR 5.16 sqm</t>
  </si>
  <si>
    <t xml:space="preserve">French Window  OF Size  1070 X2100 MM </t>
  </si>
  <si>
    <t>SHUTTER SIZE0-.9X2.05   =1.845M2</t>
  </si>
  <si>
    <t>RAILS(BELOW 2M)- 1X3X0.9X0.15X0.0375=      0.0152</t>
  </si>
  <si>
    <t>Plywood      -1X1X0.775X0.64=0.496</t>
  </si>
  <si>
    <t>1200 x 2100mm</t>
  </si>
  <si>
    <t>Plywood      -1X1X0.985X0.775=0.763</t>
  </si>
  <si>
    <t xml:space="preserve">SHUTTER SIZE0-1.1 X 2.05  </t>
  </si>
  <si>
    <t>STYLES(OVER 2M) -1X2X2.05X0.075X0.0375</t>
  </si>
  <si>
    <t>TOTAL FOR 1.74 sqm</t>
  </si>
  <si>
    <t>RAILS(BELOW 2M)- 1X3X1.1X0.15X0.0375</t>
  </si>
  <si>
    <t>Plywood      -1X1X0.625X0.975</t>
  </si>
  <si>
    <t xml:space="preserve">French Window  OF Size  1500 X2000 MM </t>
  </si>
  <si>
    <t>2*2*0.075*.0375*1.95</t>
  </si>
  <si>
    <t>2*2*0.065*.0075*0.375</t>
  </si>
  <si>
    <t>T.W</t>
  </si>
  <si>
    <t>DOOR OF SIZE 1200 X2100 MM Double leaf</t>
  </si>
  <si>
    <t>2*0.65*1.95</t>
  </si>
  <si>
    <t>1*2*0.525*1.825</t>
  </si>
  <si>
    <t>Glass panel</t>
  </si>
  <si>
    <t>2*2*(0.525+1.825)</t>
  </si>
  <si>
    <t>Beeding</t>
  </si>
  <si>
    <t>TOTAL FOR 1.845 SQM</t>
  </si>
  <si>
    <t>Cement Paint two coat for old wall</t>
  </si>
  <si>
    <t>TOTAL FOR 2.535 sqm</t>
  </si>
  <si>
    <t>Cemant paint</t>
  </si>
  <si>
    <t>painter I</t>
  </si>
  <si>
    <t>T.W.DOUBLE LEAF FULLY PANELLED</t>
  </si>
  <si>
    <t>1500 X 2400MM</t>
  </si>
  <si>
    <t xml:space="preserve">SHUTTER SIZE-1X2X.675X2.3125                                                                                 </t>
  </si>
  <si>
    <r>
      <t xml:space="preserve">STYLES(OVER 2M) -2X2X2.3125X0.15X0.0375                                                      </t>
    </r>
    <r>
      <rPr>
        <b/>
        <sz val="12"/>
        <rFont val="Arial"/>
        <family val="2"/>
      </rPr>
      <t xml:space="preserve">  = 0.052</t>
    </r>
  </si>
  <si>
    <t xml:space="preserve">RAILS(BELOW 2M)- </t>
  </si>
  <si>
    <t xml:space="preserve">Top &amp; Intermediate 2X3X0.675X0.15X0.0375       </t>
  </si>
  <si>
    <t>Cement Paint one coat for old wall</t>
  </si>
  <si>
    <t xml:space="preserve"> Bottom              - 1X2X0.675X0.20X0.0375 = 0.010125</t>
  </si>
  <si>
    <t>PLANKS      -2X2X0.5875X.4X0.01875</t>
  </si>
  <si>
    <t xml:space="preserve">             -1X2X0.5625X0.4X0.01875</t>
  </si>
  <si>
    <t>Thorouh scrapping</t>
  </si>
  <si>
    <t>T.W PLANKS OVER 30 TO 45cm</t>
  </si>
  <si>
    <t>WIDE&amp;12TO25mm T.K p-19 it-110</t>
  </si>
  <si>
    <t xml:space="preserve">6" Alu. DOOR HANDLE </t>
  </si>
  <si>
    <t>10"X1/2"TOWER BOLT p40 103c</t>
  </si>
  <si>
    <t>12"X5/8"ALDROP p -41 105a</t>
  </si>
  <si>
    <t>RUBBERBUSH 40 DIA &amp; 60 MM LONG  p -41 sl.111</t>
  </si>
  <si>
    <t>Thorouh scrapping (p-26 slno.357 d)</t>
  </si>
  <si>
    <t>Alu. DOOR STOPPER p41 110</t>
  </si>
  <si>
    <t>TOTAL FOR  3.122 SQM</t>
  </si>
  <si>
    <t>T.W.DOUBLE LEAF 2/3 Glazed and 1/3 PANELLED</t>
  </si>
  <si>
    <t xml:space="preserve">                                                                 </t>
  </si>
  <si>
    <t>-----------------</t>
  </si>
  <si>
    <t>5.5 MM THK. GLASS                -2X2X0.5875X.40</t>
  </si>
  <si>
    <t>PLANKS              -1X2X0.5625X0.4X0.01875</t>
  </si>
  <si>
    <t>T.W. Beeding  - 2 x 2 x 1.975</t>
  </si>
  <si>
    <t>PAINTING TWO COATS OVER OLD</t>
  </si>
  <si>
    <t>WIDE&amp;12TO25mm T.K p19 sl.110</t>
  </si>
  <si>
    <t>5.5 MM THICK PLAIN GLASS p44 sl.137</t>
  </si>
  <si>
    <t>T.W. beeding 15mm x 12 mm p42 113a</t>
  </si>
  <si>
    <t>LABOUR FOR WROUGHT&amp;PUTUP p33 sl.146 /4</t>
  </si>
  <si>
    <t>6" Alu. DOOR HANDLE p41/84</t>
  </si>
  <si>
    <t xml:space="preserve">  5"BUTT HINGS p40/77a</t>
  </si>
  <si>
    <t>10"X1/2"TOWER BOLT</t>
  </si>
  <si>
    <t>12"X5/8"ALDROP</t>
  </si>
  <si>
    <t xml:space="preserve">RUBBERBUSH 40 DIA &amp; 60 MM LONG </t>
  </si>
  <si>
    <t>Alu. DOOR STOPPER</t>
  </si>
  <si>
    <t>1200 X 2400MM</t>
  </si>
  <si>
    <t xml:space="preserve">SHUTTER SIZE-1X2X.525X2.3125                                                                                 </t>
  </si>
  <si>
    <t>Ornamental TW panelled Door 1800X2400 Double leaves</t>
  </si>
  <si>
    <t>Data and non scheduled items as per CER 2008-09 for PERURANI Scheme)</t>
  </si>
  <si>
    <t xml:space="preserve">Top &amp; Intermediate 2X3X0.525X0.15X0.0375       </t>
  </si>
  <si>
    <t xml:space="preserve"> Bottom              - 1X2X0.525X0.20X0.0375 = 0.010125</t>
  </si>
  <si>
    <t>T.W SCANTLING BELOW 2m</t>
  </si>
  <si>
    <t>labour charges for carving work</t>
  </si>
  <si>
    <t>WITH C.M(1:5)20mm THICK</t>
  </si>
  <si>
    <t>PLANKS      -2X2X0.25X.5875X0.01875</t>
  </si>
  <si>
    <t>Brass hinges 6"</t>
  </si>
  <si>
    <t xml:space="preserve">             -1X2X0.5625X0.25X0.01875</t>
  </si>
  <si>
    <t>16" brass tower bolt</t>
  </si>
  <si>
    <t>8" brass tower bolt</t>
  </si>
  <si>
    <t>10" brass tower bolt</t>
  </si>
  <si>
    <t>Removal of old cement mortor racking out joints 20mm deep p-26/75/321</t>
  </si>
  <si>
    <t>7" mortice lock with brass handle985</t>
  </si>
  <si>
    <t>12" majestic door handle</t>
  </si>
  <si>
    <r>
      <t xml:space="preserve">Brass screws </t>
    </r>
    <r>
      <rPr>
        <sz val="11"/>
        <color theme="1"/>
        <rFont val="Calibri"/>
        <family val="2"/>
        <scheme val="minor"/>
      </rPr>
      <t>not necessary as there is brass fittings</t>
    </r>
  </si>
  <si>
    <t>T.W PLANKS OVER 15 TO 30cm</t>
  </si>
  <si>
    <t>RATE for 3.0225 SQM</t>
  </si>
  <si>
    <t>RATE FOR 1 SQM</t>
  </si>
  <si>
    <t>Matt paint one coat</t>
  </si>
  <si>
    <t>TOTAL FOR  2.428 SQM</t>
  </si>
  <si>
    <t>Thorough scrapping</t>
  </si>
  <si>
    <t>BWR DOUBLE LEAF FULLY PANELLED</t>
  </si>
  <si>
    <t>Ornamental TW panelled Door 1800X2100 Double leaves</t>
  </si>
  <si>
    <t>Brass hinges 6" p-40</t>
  </si>
  <si>
    <t>16" brass tower bolt   p-40</t>
  </si>
  <si>
    <t>PLANKS  BWR 9mm thick.    -2X2X0.25X.5875</t>
  </si>
  <si>
    <t xml:space="preserve">             -1X2X0.5625X0.25</t>
  </si>
  <si>
    <t xml:space="preserve">BWR DOUBLE LEAF 2/3 Glazed and 1/3 PANELLED </t>
  </si>
  <si>
    <t>T.W PLANKS (12-25 CM) (30 TO 45CM THICK) it-75(i) iii p-18</t>
  </si>
  <si>
    <t>PLANKS BWR 9mm thick          -1X2X0.5625X0.4</t>
  </si>
  <si>
    <t>Rubber Bush</t>
  </si>
  <si>
    <t>5.5 MM THICK PLAIN GLASS</t>
  </si>
  <si>
    <t>T.W. beeding 15mm x 12 mm</t>
  </si>
  <si>
    <t>Brassscrews</t>
  </si>
  <si>
    <t>RATE PER 3.95 SQM</t>
  </si>
  <si>
    <r>
      <t xml:space="preserve">PAINTING TWO COATS OVER NEW           </t>
    </r>
    <r>
      <rPr>
        <b/>
        <sz val="12"/>
        <rFont val="Helv"/>
      </rPr>
      <t>(as per PWD Standard Data)</t>
    </r>
  </si>
  <si>
    <t>BWR SINGLE LEAF FULLY PANELLED</t>
  </si>
  <si>
    <t>900 X 2400MM</t>
  </si>
  <si>
    <t xml:space="preserve">SHUTTER SIZE-1X.75X2.3125                                                                                 </t>
  </si>
  <si>
    <r>
      <t xml:space="preserve">STYLES(OVER 2M) -1X3X2.3125X0.15X0.0375                                                      </t>
    </r>
    <r>
      <rPr>
        <b/>
        <sz val="12"/>
        <rFont val="Arial"/>
        <family val="2"/>
      </rPr>
      <t xml:space="preserve">  = 0.052</t>
    </r>
  </si>
  <si>
    <t xml:space="preserve">Top &amp; Intermediate 1X3X0.75X0.15X0.0375       </t>
  </si>
  <si>
    <t xml:space="preserve"> Bottom              - 1X0.75X0.20X0.0375 = 0.010125</t>
  </si>
  <si>
    <t>PLANKS  BWR 9mm thick.    -2X2X0.175X.5875</t>
  </si>
  <si>
    <t xml:space="preserve">             -1X2X0.5625X0.175</t>
  </si>
  <si>
    <t>Plastic Emulsion PAINT one coat for old wall</t>
  </si>
  <si>
    <t>TOTAL FOR 1.734 SQM</t>
  </si>
  <si>
    <t xml:space="preserve">Top &amp; Intermediate 1X3X0.9X0.15X0.0375       </t>
  </si>
  <si>
    <t xml:space="preserve"> Bottom              - 1X1X0.9X0.20X0.0375</t>
  </si>
  <si>
    <t>1050 X 2400MM</t>
  </si>
  <si>
    <t xml:space="preserve">SHUTTER SIZE-1X.90 X 2.3125                                                                                 </t>
  </si>
  <si>
    <t>6" Alu. DOOR HANDLE  p41 80b</t>
  </si>
  <si>
    <t xml:space="preserve">  5"BUTT HINGS p40 77a</t>
  </si>
  <si>
    <t>10"X1/2"TOWER BOLT p 40 78c</t>
  </si>
  <si>
    <t>12"X5/8"ALDROP p41 79a</t>
  </si>
  <si>
    <t>TOTAL FOR 2.081 SQM</t>
  </si>
  <si>
    <t>T.W DOOR SHUTTER TWO LEAVES(2000 X 2400 mm) WITH BRASS FITINGS</t>
  </si>
  <si>
    <t xml:space="preserve">SHUTTER AREA      = 2X0.95 X 2.325                         </t>
  </si>
  <si>
    <t>STYLES (OVER 2m) = 2 X 2 X 2.325 X 0.075 X 0.0375         = 0.0228</t>
  </si>
  <si>
    <t>Bottom</t>
  </si>
  <si>
    <t xml:space="preserve">            2x  2X  0.95 X 0.075 X 0.0375     </t>
  </si>
  <si>
    <t xml:space="preserve">PLANKS : 2 X 4 X 0.825 X 0.36 X 0.01875    </t>
  </si>
  <si>
    <t xml:space="preserve">                  2 X 1 X 0.825 X 0.36 X 0.01875    </t>
  </si>
  <si>
    <t>T.W PLANKS (30 to 45 CM) (12 TO 25CM THICK)</t>
  </si>
  <si>
    <t>5.5 MM THK. GLASS                -2X2X0.5875X0.25</t>
  </si>
  <si>
    <t>RATE FOR 4.4175 SQM</t>
  </si>
  <si>
    <t>PLANKS              -1X2X0.5625X0.25x0.01875</t>
  </si>
  <si>
    <t>T.W. Beeding  - 2 x 2 x 1.675</t>
  </si>
  <si>
    <t>Providing Acid proof tile flooring of</t>
  </si>
  <si>
    <t>any size  including pointing etc.,</t>
  </si>
  <si>
    <t>COST Of acid proof tile (as per Krishnagiri DPO)</t>
  </si>
  <si>
    <t>Colour pigment</t>
  </si>
  <si>
    <r>
      <t xml:space="preserve">S &amp; F best indian 2/3 Glazed 1/3 Teak wood Panelled door shutter of size 
</t>
    </r>
    <r>
      <rPr>
        <b/>
        <u/>
        <sz val="13"/>
        <rFont val="Arial"/>
        <family val="2"/>
      </rPr>
      <t>b)1500mmx2100mm</t>
    </r>
  </si>
  <si>
    <t>T.W SCANTLING ABOVE 2m</t>
  </si>
  <si>
    <t>Glass 5.5mm thick   p-44/137</t>
  </si>
  <si>
    <t>M.S.Grill</t>
  </si>
  <si>
    <t>/cum</t>
  </si>
  <si>
    <t xml:space="preserve">Labour charges for shutter glazed door </t>
  </si>
  <si>
    <t>10"x5/8" Aldrop</t>
  </si>
  <si>
    <t>Alu.DOOR HANDLE WITH CP SCREWS (150mm long)</t>
  </si>
  <si>
    <t>Painting two coats of M.S. Grill</t>
  </si>
  <si>
    <t>Best varnishing two coats</t>
  </si>
  <si>
    <t>Sundries for brass screw</t>
  </si>
  <si>
    <t>Total for Each</t>
  </si>
  <si>
    <r>
      <t xml:space="preserve">Supply and laying of </t>
    </r>
    <r>
      <rPr>
        <b/>
        <sz val="12"/>
        <rFont val="Helv"/>
      </rPr>
      <t>Hard core</t>
    </r>
    <r>
      <rPr>
        <sz val="11"/>
        <color theme="1"/>
        <rFont val="Calibri"/>
        <family val="2"/>
        <scheme val="minor"/>
      </rPr>
      <t xml:space="preserve"> layer of 30</t>
    </r>
    <r>
      <rPr>
        <b/>
        <sz val="12"/>
        <rFont val="Helv"/>
      </rPr>
      <t>0mm</t>
    </r>
    <r>
      <rPr>
        <sz val="11"/>
        <color theme="1"/>
        <rFont val="Calibri"/>
        <family val="2"/>
        <scheme val="minor"/>
      </rPr>
      <t xml:space="preserve"> consolidated thickness (10Sqm x .3m thick= 3.0 cum)</t>
    </r>
  </si>
  <si>
    <t>Supply of 80-63mm metal 60%</t>
  </si>
  <si>
    <t>Supply of 40-10mm metal 40%</t>
  </si>
  <si>
    <t>Supply of river sand for filling the voids at 20%</t>
  </si>
  <si>
    <t>SUB DATA for hand rolling as per Highways SR</t>
  </si>
  <si>
    <t xml:space="preserve">Labour charges for placing metal and sand </t>
  </si>
  <si>
    <t>labour charges for watering and consolidation by power roller</t>
  </si>
  <si>
    <t>Rate for 0.75m3</t>
  </si>
  <si>
    <t xml:space="preserve">Vibrator / Earth rammed </t>
  </si>
  <si>
    <t>Rate for 1m3</t>
  </si>
  <si>
    <t>Sundries for watering through water set</t>
  </si>
  <si>
    <t>SUB DATA for Labour Charges only</t>
  </si>
  <si>
    <r>
      <t>For 3 m</t>
    </r>
    <r>
      <rPr>
        <vertAlign val="superscript"/>
        <sz val="12"/>
        <rFont val="Helv"/>
      </rPr>
      <t xml:space="preserve">3 </t>
    </r>
  </si>
  <si>
    <t xml:space="preserve">Mason II Class </t>
  </si>
  <si>
    <t>For 1m3</t>
  </si>
  <si>
    <t>Mazdoor I Class</t>
  </si>
  <si>
    <t>Mazdoor II Class</t>
  </si>
  <si>
    <t>Flush door shutter size 1000x2400 ( Single leaf)</t>
  </si>
  <si>
    <t>Shutter size (1.1 x 2.325)</t>
  </si>
  <si>
    <t>Rate for 10m3</t>
  </si>
  <si>
    <t>Solid core flush door shutter with TW palin</t>
  </si>
  <si>
    <t>Labour for Wrought &amp; Putup</t>
  </si>
  <si>
    <t>Flush door shutter size 1200x2400 (Double leaf)</t>
  </si>
  <si>
    <t>Door Handle with CP screws 6'</t>
  </si>
  <si>
    <t>shutter size 1200x2400 (Double leaf)=1.1 x 2.325 =</t>
  </si>
  <si>
    <t>Forpower rolling as per PWD SR 2017-18 it-71 b / P.25</t>
  </si>
  <si>
    <t>5" Butt Hings</t>
  </si>
  <si>
    <t>Solid core flush door shutter with TW palin -it-121 p-42</t>
  </si>
  <si>
    <t>6"x1/2" Tower Bolt</t>
  </si>
  <si>
    <t>Labour for Wrought &amp; Putup p33/156b</t>
  </si>
  <si>
    <t>Door Handle with CP screws 6' p41/80b</t>
  </si>
  <si>
    <t>Flush door shutter size 1500x2400 (Double leaves)</t>
  </si>
  <si>
    <t>Brass Screws</t>
  </si>
  <si>
    <t>5" Butt Hings p40/77a</t>
  </si>
  <si>
    <t>shutter size 1500x2400 (Double leaves)=1.4 x 2.325 =</t>
  </si>
  <si>
    <t>Rubber bush</t>
  </si>
  <si>
    <t>6"x1/2" Tower Bolt p40/78e</t>
  </si>
  <si>
    <t>Solid core flush door shutter with TW palin -it-93 p-43</t>
  </si>
  <si>
    <t>Door Stopper</t>
  </si>
  <si>
    <t>10"x5/8" Aldrop p41/79b</t>
  </si>
  <si>
    <t>Labour for Wrought &amp; Putup (SR P.31,it-156)</t>
  </si>
  <si>
    <t>Painting Two Coats</t>
  </si>
  <si>
    <t>Rate for 2.09 Sqm</t>
  </si>
  <si>
    <t>Rubber bush p41/83</t>
  </si>
  <si>
    <t>Varnish Two Coats</t>
  </si>
  <si>
    <t>Rate for 2.56 Sqm</t>
  </si>
  <si>
    <t>Flush door shutter size 1000x2100 ( Single leaf)</t>
  </si>
  <si>
    <t>Rate for 3.26 Sqm</t>
  </si>
  <si>
    <t>Flush door shutter size 900x2100 ( Single leaf)</t>
  </si>
  <si>
    <t>Shutter size (0.9 x 2.025)</t>
  </si>
  <si>
    <t>Shutter size (0.9 x 2.325)</t>
  </si>
  <si>
    <t>Shutter size (0.8 x 2.025)</t>
  </si>
  <si>
    <t>Solid core flush door shutter with TW plain</t>
  </si>
  <si>
    <t>Labour for Wrought &amp; Putup p33/156a</t>
  </si>
  <si>
    <t>Labour for Wrought &amp; Putup p31/156a</t>
  </si>
  <si>
    <t>Flush door shutter size 1200x2400 ( Single leaf)</t>
  </si>
  <si>
    <t>shutter size 1200x2400 (Double leaves)=1.1 x 2.325 =</t>
  </si>
  <si>
    <t>Labour for Wrought &amp; Putup (SR P.32,it-156a)</t>
  </si>
  <si>
    <t>Rate for 1.82 Sqm</t>
  </si>
  <si>
    <t>Rate for 1.62 Sqm</t>
  </si>
  <si>
    <t>Flush door shutter size 1500x2100 ( Double leaf)</t>
  </si>
  <si>
    <t>Flush door shutter size 900x2400 ( Single leaf)</t>
  </si>
  <si>
    <r>
      <t>WASHBASIN</t>
    </r>
    <r>
      <rPr>
        <sz val="11"/>
        <color theme="1"/>
        <rFont val="Calibri"/>
        <family val="2"/>
        <scheme val="minor"/>
      </rPr>
      <t xml:space="preserve"> (White Pedastal type)  22"X16" INCLUDING</t>
    </r>
  </si>
  <si>
    <t>Shutter size (1.4 x 2.025)</t>
  </si>
  <si>
    <t>Shutter size (0.8 x 2.325)</t>
  </si>
  <si>
    <t>Wash Hand Basin of size 550 x 400 mm with all accessories such as CI brackets, 32mm dia CP waste coupling, Rubber plug and chain, 32mm dia B class GI waste pipe, 15mm dia brass nipples. 15mm CP pillar tap etc.,P-55 it-169 -i</t>
  </si>
  <si>
    <t>deduct rate for 15mm dia GM wheel valve</t>
  </si>
  <si>
    <t>Rate for 2.84 Sqm</t>
  </si>
  <si>
    <t>Rate for 1.86 Sqm</t>
  </si>
  <si>
    <t>Flush door shutter size 1500x2400 ( Double leaf)</t>
  </si>
  <si>
    <t>Shutter size (1.4 x 2.325)</t>
  </si>
  <si>
    <t xml:space="preserve">Two legged scaffolding using 15cm dia casurna props </t>
  </si>
  <si>
    <t>15cm dia Casurina post p-20 it-138</t>
  </si>
  <si>
    <t>Country wood planks (silver oak) p-138 it130/78b</t>
  </si>
  <si>
    <t>1 Cum</t>
  </si>
  <si>
    <t>total cost of material used for 10 times</t>
  </si>
  <si>
    <t>Cost per 1 operation</t>
  </si>
  <si>
    <t>Oper</t>
  </si>
  <si>
    <t>15cm dia casurina post</t>
  </si>
  <si>
    <t>Add for coir, nail etc</t>
  </si>
  <si>
    <t>Rate for 6m</t>
  </si>
  <si>
    <t>Rate for intial height of 3m and length of 1m</t>
  </si>
  <si>
    <t xml:space="preserve">For every additional height of 2.5m height </t>
  </si>
  <si>
    <t>m</t>
  </si>
  <si>
    <t>vertical post of casurina post (13cm to 15cm)</t>
  </si>
  <si>
    <t>Flush door shutter size 1800x2400 (Double leaf)</t>
  </si>
  <si>
    <t>Cost of material plank</t>
  </si>
  <si>
    <t>shutter size 1800x2400 (Double leaf)=1.7 x 2.325 =</t>
  </si>
  <si>
    <t>Cost per 10 operation</t>
  </si>
  <si>
    <t>Sundries for coir , nais etc</t>
  </si>
  <si>
    <t>cost for 6 Rmt</t>
  </si>
  <si>
    <t>cost of 1m run ane every additional height of 2.5m</t>
  </si>
  <si>
    <t>For 3m Height</t>
  </si>
  <si>
    <t>5.5m height in addition of 2.5m ht</t>
  </si>
  <si>
    <t>8m height in addition of 2.5m ht</t>
  </si>
  <si>
    <t>10.5m height in addition of 2.5m ht</t>
  </si>
  <si>
    <t>13m height in addition of 2.5m ht</t>
  </si>
  <si>
    <t>Rate for 3.95 Sqm</t>
  </si>
  <si>
    <t>TW single leaf french window</t>
  </si>
  <si>
    <t xml:space="preserve">shutter  for frame of overall height 3.08 x 2.1cm </t>
  </si>
  <si>
    <t>Flush door shutter size 1800x2100 (Double leaf)</t>
  </si>
  <si>
    <t>LABOUR CHARGE for wroght &amp; put up</t>
  </si>
  <si>
    <t>shutter size 1800x2100 (Double leaf)=1.7 x 2.025 =</t>
  </si>
  <si>
    <t>4 mm thicj frosted glass</t>
  </si>
  <si>
    <t>TW Beeding 15 x12 mm  p-42/113a</t>
  </si>
  <si>
    <t xml:space="preserve"> 200 mm long x12mm  ALU. TOWERBOLT (8") p-40/103d</t>
  </si>
  <si>
    <t>6" Handles ( 150mm long)</t>
  </si>
  <si>
    <t>TOTAL FOR 5.16 SQM</t>
  </si>
  <si>
    <t>Rate for 3.44 Sqm</t>
  </si>
  <si>
    <t>TW Panelled Swing type ventilater</t>
  </si>
  <si>
    <t>of size 75x 75cm</t>
  </si>
  <si>
    <t>Flush door shutter size 1200x2100 ( Double leaves)</t>
  </si>
  <si>
    <t>shutter size =1.1 x 2.025 =</t>
  </si>
  <si>
    <t>Flush door shutter size 750x2100  ( single leaf)</t>
  </si>
  <si>
    <t xml:space="preserve">SHUTTER SIZE-0.65X0.65                                                                                 </t>
  </si>
  <si>
    <t>shutter size =0.65*2.025 =</t>
  </si>
  <si>
    <r>
      <t xml:space="preserve">STYLES -2X0.65 x   7.525 x 3.125                                                 </t>
    </r>
    <r>
      <rPr>
        <b/>
        <sz val="12"/>
        <rFont val="Arial"/>
        <family val="2"/>
      </rPr>
      <t xml:space="preserve">  = 0.052</t>
    </r>
  </si>
  <si>
    <t xml:space="preserve">Top &amp; Intermediate 2X3X7.5255X0.15X0.0375       </t>
  </si>
  <si>
    <t>Rate for 2.23 Sqm</t>
  </si>
  <si>
    <t>With Brass fittings</t>
  </si>
  <si>
    <t xml:space="preserve">Providing Colour Marble chips of size 10mm and below using 70.20Kgs of cement and 15 cum of Colour Marble chips for every 10 sqm over the existing plastered surface </t>
  </si>
  <si>
    <t xml:space="preserve"> Cost of Colour Marble chips ( 91.10/0.0354)=2548.02 (P-35 it-26 )</t>
  </si>
  <si>
    <t xml:space="preserve">Colour Pigment </t>
  </si>
  <si>
    <t>Supply and fixing of Aluminium partion (size 3.85 x 3.45) supplying and fixing of aluminium with fixed glass extruction as detailed below and anodized for 15 microns ( black colour) vertical 63.5 x 38.1 x 1.28 mm, die no 20027.thickness 0.758 kg/m,horizontal (top &amp; intermiate ) 63.5 x 38.1 x 1.28 mm, die no 20027.thickness 0.758 kg/m,bottom 101.6 x 44.45 x 2.5 mm thickness die no 19556-1.943kg/m,including labour charges for cutting &amp; fixing with necessary screws and including cost and conveyance of 5.5mm thick plain glass</t>
  </si>
  <si>
    <t>Supply and fixing of colour matt finish door 15 microns double leaf door Aluminium Door  ( 1.5 x2.1m thick)</t>
  </si>
  <si>
    <t>UPVC instead of Stone ware Pipe</t>
  </si>
  <si>
    <t>Aluminium section ''it-61 a( rev SR-17-18)</t>
  </si>
  <si>
    <t>Rubber beeding (An-VI -it-63 p-40</t>
  </si>
  <si>
    <t>SUPPLYING AND  LAYING AND</t>
  </si>
  <si>
    <t>Rubber beeding (An-VI -it-86 p-39</t>
  </si>
  <si>
    <t>Glass 5.5mm plain  it-107</t>
  </si>
  <si>
    <t>JOINTING SN8 UPVC PIPE AND SPECIALS</t>
  </si>
  <si>
    <t>Novapan Sheet 12mm Thick</t>
  </si>
  <si>
    <t>Brass SCREWS (30x 6mm)it-138</t>
  </si>
  <si>
    <t>Power Grapping p-56 it-243</t>
  </si>
  <si>
    <t>Brass SCREWS (75x 10mm)it-138</t>
  </si>
  <si>
    <t>110mm DIA  UPVC PIPE BELOW G.L</t>
  </si>
  <si>
    <t>PVC Felt ( It-88)</t>
  </si>
  <si>
    <t>Plug</t>
  </si>
  <si>
    <t>Power Grapping p-52 it-173</t>
  </si>
  <si>
    <t>DOOR STOPPER   It-110</t>
  </si>
  <si>
    <t>Hydraulic DOOR Closer It-67</t>
  </si>
  <si>
    <t>TOTAL FOR 6.615 SQM</t>
  </si>
  <si>
    <t>Cost of UPVC SN8 Pipe (TWAD SR 2022-23 P-23 1.2 1)</t>
  </si>
  <si>
    <t xml:space="preserve">  SCREWS (75x 10mm)it-138</t>
  </si>
  <si>
    <t>Bolts &amp; Nuts ( 3/4"x 1/4") It-103-b</t>
  </si>
  <si>
    <t>Bolts &amp; Nuts ( 6"x 1/2") it-103-e</t>
  </si>
  <si>
    <t>TOTAL FOR 3.15 SQM</t>
  </si>
  <si>
    <t>JOINTING MATERIALS. (TWAD SR 22-23,p-268 11-b)</t>
  </si>
  <si>
    <t>CUTTING CHARGES ( P-32/141)</t>
  </si>
  <si>
    <t>160mm DIA  UPVC PIPE BELOW G.L</t>
  </si>
  <si>
    <t>Supply and fixing of colour matt finish door 15 microns double leaf door Aluminium Door  ( 1.0 x2.1m thick)</t>
  </si>
  <si>
    <t>Rubber beeding (An-VI -it-63</t>
  </si>
  <si>
    <t>PVC Felt ( It-65)</t>
  </si>
  <si>
    <t>DOOR STOPPER   It-82</t>
  </si>
  <si>
    <t xml:space="preserve">  SCREWS (75x 10mm)(An-VI -it-163</t>
  </si>
  <si>
    <t>Bolts &amp; Nuts ( 3/4"x 1/4") It-78-b p-40</t>
  </si>
  <si>
    <t>Bolts &amp; Nuts ( 6"x 1/2") it-78-e</t>
  </si>
  <si>
    <t>TOTAL FOR 2.1 SQM</t>
  </si>
  <si>
    <t>Aluminium  Anodised 1.80 x1.35 m</t>
  </si>
  <si>
    <r>
      <t>Supplying, fabricating and fixing inposition A</t>
    </r>
    <r>
      <rPr>
        <b/>
        <sz val="11"/>
        <color indexed="8"/>
        <rFont val="Arial"/>
        <family val="2"/>
      </rPr>
      <t>luminium anodised natural colour matt finish four Track Sliding Window</t>
    </r>
    <r>
      <rPr>
        <sz val="11"/>
        <color indexed="8"/>
        <rFont val="Arial"/>
        <family val="2"/>
      </rPr>
      <t xml:space="preserve"> size 1.80mm x 1.35 mm of with outer frame section with 62x38x2mm at 1.174 kg/m and the louvered with moving arrangements made with aluminium channel of size 60x30x4mm @ 1.274 kg/m ALuminium clips 19.05x17.27/ 11.05x0.075mm @ 0.169kg/m with necessary 4mm thick plain glass panel for louvers including cost of all materials, labour and power required for fabrications, chipping dismantling making holes in RCC column ,slab, masonry and made good to the original condition after fixing etc., complete. The Aluminium surface is to be anodised with matt finish under electrically controlled condition in accordance with ISI specification 1868/1962 for anodic film thickness of notless than 15 Microns,etc., complete.</t>
    </r>
    <r>
      <rPr>
        <b/>
        <sz val="11"/>
        <color indexed="8"/>
        <rFont val="Arial"/>
        <family val="2"/>
      </rPr>
      <t>1.80mm x 1.35 mm</t>
    </r>
  </si>
  <si>
    <t>Aluminium section ''it-61 a( rev SR-18-19)</t>
  </si>
  <si>
    <t>Rubber beeding (An-VI -it-86</t>
  </si>
  <si>
    <t>Glass 4 mm thichk plain  it-136</t>
  </si>
  <si>
    <t xml:space="preserve"> PVC  Roller for sliding ''it-98</t>
  </si>
  <si>
    <t>Lock  for sliding ''it-93</t>
  </si>
  <si>
    <t>Handle" D "type 100mm long ''it-107c</t>
  </si>
  <si>
    <t xml:space="preserve">Screws  rayal plugs  and stopper etc </t>
  </si>
  <si>
    <t xml:space="preserve"> REVISED SR 2017-18 </t>
  </si>
  <si>
    <t>Providing wall panelling using 12mm BWR plywood over 2"x1" aluminium channel to be fixed on wall</t>
  </si>
  <si>
    <t>Say</t>
  </si>
  <si>
    <t>Wall Panelling data as per DPO Thanjavur</t>
  </si>
  <si>
    <t>Aluminium section [SR P.44]</t>
  </si>
  <si>
    <t>Aluminium  Anodised 1.35 x1.35 m</t>
  </si>
  <si>
    <t>Country wood reeper (50 x 25 mm p-19 s.no.123)</t>
  </si>
  <si>
    <t>12mm thk. BWR plywood board (Qtn)</t>
  </si>
  <si>
    <r>
      <t>Supplying, fabricating and fixing inposition A</t>
    </r>
    <r>
      <rPr>
        <b/>
        <sz val="11"/>
        <color indexed="8"/>
        <rFont val="Arial"/>
        <family val="2"/>
      </rPr>
      <t>luminium anodised natural colour matt finish four Track Sliding Window</t>
    </r>
    <r>
      <rPr>
        <sz val="11"/>
        <color indexed="8"/>
        <rFont val="Arial"/>
        <family val="2"/>
      </rPr>
      <t xml:space="preserve"> size 1.35mm x 1.35 mm of with outer frame section with 62x38x2mm at 1.174 kg/m and the louvered with moving arrangements made with aluminium channel of size 60x30x4mm @ 1.274 kg/m ALuminium clips 19.05x17.27/ 11.05x0.075mm @ 0.169kg/m with necessary 4mm thick plain glass panel for louvers including cost of all materials, labour and power required for fabrications, chipping dismantling making holes in RCC column ,slab, masonry and made good to the original condition after fixing etc., complete. The Aluminium surface is to be anodised with matt finish under electrically controlled condition in accordance with ISI specification 1868/1962 for anodic film thickness of notless than 15 Microns,etc., complete.</t>
    </r>
    <r>
      <rPr>
        <b/>
        <sz val="11"/>
        <color indexed="8"/>
        <rFont val="Arial"/>
        <family val="2"/>
      </rPr>
      <t>1.80mm x 1.35 mm</t>
    </r>
  </si>
  <si>
    <t xml:space="preserve"> 6mm tk MDF Ply wood ( CER No.107-2012-13 DPO Thanjavur)</t>
  </si>
  <si>
    <t>1mm thick laminated sheet [SR P.55]</t>
  </si>
  <si>
    <t xml:space="preserve"> 4mm tk vennar ( CER No.107-2012-13 DPO Thanjavur)</t>
  </si>
  <si>
    <t>MS clips</t>
  </si>
  <si>
    <t>Melamin Polish  (P-45/148)</t>
  </si>
  <si>
    <t>Fevicol [SR P.39]</t>
  </si>
  <si>
    <t>labour charges</t>
  </si>
  <si>
    <t>Glass 4 mm thichk plain  it-106</t>
  </si>
  <si>
    <t>Nails [SR P.42]</t>
  </si>
  <si>
    <t xml:space="preserve"> PVC  Roller for sliding ''it-75 ( rev SR-17-18)</t>
  </si>
  <si>
    <t xml:space="preserve">Rate For 9 Sqm </t>
  </si>
  <si>
    <t xml:space="preserve">Rate For 9.40 Sqm </t>
  </si>
  <si>
    <t>Lock  for sliding ''it-70 ( rev SR-17-18)</t>
  </si>
  <si>
    <t xml:space="preserve">Say </t>
  </si>
  <si>
    <t>Rate Per Sqm</t>
  </si>
  <si>
    <t>Handle" D "type 100mm long ''it-80 c ( rev SR-17-18)</t>
  </si>
  <si>
    <t xml:space="preserve">Labour Charges </t>
  </si>
  <si>
    <t>FITTER  Ist Class</t>
  </si>
  <si>
    <t>Carpenter  Ist Class</t>
  </si>
  <si>
    <t xml:space="preserve">DATA </t>
  </si>
  <si>
    <r>
      <t xml:space="preserve">ONE COAT OF WALL PATTY        </t>
    </r>
    <r>
      <rPr>
        <b/>
        <sz val="12"/>
        <rFont val="Arial"/>
        <family val="2"/>
      </rPr>
      <t xml:space="preserve"> CHENNAI CITY</t>
    </r>
  </si>
  <si>
    <t>PATTY  (p-45/151)</t>
  </si>
  <si>
    <t>White wall putty powder</t>
  </si>
  <si>
    <t>Painter - I st Class</t>
  </si>
  <si>
    <t>Providing Colour Marble Chips</t>
  </si>
  <si>
    <t xml:space="preserve"> Cost of Colour Marble chips ( 84.4/0.0354)=2384.18 (P-36 it-11 )</t>
  </si>
  <si>
    <t>Colour Pigment</t>
  </si>
  <si>
    <t>Mazon  Ist Class</t>
  </si>
  <si>
    <t xml:space="preserve">THERMOCOAL FALSE CEILING ARRANGEMENTS </t>
  </si>
  <si>
    <t>Cost of Aluminium section</t>
  </si>
  <si>
    <t>Wastage 10% on Aluminium section</t>
  </si>
  <si>
    <t>MS Rod</t>
  </si>
  <si>
    <t>Wastage 5 % on MS Rod</t>
  </si>
  <si>
    <t>Cost of Thermocoal 20mm thick sheet</t>
  </si>
  <si>
    <t xml:space="preserve">Wastage 10 % </t>
  </si>
  <si>
    <t xml:space="preserve">Adjustable Screws </t>
  </si>
  <si>
    <t>MS Hooks</t>
  </si>
  <si>
    <t>Fitter Ist Class</t>
  </si>
  <si>
    <t>Mazdoor Ist Class</t>
  </si>
  <si>
    <t>TOTAL FOR 18 SQM</t>
  </si>
  <si>
    <t>RATE PER SQ M</t>
  </si>
  <si>
    <t xml:space="preserve"> Revised  SR 2018-19</t>
  </si>
  <si>
    <t>Aluminium partition wall ( 1/3 Glass 5.5mm &amp; 2/3 novapan sheet 12mm thick</t>
  </si>
  <si>
    <t>Aluminium section 'it- 84 a/p38</t>
  </si>
  <si>
    <t>Rubber beeding (p-39-it-86</t>
  </si>
  <si>
    <t xml:space="preserve"> BRASS SCREWS ( 30x6mm)(An-VI -it-232 p-55</t>
  </si>
  <si>
    <t>PVC felt</t>
  </si>
  <si>
    <t xml:space="preserve"> BRASS SCREWS (75x 10mm)(An-VI -it-233</t>
  </si>
  <si>
    <t xml:space="preserve"> Plug (An-VI -it-236</t>
  </si>
  <si>
    <t>Hydraulic door closer</t>
  </si>
  <si>
    <t>Power Grapping it-243</t>
  </si>
  <si>
    <t xml:space="preserve"> Aluminium SCREWS (75x 10mm)(An-VI -it-233</t>
  </si>
  <si>
    <t>Bolts and nuts (3/4" x 1/4")</t>
  </si>
  <si>
    <t>Bolts and nuts (6" x 1/2")</t>
  </si>
  <si>
    <t>TOTAL FOR 2.10 SQM</t>
  </si>
  <si>
    <t xml:space="preserve">M.S VENTILATOR OF SIZE -1200 X 800mm ( 1 No ) </t>
  </si>
  <si>
    <t xml:space="preserve">ALROUND M.S FLAT OF SIZE 50 X 10mm      = 4.0 M X 3.9 Kg/Met </t>
  </si>
  <si>
    <t>SQUARE BARS OF SIZE 20 x 20mm               =11Nos X 0. 8M 3.14 Kg/Met</t>
  </si>
  <si>
    <t>M.S FLAT OF SIZE 25 X 6mm HORIZONTAL = 1 X 2 X1.200 x 1.2 Kg/Met</t>
  </si>
  <si>
    <t>VERTICAL                                                             = 1 X 3 X 0.80 X 1.2 Kg/Met</t>
  </si>
  <si>
    <t>ADD FOR WELLDING</t>
  </si>
  <si>
    <t xml:space="preserve">M.S VENTILATOR OF SIZE -1000 X 800mm ( 1 No ) </t>
  </si>
  <si>
    <t xml:space="preserve">ALROUND M.S FLAT OF SIZE 50 X 10mm      = 3.6 M X 3.9 Kg/Met </t>
  </si>
  <si>
    <t>SQUARE BARS OF SIZE 20 x 20mm               = 9Nos X 0. 8M 3.14 Kg/Met</t>
  </si>
  <si>
    <t>M.S FLAT OF SIZE 25 X 6mm HORIZONTAL = 1 X 2 X1.000 x 1.2 Kg/Met</t>
  </si>
  <si>
    <t xml:space="preserve">Old RCC Door frame </t>
  </si>
  <si>
    <r>
      <t xml:space="preserve">Satndardised cement Concrtet </t>
    </r>
    <r>
      <rPr>
        <b/>
        <sz val="12"/>
        <rFont val="Helv"/>
      </rPr>
      <t xml:space="preserve"> 1:1.5:3 </t>
    </r>
  </si>
  <si>
    <t xml:space="preserve">Cochin House Data </t>
  </si>
  <si>
    <t>Aluminium window openable 1.8x1.35m (Three leaves)</t>
  </si>
  <si>
    <t xml:space="preserve">Max hinges Qtn </t>
  </si>
  <si>
    <t xml:space="preserve">Rate per Sqm </t>
  </si>
  <si>
    <t>Aluminium window openable 1.35x1.35m (Two leaves)</t>
  </si>
  <si>
    <t>Max hinges</t>
  </si>
  <si>
    <t>TOTAL FOR 1.823 SQM</t>
  </si>
  <si>
    <t>Say Rs. Rate Per m2 =</t>
  </si>
  <si>
    <t>Aluminium window openable 1.35x1.05m  ( Two leaves)</t>
  </si>
  <si>
    <t>Aluminium window openable 1.20x1.35m  ( Two leaves)</t>
  </si>
  <si>
    <t>Max</t>
  </si>
  <si>
    <r>
      <rPr>
        <b/>
        <sz val="12"/>
        <rFont val="Arial"/>
        <family val="2"/>
      </rPr>
      <t>FRENCH WINDOW</t>
    </r>
    <r>
      <rPr>
        <sz val="12"/>
        <rFont val="Arial"/>
        <family val="2"/>
      </rPr>
      <t xml:space="preserve"> FOR DOOR OF SIZE</t>
    </r>
  </si>
  <si>
    <t>1.80 X 2.0M (3 bay openable )</t>
  </si>
  <si>
    <t>SHUTTER</t>
  </si>
  <si>
    <t>TW scantling styles (upto 2M) -3X2X1.90X0.075 x 0.0375</t>
  </si>
  <si>
    <t>TW scantling rails (above 2 M) -3X2X0.50X0.075 x 0.0375</t>
  </si>
  <si>
    <t>3X1.90X0.50</t>
  </si>
  <si>
    <t>4 MM THICK PIN HEADED GLASS</t>
  </si>
  <si>
    <t>3X1.775X0.375</t>
  </si>
  <si>
    <t>TW Decorative Beeding ( 15 x 12mm )</t>
  </si>
  <si>
    <t>3 [ 2 (1.775 + 0.375)]</t>
  </si>
  <si>
    <t xml:space="preserve">Main Data </t>
  </si>
  <si>
    <t>FOR Shutter</t>
  </si>
  <si>
    <t>T.W SCANTLING  upto 2M LONG</t>
  </si>
  <si>
    <t>TW  Beeding ( 15 x 12mm )</t>
  </si>
  <si>
    <t>Brass scrwew</t>
  </si>
  <si>
    <t xml:space="preserve">Total For 2.850 Sqm </t>
  </si>
</sst>
</file>

<file path=xl/styles.xml><?xml version="1.0" encoding="utf-8"?>
<styleSheet xmlns="http://schemas.openxmlformats.org/spreadsheetml/2006/main">
  <numFmts count="16">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Rs.&quot;\ #,##0;&quot;Rs.&quot;\ \-#,##0"/>
    <numFmt numFmtId="165" formatCode="&quot;₹&quot;\ #,##0;&quot;₹&quot;\ \-#,##0"/>
    <numFmt numFmtId="166" formatCode="0.000"/>
    <numFmt numFmtId="167" formatCode="0.00_)"/>
    <numFmt numFmtId="168" formatCode="0.000_)"/>
    <numFmt numFmtId="169" formatCode="0_)"/>
    <numFmt numFmtId="170" formatCode="0.00000_)"/>
    <numFmt numFmtId="171" formatCode="0.0"/>
    <numFmt numFmtId="172" formatCode="0.0_)"/>
    <numFmt numFmtId="173" formatCode="0.0000_)"/>
    <numFmt numFmtId="174" formatCode="0.000000_)"/>
    <numFmt numFmtId="175" formatCode="0.00000000_)"/>
  </numFmts>
  <fonts count="145">
    <font>
      <sz val="11"/>
      <color theme="1"/>
      <name val="Calibri"/>
      <family val="2"/>
      <scheme val="minor"/>
    </font>
    <font>
      <sz val="11"/>
      <color theme="1"/>
      <name val="Calibri"/>
      <family val="2"/>
      <scheme val="minor"/>
    </font>
    <font>
      <sz val="10"/>
      <name val="Arial"/>
      <family val="2"/>
    </font>
    <font>
      <sz val="10"/>
      <name val="Arial"/>
      <family val="2"/>
    </font>
    <font>
      <sz val="10"/>
      <name val="Courier"/>
      <family val="3"/>
    </font>
    <font>
      <b/>
      <sz val="10"/>
      <name val="Arial"/>
      <family val="2"/>
    </font>
    <font>
      <u/>
      <sz val="10"/>
      <color indexed="12"/>
      <name val="Arial"/>
      <family val="2"/>
    </font>
    <font>
      <b/>
      <sz val="12"/>
      <name val="Arial"/>
      <family val="2"/>
    </font>
    <font>
      <b/>
      <sz val="11"/>
      <name val="Arial"/>
      <family val="2"/>
    </font>
    <font>
      <b/>
      <u/>
      <sz val="14"/>
      <name val="Arial"/>
      <family val="2"/>
    </font>
    <font>
      <sz val="12"/>
      <name val="Arial"/>
      <family val="2"/>
    </font>
    <font>
      <sz val="12"/>
      <name val="Times New Roman"/>
      <family val="1"/>
    </font>
    <font>
      <sz val="16"/>
      <name val="Arial"/>
      <family val="2"/>
    </font>
    <font>
      <b/>
      <sz val="12"/>
      <name val="Helv"/>
    </font>
    <font>
      <sz val="13"/>
      <name val="Arial"/>
      <family val="2"/>
    </font>
    <font>
      <sz val="12"/>
      <name val="Helv"/>
    </font>
    <font>
      <sz val="11"/>
      <color indexed="8"/>
      <name val="Calibri"/>
      <family val="2"/>
    </font>
    <font>
      <u/>
      <sz val="7.5"/>
      <color indexed="12"/>
      <name val="Arial"/>
      <family val="2"/>
    </font>
    <font>
      <sz val="10"/>
      <name val="Arabic Transparent"/>
      <charset val="178"/>
    </font>
    <font>
      <sz val="12"/>
      <name val="Century Gothic"/>
      <family val="2"/>
    </font>
    <font>
      <sz val="11"/>
      <name val="Century Gothic"/>
      <family val="2"/>
    </font>
    <font>
      <b/>
      <sz val="12"/>
      <name val="Century Gothic"/>
      <family val="2"/>
    </font>
    <font>
      <sz val="11"/>
      <color theme="1"/>
      <name val="Century Gothic"/>
      <family val="2"/>
    </font>
    <font>
      <b/>
      <sz val="11"/>
      <color theme="1"/>
      <name val="Century Gothic"/>
      <family val="2"/>
    </font>
    <font>
      <sz val="11"/>
      <color indexed="8"/>
      <name val="Century Gothic"/>
      <family val="2"/>
    </font>
    <font>
      <b/>
      <sz val="11"/>
      <name val="Century Gothic"/>
      <family val="2"/>
    </font>
    <font>
      <b/>
      <sz val="11"/>
      <color indexed="8"/>
      <name val="Century Gothic"/>
      <family val="2"/>
    </font>
    <font>
      <sz val="12"/>
      <color theme="1"/>
      <name val="Calibri"/>
      <family val="2"/>
      <scheme val="minor"/>
    </font>
    <font>
      <b/>
      <sz val="12"/>
      <color theme="1"/>
      <name val="Calibri"/>
      <family val="2"/>
      <scheme val="minor"/>
    </font>
    <font>
      <sz val="12"/>
      <color theme="1"/>
      <name val="Century Gothic"/>
      <family val="2"/>
    </font>
    <font>
      <b/>
      <sz val="14"/>
      <name val="Times New Roman"/>
      <family val="1"/>
    </font>
    <font>
      <b/>
      <sz val="18"/>
      <name val="Calibri"/>
      <family val="2"/>
      <scheme val="minor"/>
    </font>
    <font>
      <b/>
      <u/>
      <sz val="18"/>
      <name val="Calibri"/>
      <family val="2"/>
      <scheme val="minor"/>
    </font>
    <font>
      <b/>
      <sz val="16"/>
      <name val="Calibri"/>
      <family val="2"/>
      <scheme val="minor"/>
    </font>
    <font>
      <b/>
      <sz val="16"/>
      <color theme="1"/>
      <name val="Calibri"/>
      <family val="2"/>
      <scheme val="minor"/>
    </font>
    <font>
      <sz val="14"/>
      <name val="Calibri"/>
      <family val="2"/>
      <scheme val="minor"/>
    </font>
    <font>
      <sz val="14"/>
      <color theme="1"/>
      <name val="Calibri"/>
      <family val="2"/>
      <scheme val="minor"/>
    </font>
    <font>
      <sz val="18"/>
      <name val="Calibri"/>
      <family val="2"/>
      <scheme val="minor"/>
    </font>
    <font>
      <b/>
      <sz val="14"/>
      <name val="Calibri"/>
      <family val="2"/>
      <scheme val="minor"/>
    </font>
    <font>
      <b/>
      <sz val="14"/>
      <color theme="1"/>
      <name val="Calibri"/>
      <family val="2"/>
      <scheme val="minor"/>
    </font>
    <font>
      <b/>
      <sz val="11"/>
      <color theme="1"/>
      <name val="Calibri"/>
      <family val="2"/>
      <scheme val="minor"/>
    </font>
    <font>
      <b/>
      <sz val="12"/>
      <name val="Calibri"/>
      <family val="2"/>
      <scheme val="minor"/>
    </font>
    <font>
      <sz val="11"/>
      <name val="Calibri"/>
      <family val="2"/>
      <scheme val="minor"/>
    </font>
    <font>
      <sz val="12"/>
      <name val="Calibri"/>
      <family val="2"/>
      <scheme val="minor"/>
    </font>
    <font>
      <sz val="11"/>
      <color indexed="8"/>
      <name val="Calibri"/>
      <family val="2"/>
      <scheme val="minor"/>
    </font>
    <font>
      <b/>
      <sz val="11"/>
      <name val="Calibri"/>
      <family val="2"/>
      <scheme val="minor"/>
    </font>
    <font>
      <b/>
      <sz val="11"/>
      <color indexed="8"/>
      <name val="Calibri"/>
      <family val="2"/>
      <scheme val="minor"/>
    </font>
    <font>
      <b/>
      <sz val="15"/>
      <name val="Calibri"/>
      <family val="2"/>
      <scheme val="minor"/>
    </font>
    <font>
      <b/>
      <u/>
      <sz val="14"/>
      <name val="Calibri"/>
      <family val="2"/>
      <scheme val="minor"/>
    </font>
    <font>
      <sz val="10"/>
      <name val="Calibri"/>
      <family val="2"/>
      <scheme val="minor"/>
    </font>
    <font>
      <sz val="16"/>
      <name val="Calibri"/>
      <family val="2"/>
      <scheme val="minor"/>
    </font>
    <font>
      <b/>
      <sz val="10"/>
      <name val="Calibri"/>
      <family val="2"/>
      <scheme val="minor"/>
    </font>
    <font>
      <sz val="14"/>
      <color indexed="8"/>
      <name val="Calibri"/>
      <family val="2"/>
      <scheme val="minor"/>
    </font>
    <font>
      <b/>
      <sz val="14"/>
      <color indexed="8"/>
      <name val="Calibri"/>
      <family val="2"/>
      <scheme val="minor"/>
    </font>
    <font>
      <sz val="13"/>
      <name val="Calibri"/>
      <family val="2"/>
      <scheme val="minor"/>
    </font>
    <font>
      <sz val="1"/>
      <name val="Calibri"/>
      <family val="2"/>
      <scheme val="minor"/>
    </font>
    <font>
      <b/>
      <sz val="9"/>
      <name val="Arial"/>
      <family val="2"/>
    </font>
    <font>
      <sz val="10"/>
      <color indexed="10"/>
      <name val="Arial"/>
      <family val="2"/>
    </font>
    <font>
      <sz val="10"/>
      <color rgb="FFFF0000"/>
      <name val="Arial"/>
      <family val="2"/>
    </font>
    <font>
      <sz val="8"/>
      <name val="Arial"/>
      <family val="2"/>
    </font>
    <font>
      <b/>
      <sz val="16"/>
      <name val="Helv"/>
      <family val="2"/>
    </font>
    <font>
      <b/>
      <sz val="11"/>
      <name val="Helv"/>
    </font>
    <font>
      <b/>
      <sz val="12"/>
      <name val="Helv"/>
      <family val="2"/>
    </font>
    <font>
      <sz val="12"/>
      <color theme="0"/>
      <name val="Helv"/>
    </font>
    <font>
      <sz val="10"/>
      <name val="Helv"/>
    </font>
    <font>
      <sz val="12"/>
      <color rgb="FFFF0000"/>
      <name val="Helv"/>
    </font>
    <font>
      <sz val="12"/>
      <color indexed="8"/>
      <name val="Helv"/>
    </font>
    <font>
      <b/>
      <sz val="12"/>
      <color rgb="FFFF0000"/>
      <name val="Helv"/>
    </font>
    <font>
      <sz val="11"/>
      <name val="Helv"/>
    </font>
    <font>
      <sz val="12"/>
      <color rgb="FFFFFF00"/>
      <name val="Helv"/>
    </font>
    <font>
      <sz val="12"/>
      <color indexed="10"/>
      <name val="Helv"/>
    </font>
    <font>
      <sz val="12"/>
      <color indexed="14"/>
      <name val="Helv"/>
    </font>
    <font>
      <sz val="13"/>
      <name val="Arial Narrow"/>
      <family val="2"/>
    </font>
    <font>
      <sz val="12"/>
      <color theme="5"/>
      <name val="Helv"/>
    </font>
    <font>
      <sz val="12"/>
      <color rgb="FF7030A0"/>
      <name val="Helv"/>
    </font>
    <font>
      <sz val="12"/>
      <color rgb="FFFF00FF"/>
      <name val="Helv"/>
    </font>
    <font>
      <sz val="12"/>
      <color theme="3" tint="0.39997558519241921"/>
      <name val="Helv"/>
    </font>
    <font>
      <sz val="12"/>
      <color indexed="11"/>
      <name val="Helv"/>
    </font>
    <font>
      <sz val="12"/>
      <color rgb="FFFF66FF"/>
      <name val="Helv"/>
    </font>
    <font>
      <sz val="12"/>
      <color indexed="13"/>
      <name val="Helv"/>
    </font>
    <font>
      <sz val="12"/>
      <color theme="9" tint="0.59999389629810485"/>
      <name val="Helv"/>
    </font>
    <font>
      <sz val="12"/>
      <color rgb="FF92D050"/>
      <name val="Helv"/>
    </font>
    <font>
      <b/>
      <sz val="12"/>
      <color indexed="8"/>
      <name val="Helv"/>
    </font>
    <font>
      <sz val="12"/>
      <color theme="9" tint="0.39997558519241921"/>
      <name val="Helv"/>
    </font>
    <font>
      <sz val="20"/>
      <name val="Helv"/>
    </font>
    <font>
      <b/>
      <sz val="20"/>
      <name val="Helv"/>
    </font>
    <font>
      <b/>
      <sz val="12"/>
      <color theme="0"/>
      <name val="Helv"/>
    </font>
    <font>
      <b/>
      <sz val="12"/>
      <color indexed="13"/>
      <name val="Helv"/>
    </font>
    <font>
      <sz val="12"/>
      <color indexed="12"/>
      <name val="Helv"/>
    </font>
    <font>
      <sz val="12"/>
      <color theme="8" tint="0.79998168889431442"/>
      <name val="Helv"/>
    </font>
    <font>
      <sz val="12"/>
      <color rgb="FF0070C0"/>
      <name val="Helv"/>
    </font>
    <font>
      <sz val="12"/>
      <color rgb="FF00B0F0"/>
      <name val="Helv"/>
    </font>
    <font>
      <sz val="12"/>
      <color indexed="16"/>
      <name val="Helv"/>
    </font>
    <font>
      <b/>
      <sz val="15"/>
      <color indexed="12"/>
      <name val="Helv"/>
    </font>
    <font>
      <b/>
      <sz val="15"/>
      <name val="Helv"/>
    </font>
    <font>
      <sz val="12"/>
      <color indexed="57"/>
      <name val="Helv"/>
    </font>
    <font>
      <b/>
      <sz val="12"/>
      <color rgb="FFFFFF00"/>
      <name val="Helv"/>
    </font>
    <font>
      <sz val="12"/>
      <color rgb="FFC00000"/>
      <name val="Helv"/>
    </font>
    <font>
      <b/>
      <sz val="12"/>
      <color indexed="12"/>
      <name val="Helv"/>
    </font>
    <font>
      <b/>
      <sz val="14"/>
      <name val="Helv"/>
    </font>
    <font>
      <sz val="16"/>
      <name val="Helv"/>
    </font>
    <font>
      <b/>
      <sz val="16"/>
      <name val="Helv"/>
    </font>
    <font>
      <sz val="16"/>
      <color indexed="16"/>
      <name val="Helv"/>
    </font>
    <font>
      <sz val="16"/>
      <color rgb="FFFFFF00"/>
      <name val="Helv"/>
    </font>
    <font>
      <b/>
      <sz val="16"/>
      <color indexed="13"/>
      <name val="Helv"/>
    </font>
    <font>
      <b/>
      <sz val="12"/>
      <color indexed="10"/>
      <name val="Helv"/>
    </font>
    <font>
      <b/>
      <sz val="13"/>
      <name val="Arial"/>
      <family val="2"/>
    </font>
    <font>
      <sz val="12"/>
      <color indexed="9"/>
      <name val="Helv"/>
    </font>
    <font>
      <sz val="12"/>
      <color theme="6" tint="0.39997558519241921"/>
      <name val="Helv"/>
    </font>
    <font>
      <sz val="12"/>
      <color theme="1"/>
      <name val="Helv"/>
    </font>
    <font>
      <sz val="14"/>
      <name val="Times New Roman"/>
      <family val="1"/>
    </font>
    <font>
      <sz val="12"/>
      <name val="Bookman Old Style"/>
      <family val="1"/>
    </font>
    <font>
      <sz val="14"/>
      <name val="Arial"/>
      <family val="2"/>
    </font>
    <font>
      <b/>
      <sz val="14"/>
      <name val="Arial"/>
      <family val="2"/>
    </font>
    <font>
      <sz val="11"/>
      <color indexed="57"/>
      <name val="Helv"/>
    </font>
    <font>
      <sz val="12"/>
      <color rgb="FFFFFF00"/>
      <name val="Arial"/>
      <family val="2"/>
    </font>
    <font>
      <sz val="12"/>
      <color rgb="FFFF0000"/>
      <name val="Arial"/>
      <family val="2"/>
    </font>
    <font>
      <sz val="12"/>
      <color theme="1"/>
      <name val="Arial"/>
      <family val="2"/>
    </font>
    <font>
      <sz val="12"/>
      <color indexed="12"/>
      <name val="Arial"/>
      <family val="2"/>
    </font>
    <font>
      <sz val="11"/>
      <color indexed="10"/>
      <name val="Helv"/>
    </font>
    <font>
      <sz val="11"/>
      <color rgb="FFC00000"/>
      <name val="Helv"/>
    </font>
    <font>
      <sz val="11"/>
      <color rgb="FFFFFF00"/>
      <name val="Helv"/>
    </font>
    <font>
      <b/>
      <sz val="12"/>
      <color theme="1"/>
      <name val="Helv"/>
    </font>
    <font>
      <sz val="12"/>
      <color theme="1" tint="4.9989318521683403E-2"/>
      <name val="Helv"/>
    </font>
    <font>
      <b/>
      <sz val="12"/>
      <color theme="1" tint="4.9989318521683403E-2"/>
      <name val="Helv"/>
    </font>
    <font>
      <sz val="12"/>
      <color theme="8" tint="-0.249977111117893"/>
      <name val="Helv"/>
    </font>
    <font>
      <b/>
      <sz val="12"/>
      <color indexed="14"/>
      <name val="Helv"/>
    </font>
    <font>
      <b/>
      <u/>
      <sz val="13"/>
      <name val="Arial"/>
      <family val="2"/>
    </font>
    <font>
      <sz val="18"/>
      <color rgb="FFFFFF00"/>
      <name val="Helv"/>
    </font>
    <font>
      <vertAlign val="superscript"/>
      <sz val="12"/>
      <name val="Helv"/>
    </font>
    <font>
      <sz val="14"/>
      <color rgb="FFFF0000"/>
      <name val="Arial"/>
      <family val="2"/>
    </font>
    <font>
      <sz val="11"/>
      <name val="Arial"/>
      <family val="2"/>
    </font>
    <font>
      <sz val="12"/>
      <color indexed="17"/>
      <name val="Helv"/>
    </font>
    <font>
      <b/>
      <u/>
      <sz val="12"/>
      <name val="Helv"/>
    </font>
    <font>
      <sz val="13"/>
      <color rgb="FFFFFF00"/>
      <name val="Arial"/>
      <family val="2"/>
    </font>
    <font>
      <sz val="13"/>
      <color rgb="FFFF0000"/>
      <name val="Arial"/>
      <family val="2"/>
    </font>
    <font>
      <b/>
      <sz val="12"/>
      <color rgb="FFFF33CC"/>
      <name val="Helv"/>
    </font>
    <font>
      <sz val="12"/>
      <color rgb="FFFF33CC"/>
      <name val="Helv"/>
    </font>
    <font>
      <b/>
      <sz val="18"/>
      <name val="Helv"/>
    </font>
    <font>
      <sz val="11"/>
      <color indexed="8"/>
      <name val="Arial"/>
      <family val="2"/>
    </font>
    <font>
      <b/>
      <sz val="11"/>
      <color indexed="8"/>
      <name val="Arial"/>
      <family val="2"/>
    </font>
    <font>
      <b/>
      <sz val="12"/>
      <color theme="1"/>
      <name val="Arial"/>
      <family val="2"/>
    </font>
    <font>
      <sz val="13"/>
      <color theme="1"/>
      <name val="Arial"/>
      <family val="2"/>
    </font>
    <font>
      <b/>
      <sz val="13"/>
      <color theme="1"/>
      <name val="Arial"/>
      <family val="2"/>
    </font>
    <font>
      <b/>
      <sz val="12"/>
      <color theme="0"/>
      <name val="Arial"/>
      <family val="2"/>
    </font>
  </fonts>
  <fills count="12">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FFFF00"/>
        <bgColor rgb="FF000000"/>
      </patternFill>
    </fill>
    <fill>
      <patternFill patternType="solid">
        <fgColor rgb="FFFFFF00"/>
        <bgColor indexed="64"/>
      </patternFill>
    </fill>
    <fill>
      <patternFill patternType="solid">
        <fgColor rgb="FFC00000"/>
        <bgColor indexed="64"/>
      </patternFill>
    </fill>
    <fill>
      <patternFill patternType="solid">
        <fgColor rgb="FFFF0000"/>
        <bgColor indexed="64"/>
      </patternFill>
    </fill>
    <fill>
      <patternFill patternType="solid">
        <fgColor indexed="53"/>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s>
  <borders count="38">
    <border>
      <left/>
      <right/>
      <top/>
      <bottom/>
      <diagonal/>
    </border>
    <border>
      <left style="thin">
        <color rgb="FFB2B2B2"/>
      </left>
      <right style="thin">
        <color rgb="FFB2B2B2"/>
      </right>
      <top style="thin">
        <color rgb="FFB2B2B2"/>
      </top>
      <bottom style="thin">
        <color rgb="FFB2B2B2"/>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right style="thin">
        <color indexed="64"/>
      </right>
      <top style="thin">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double">
        <color indexed="64"/>
      </top>
      <bottom/>
      <diagonal/>
    </border>
    <border>
      <left/>
      <right/>
      <top/>
      <bottom style="double">
        <color indexed="64"/>
      </bottom>
      <diagonal/>
    </border>
  </borders>
  <cellStyleXfs count="112">
    <xf numFmtId="0" fontId="0" fillId="0" borderId="0"/>
    <xf numFmtId="0" fontId="2" fillId="0" borderId="0"/>
    <xf numFmtId="43" fontId="3" fillId="0" borderId="0" applyFont="0" applyFill="0" applyBorder="0" applyAlignment="0" applyProtection="0"/>
    <xf numFmtId="8" fontId="1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8" fillId="0" borderId="2" applyNumberFormat="0">
      <alignment horizontal="right"/>
    </xf>
    <xf numFmtId="42" fontId="15" fillId="0" borderId="0"/>
    <xf numFmtId="0" fontId="3" fillId="0" borderId="0"/>
    <xf numFmtId="165" fontId="15" fillId="0" borderId="0"/>
    <xf numFmtId="164" fontId="15" fillId="0" borderId="0"/>
    <xf numFmtId="42" fontId="15" fillId="0" borderId="0"/>
    <xf numFmtId="164" fontId="15" fillId="0" borderId="0"/>
    <xf numFmtId="0" fontId="15" fillId="0" borderId="0"/>
    <xf numFmtId="0" fontId="1" fillId="0" borderId="0"/>
    <xf numFmtId="0" fontId="3" fillId="0" borderId="0"/>
    <xf numFmtId="0" fontId="1" fillId="0" borderId="0"/>
    <xf numFmtId="0" fontId="11" fillId="0" borderId="0">
      <alignment vertical="center"/>
    </xf>
    <xf numFmtId="167" fontId="15" fillId="0" borderId="0"/>
    <xf numFmtId="0" fontId="3" fillId="0" borderId="0"/>
    <xf numFmtId="0" fontId="3" fillId="0" borderId="0"/>
    <xf numFmtId="0" fontId="1" fillId="0" borderId="0"/>
    <xf numFmtId="168" fontId="15" fillId="0" borderId="0"/>
    <xf numFmtId="0" fontId="3" fillId="0" borderId="0"/>
    <xf numFmtId="0" fontId="3" fillId="0" borderId="0"/>
    <xf numFmtId="165" fontId="15" fillId="0" borderId="0"/>
    <xf numFmtId="164" fontId="15"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165" fontId="15" fillId="0" borderId="0"/>
    <xf numFmtId="165" fontId="15" fillId="0" borderId="0"/>
    <xf numFmtId="165" fontId="15" fillId="0" borderId="0"/>
    <xf numFmtId="165" fontId="15" fillId="0" borderId="0"/>
    <xf numFmtId="165" fontId="15" fillId="0" borderId="0"/>
    <xf numFmtId="164" fontId="15" fillId="0" borderId="0"/>
    <xf numFmtId="164" fontId="15" fillId="0" borderId="0"/>
    <xf numFmtId="164" fontId="15" fillId="0" borderId="0"/>
    <xf numFmtId="165" fontId="15" fillId="0" borderId="0"/>
    <xf numFmtId="164" fontId="15" fillId="0" borderId="0"/>
    <xf numFmtId="165" fontId="15" fillId="0" borderId="0"/>
    <xf numFmtId="165" fontId="15" fillId="0" borderId="0"/>
    <xf numFmtId="164" fontId="15" fillId="0" borderId="0"/>
    <xf numFmtId="165" fontId="15" fillId="0" borderId="0"/>
    <xf numFmtId="164" fontId="15" fillId="0" borderId="0"/>
    <xf numFmtId="0" fontId="3" fillId="0" borderId="0"/>
    <xf numFmtId="165" fontId="15" fillId="0" borderId="0"/>
    <xf numFmtId="165" fontId="15" fillId="0" borderId="0"/>
    <xf numFmtId="164" fontId="15" fillId="0" borderId="0"/>
    <xf numFmtId="0" fontId="3" fillId="0" borderId="0"/>
    <xf numFmtId="0" fontId="11" fillId="0" borderId="0"/>
    <xf numFmtId="167" fontId="15" fillId="0" borderId="0"/>
    <xf numFmtId="0" fontId="1" fillId="0" borderId="0"/>
    <xf numFmtId="0" fontId="1" fillId="0" borderId="0"/>
    <xf numFmtId="0" fontId="1" fillId="0" borderId="0"/>
    <xf numFmtId="0" fontId="1" fillId="0" borderId="0"/>
    <xf numFmtId="0" fontId="1" fillId="0" borderId="0"/>
    <xf numFmtId="0" fontId="3" fillId="0" borderId="0"/>
    <xf numFmtId="0" fontId="11"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170" fontId="15" fillId="0" borderId="0"/>
    <xf numFmtId="170" fontId="15" fillId="0" borderId="0"/>
    <xf numFmtId="0" fontId="1" fillId="0" borderId="0"/>
    <xf numFmtId="0" fontId="1" fillId="0" borderId="0"/>
    <xf numFmtId="166" fontId="15" fillId="0" borderId="0"/>
    <xf numFmtId="165" fontId="15" fillId="0" borderId="0"/>
    <xf numFmtId="0" fontId="3" fillId="0" borderId="0"/>
    <xf numFmtId="0" fontId="11" fillId="0" borderId="0"/>
    <xf numFmtId="166" fontId="15" fillId="0" borderId="0"/>
    <xf numFmtId="0" fontId="3" fillId="0" borderId="0"/>
    <xf numFmtId="0" fontId="3" fillId="0" borderId="0"/>
    <xf numFmtId="165" fontId="10" fillId="0" borderId="0"/>
    <xf numFmtId="167" fontId="15" fillId="0" borderId="0"/>
    <xf numFmtId="165" fontId="10" fillId="0" borderId="0"/>
    <xf numFmtId="166" fontId="15" fillId="0" borderId="0"/>
    <xf numFmtId="167" fontId="4" fillId="0" borderId="0"/>
    <xf numFmtId="0" fontId="3" fillId="0" borderId="0"/>
    <xf numFmtId="0" fontId="4" fillId="0" borderId="0"/>
    <xf numFmtId="0" fontId="1" fillId="2" borderId="1" applyNumberFormat="0" applyFont="0" applyAlignment="0" applyProtection="0"/>
    <xf numFmtId="9" fontId="2"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8" fontId="15" fillId="0" borderId="0"/>
    <xf numFmtId="0" fontId="3" fillId="0" borderId="0"/>
    <xf numFmtId="0" fontId="2" fillId="0" borderId="0"/>
    <xf numFmtId="0" fontId="2" fillId="0" borderId="0"/>
    <xf numFmtId="0" fontId="2" fillId="0" borderId="0"/>
    <xf numFmtId="0" fontId="2" fillId="0" borderId="0"/>
  </cellStyleXfs>
  <cellXfs count="987">
    <xf numFmtId="0" fontId="0" fillId="0" borderId="0" xfId="0"/>
    <xf numFmtId="167" fontId="2" fillId="0" borderId="0" xfId="1" applyNumberFormat="1" applyBorder="1"/>
    <xf numFmtId="167" fontId="12" fillId="0" borderId="3" xfId="1" applyNumberFormat="1" applyFont="1" applyBorder="1" applyAlignment="1">
      <alignment horizontal="center" vertical="center" wrapText="1"/>
    </xf>
    <xf numFmtId="167" fontId="13" fillId="0" borderId="0" xfId="1" applyNumberFormat="1" applyFont="1" applyBorder="1"/>
    <xf numFmtId="2" fontId="14" fillId="0" borderId="0" xfId="100" applyNumberFormat="1" applyFont="1" applyBorder="1" applyAlignment="1">
      <alignment vertical="top" wrapText="1"/>
    </xf>
    <xf numFmtId="2" fontId="14" fillId="0" borderId="0" xfId="100" applyNumberFormat="1" applyFont="1" applyBorder="1" applyAlignment="1">
      <alignment horizontal="center" vertical="top" wrapText="1"/>
    </xf>
    <xf numFmtId="167" fontId="2" fillId="0" borderId="0" xfId="1" applyNumberFormat="1" applyFont="1" applyBorder="1"/>
    <xf numFmtId="167" fontId="5" fillId="0" borderId="0" xfId="1" applyNumberFormat="1" applyFont="1" applyBorder="1"/>
    <xf numFmtId="167" fontId="2" fillId="0" borderId="0" xfId="1" applyNumberFormat="1" applyBorder="1" applyProtection="1">
      <protection locked="0" hidden="1"/>
    </xf>
    <xf numFmtId="167" fontId="3" fillId="0" borderId="0" xfId="1" applyNumberFormat="1" applyFont="1" applyBorder="1"/>
    <xf numFmtId="167" fontId="3" fillId="0" borderId="0" xfId="1" applyNumberFormat="1" applyFont="1" applyBorder="1" applyAlignment="1">
      <alignment horizontal="center"/>
    </xf>
    <xf numFmtId="167" fontId="15" fillId="0" borderId="0" xfId="1" applyNumberFormat="1" applyFont="1" applyBorder="1"/>
    <xf numFmtId="0" fontId="12" fillId="0" borderId="4" xfId="1" applyNumberFormat="1" applyFont="1" applyBorder="1" applyAlignment="1">
      <alignment horizontal="center" vertical="center" wrapText="1"/>
    </xf>
    <xf numFmtId="0" fontId="11" fillId="0" borderId="0" xfId="100" applyNumberFormat="1" applyFont="1" applyBorder="1" applyAlignment="1">
      <alignment horizontal="center" vertical="top" wrapText="1"/>
    </xf>
    <xf numFmtId="2" fontId="11" fillId="0" borderId="0" xfId="100" applyNumberFormat="1" applyFont="1" applyBorder="1" applyAlignment="1">
      <alignment vertical="top" wrapText="1"/>
    </xf>
    <xf numFmtId="2" fontId="11" fillId="0" borderId="0" xfId="100" applyNumberFormat="1" applyFont="1" applyBorder="1" applyAlignment="1">
      <alignment horizontal="center" vertical="top" wrapText="1"/>
    </xf>
    <xf numFmtId="0" fontId="14" fillId="0" borderId="0" xfId="100" applyNumberFormat="1" applyFont="1" applyBorder="1" applyAlignment="1">
      <alignment horizontal="center" vertical="top" wrapText="1"/>
    </xf>
    <xf numFmtId="0" fontId="3" fillId="0" borderId="0" xfId="1" applyNumberFormat="1" applyFont="1" applyBorder="1"/>
    <xf numFmtId="0" fontId="20" fillId="0" borderId="3" xfId="1" applyNumberFormat="1" applyFont="1" applyBorder="1" applyAlignment="1">
      <alignment vertical="center" wrapText="1"/>
    </xf>
    <xf numFmtId="167" fontId="24" fillId="0" borderId="3" xfId="99" applyFont="1" applyFill="1" applyBorder="1" applyAlignment="1">
      <alignment vertical="center" wrapText="1"/>
    </xf>
    <xf numFmtId="0" fontId="20" fillId="0" borderId="3" xfId="1" applyFont="1" applyBorder="1" applyAlignment="1">
      <alignment vertical="center" wrapText="1"/>
    </xf>
    <xf numFmtId="0" fontId="22" fillId="0" borderId="3" xfId="0" applyFont="1" applyBorder="1" applyAlignment="1">
      <alignment wrapText="1"/>
    </xf>
    <xf numFmtId="0" fontId="20" fillId="0" borderId="3" xfId="1" applyFont="1" applyFill="1" applyBorder="1" applyAlignment="1">
      <alignment vertical="top" wrapText="1"/>
    </xf>
    <xf numFmtId="0" fontId="24" fillId="0" borderId="3" xfId="1" applyFont="1" applyFill="1" applyBorder="1" applyAlignment="1">
      <alignment vertical="center" wrapText="1"/>
    </xf>
    <xf numFmtId="0" fontId="20" fillId="0" borderId="3" xfId="101" applyFont="1" applyBorder="1" applyAlignment="1" applyProtection="1">
      <alignment vertical="center" wrapText="1"/>
    </xf>
    <xf numFmtId="0" fontId="20" fillId="0" borderId="3" xfId="0" applyFont="1" applyBorder="1" applyAlignment="1">
      <alignment vertical="center" wrapText="1"/>
    </xf>
    <xf numFmtId="0" fontId="20" fillId="0" borderId="3" xfId="0" applyNumberFormat="1" applyFont="1" applyFill="1" applyBorder="1" applyAlignment="1">
      <alignment vertical="top" wrapText="1"/>
    </xf>
    <xf numFmtId="0" fontId="20" fillId="0" borderId="3" xfId="0" applyFont="1" applyFill="1" applyBorder="1" applyAlignment="1">
      <alignment vertical="center" wrapText="1"/>
    </xf>
    <xf numFmtId="0" fontId="20" fillId="3" borderId="3" xfId="101" applyFont="1" applyFill="1" applyBorder="1" applyAlignment="1" applyProtection="1">
      <alignment vertical="center" wrapText="1"/>
    </xf>
    <xf numFmtId="0" fontId="20" fillId="0" borderId="3" xfId="1" applyFont="1" applyFill="1" applyBorder="1" applyAlignment="1">
      <alignment vertical="center" wrapText="1"/>
    </xf>
    <xf numFmtId="0" fontId="20" fillId="0" borderId="3" xfId="1" applyFont="1" applyBorder="1" applyAlignment="1">
      <alignment wrapText="1"/>
    </xf>
    <xf numFmtId="0" fontId="19" fillId="0" borderId="3" xfId="1" applyFont="1" applyFill="1" applyBorder="1" applyAlignment="1">
      <alignment vertical="top" wrapText="1"/>
    </xf>
    <xf numFmtId="167" fontId="21" fillId="0" borderId="3" xfId="1" applyNumberFormat="1" applyFont="1" applyBorder="1" applyAlignment="1">
      <alignment horizontal="center" vertical="center" wrapText="1"/>
    </xf>
    <xf numFmtId="1" fontId="19" fillId="0" borderId="3" xfId="1" applyNumberFormat="1" applyFont="1" applyBorder="1" applyAlignment="1">
      <alignment horizontal="center" vertical="center"/>
    </xf>
    <xf numFmtId="1" fontId="19" fillId="0" borderId="3" xfId="100" applyNumberFormat="1" applyFont="1" applyBorder="1" applyAlignment="1">
      <alignment horizontal="center" vertical="center" wrapText="1"/>
    </xf>
    <xf numFmtId="167" fontId="0" fillId="0" borderId="0" xfId="0" applyNumberFormat="1"/>
    <xf numFmtId="168" fontId="0" fillId="0" borderId="0" xfId="0" applyNumberFormat="1"/>
    <xf numFmtId="172" fontId="0" fillId="0" borderId="0" xfId="0" applyNumberFormat="1"/>
    <xf numFmtId="169" fontId="0" fillId="0" borderId="0" xfId="0" applyNumberFormat="1"/>
    <xf numFmtId="12" fontId="0" fillId="0" borderId="0" xfId="0" applyNumberFormat="1"/>
    <xf numFmtId="167" fontId="0" fillId="0" borderId="0" xfId="0" applyNumberFormat="1" applyAlignment="1">
      <alignment wrapText="1"/>
    </xf>
    <xf numFmtId="0" fontId="11" fillId="0" borderId="3" xfId="100" applyNumberFormat="1" applyFont="1" applyBorder="1" applyAlignment="1">
      <alignment horizontal="center" vertical="top" wrapText="1"/>
    </xf>
    <xf numFmtId="167" fontId="22" fillId="0" borderId="3" xfId="0" applyNumberFormat="1" applyFont="1" applyBorder="1" applyAlignment="1">
      <alignment vertical="top" wrapText="1"/>
    </xf>
    <xf numFmtId="0" fontId="19" fillId="0" borderId="3" xfId="100" applyNumberFormat="1" applyFont="1" applyBorder="1" applyAlignment="1">
      <alignment horizontal="center" vertical="top" wrapText="1"/>
    </xf>
    <xf numFmtId="167" fontId="22" fillId="0" borderId="3" xfId="0" applyNumberFormat="1" applyFont="1" applyBorder="1" applyAlignment="1">
      <alignment horizontal="center" vertical="center" wrapText="1"/>
    </xf>
    <xf numFmtId="167" fontId="20" fillId="0" borderId="3" xfId="1" applyNumberFormat="1" applyFont="1" applyBorder="1" applyAlignment="1">
      <alignment horizontal="center" vertical="center" wrapText="1"/>
    </xf>
    <xf numFmtId="167" fontId="24" fillId="0" borderId="3" xfId="99" applyNumberFormat="1" applyFont="1" applyFill="1" applyBorder="1" applyAlignment="1">
      <alignment horizontal="center" vertical="center" wrapText="1"/>
    </xf>
    <xf numFmtId="167" fontId="20" fillId="0" borderId="3" xfId="1" applyNumberFormat="1" applyFont="1" applyFill="1" applyBorder="1" applyAlignment="1">
      <alignment horizontal="center" vertical="center" wrapText="1"/>
    </xf>
    <xf numFmtId="167" fontId="24" fillId="0" borderId="3" xfId="1" applyNumberFormat="1" applyFont="1" applyFill="1" applyBorder="1" applyAlignment="1">
      <alignment horizontal="center" vertical="center" wrapText="1"/>
    </xf>
    <xf numFmtId="167" fontId="20" fillId="0" borderId="3" xfId="101" applyNumberFormat="1" applyFont="1" applyBorder="1" applyAlignment="1" applyProtection="1">
      <alignment horizontal="center" vertical="center" wrapText="1"/>
    </xf>
    <xf numFmtId="167" fontId="20" fillId="0" borderId="3" xfId="0" applyNumberFormat="1" applyFont="1" applyBorder="1" applyAlignment="1">
      <alignment horizontal="center" vertical="center" wrapText="1"/>
    </xf>
    <xf numFmtId="167" fontId="20" fillId="0" borderId="3" xfId="0" applyNumberFormat="1" applyFont="1" applyFill="1" applyBorder="1" applyAlignment="1">
      <alignment horizontal="center" vertical="center" wrapText="1"/>
    </xf>
    <xf numFmtId="167" fontId="20" fillId="3" borderId="3" xfId="101" applyNumberFormat="1" applyFont="1" applyFill="1" applyBorder="1" applyAlignment="1" applyProtection="1">
      <alignment horizontal="center" vertical="center" wrapText="1"/>
    </xf>
    <xf numFmtId="167" fontId="19" fillId="0" borderId="3" xfId="1" applyNumberFormat="1" applyFont="1" applyFill="1" applyBorder="1" applyAlignment="1">
      <alignment horizontal="center" vertical="center" wrapText="1"/>
    </xf>
    <xf numFmtId="2" fontId="0" fillId="0" borderId="0" xfId="0" applyNumberFormat="1"/>
    <xf numFmtId="1" fontId="19" fillId="3" borderId="3" xfId="1" applyNumberFormat="1" applyFont="1" applyFill="1" applyBorder="1" applyAlignment="1">
      <alignment horizontal="center" vertical="center"/>
    </xf>
    <xf numFmtId="2" fontId="11" fillId="0" borderId="3" xfId="100" applyNumberFormat="1" applyFont="1" applyBorder="1" applyAlignment="1">
      <alignment vertical="top" wrapText="1"/>
    </xf>
    <xf numFmtId="2" fontId="11" fillId="0" borderId="3" xfId="100" applyNumberFormat="1" applyFont="1" applyBorder="1" applyAlignment="1">
      <alignment horizontal="center" vertical="top" wrapText="1"/>
    </xf>
    <xf numFmtId="0" fontId="22" fillId="0" borderId="9" xfId="0" applyFont="1" applyBorder="1" applyAlignment="1">
      <alignment wrapText="1"/>
    </xf>
    <xf numFmtId="2" fontId="27" fillId="0" borderId="8" xfId="106" applyNumberFormat="1" applyFont="1" applyBorder="1" applyAlignment="1">
      <alignment horizontal="center" vertical="center"/>
    </xf>
    <xf numFmtId="167" fontId="27" fillId="0" borderId="3" xfId="106" applyNumberFormat="1" applyFont="1" applyBorder="1" applyAlignment="1">
      <alignment horizontal="center" vertical="center"/>
    </xf>
    <xf numFmtId="167" fontId="27" fillId="0" borderId="3" xfId="106" applyNumberFormat="1" applyFont="1" applyBorder="1" applyAlignment="1">
      <alignment horizontal="center" vertical="center" wrapText="1"/>
    </xf>
    <xf numFmtId="2" fontId="28" fillId="0" borderId="8" xfId="106" applyNumberFormat="1" applyFont="1" applyBorder="1" applyAlignment="1">
      <alignment horizontal="center" vertical="center"/>
    </xf>
    <xf numFmtId="167" fontId="29" fillId="3" borderId="9" xfId="106" applyNumberFormat="1" applyFont="1" applyFill="1" applyBorder="1" applyAlignment="1">
      <alignment vertical="top" wrapText="1"/>
    </xf>
    <xf numFmtId="167" fontId="27" fillId="3" borderId="3" xfId="106" applyNumberFormat="1" applyFont="1" applyFill="1" applyBorder="1" applyAlignment="1">
      <alignment horizontal="center" vertical="center" wrapText="1"/>
    </xf>
    <xf numFmtId="167" fontId="12" fillId="0" borderId="9" xfId="1" applyNumberFormat="1" applyFont="1" applyBorder="1" applyAlignment="1">
      <alignment horizontal="center" vertical="center" wrapText="1"/>
    </xf>
    <xf numFmtId="167" fontId="21" fillId="0" borderId="10" xfId="1" applyNumberFormat="1" applyFont="1" applyBorder="1" applyAlignment="1">
      <alignment horizontal="center" vertical="center" wrapText="1"/>
    </xf>
    <xf numFmtId="167" fontId="20" fillId="0" borderId="9" xfId="1" applyNumberFormat="1" applyFont="1" applyBorder="1" applyAlignment="1">
      <alignment horizontal="center" vertical="center" wrapText="1"/>
    </xf>
    <xf numFmtId="167" fontId="9" fillId="0" borderId="3" xfId="1" applyNumberFormat="1" applyFont="1" applyBorder="1" applyAlignment="1">
      <alignment horizontal="center" vertical="center"/>
    </xf>
    <xf numFmtId="167" fontId="8" fillId="0" borderId="3" xfId="1" applyNumberFormat="1" applyFont="1" applyBorder="1" applyAlignment="1">
      <alignment horizontal="center" vertical="center" wrapText="1"/>
    </xf>
    <xf numFmtId="167" fontId="2" fillId="0" borderId="3" xfId="1" applyNumberFormat="1" applyBorder="1"/>
    <xf numFmtId="167" fontId="2" fillId="0" borderId="3" xfId="1" applyNumberFormat="1" applyBorder="1" applyProtection="1">
      <protection locked="0" hidden="1"/>
    </xf>
    <xf numFmtId="2" fontId="11" fillId="0" borderId="9" xfId="100" applyNumberFormat="1" applyFont="1" applyBorder="1" applyAlignment="1">
      <alignment horizontal="center" vertical="center" wrapText="1"/>
    </xf>
    <xf numFmtId="0" fontId="33" fillId="0" borderId="4" xfId="100" applyFont="1" applyBorder="1" applyAlignment="1">
      <alignment horizontal="center" vertical="center" wrapText="1"/>
    </xf>
    <xf numFmtId="0" fontId="33" fillId="0" borderId="3" xfId="100" applyFont="1" applyBorder="1" applyAlignment="1">
      <alignment horizontal="center" vertical="center" wrapText="1"/>
    </xf>
    <xf numFmtId="0" fontId="33" fillId="3" borderId="3" xfId="100" applyFont="1" applyFill="1" applyBorder="1" applyAlignment="1">
      <alignment horizontal="center" vertical="center" wrapText="1"/>
    </xf>
    <xf numFmtId="0" fontId="34" fillId="3" borderId="8" xfId="100" applyFont="1" applyFill="1" applyBorder="1" applyAlignment="1">
      <alignment horizontal="center" vertical="center" wrapText="1"/>
    </xf>
    <xf numFmtId="0" fontId="35" fillId="0" borderId="4" xfId="107" applyFont="1" applyBorder="1" applyAlignment="1">
      <alignment horizontal="center" vertical="center" wrapText="1"/>
    </xf>
    <xf numFmtId="2" fontId="35" fillId="0" borderId="3" xfId="107" applyNumberFormat="1" applyFont="1" applyBorder="1" applyAlignment="1">
      <alignment horizontal="center" vertical="center" wrapText="1"/>
    </xf>
    <xf numFmtId="2" fontId="35" fillId="0" borderId="3" xfId="107" applyNumberFormat="1" applyFont="1" applyBorder="1" applyAlignment="1">
      <alignment vertical="center" wrapText="1"/>
    </xf>
    <xf numFmtId="2" fontId="35" fillId="3" borderId="3" xfId="107" applyNumberFormat="1" applyFont="1" applyFill="1" applyBorder="1" applyAlignment="1">
      <alignment horizontal="center" vertical="center" wrapText="1"/>
    </xf>
    <xf numFmtId="2" fontId="35" fillId="3" borderId="3" xfId="107" applyNumberFormat="1" applyFont="1" applyFill="1" applyBorder="1" applyAlignment="1">
      <alignment vertical="center" wrapText="1"/>
    </xf>
    <xf numFmtId="2" fontId="36" fillId="3" borderId="8" xfId="107" applyNumberFormat="1" applyFont="1" applyFill="1" applyBorder="1" applyAlignment="1">
      <alignment vertical="center" wrapText="1"/>
    </xf>
    <xf numFmtId="167" fontId="37" fillId="0" borderId="4" xfId="106" applyNumberFormat="1" applyFont="1" applyBorder="1" applyAlignment="1">
      <alignment horizontal="center" vertical="center"/>
    </xf>
    <xf numFmtId="167" fontId="31" fillId="0" borderId="3" xfId="106" applyNumberFormat="1" applyFont="1" applyBorder="1" applyAlignment="1">
      <alignment horizontal="center" vertical="center"/>
    </xf>
    <xf numFmtId="2" fontId="39" fillId="3" borderId="8" xfId="107" applyNumberFormat="1" applyFont="1" applyFill="1" applyBorder="1" applyAlignment="1">
      <alignment vertical="center" wrapText="1"/>
    </xf>
    <xf numFmtId="167" fontId="35" fillId="0" borderId="4" xfId="106" applyNumberFormat="1" applyFont="1" applyBorder="1" applyAlignment="1">
      <alignment vertical="center"/>
    </xf>
    <xf numFmtId="171" fontId="35" fillId="0" borderId="3" xfId="107" applyNumberFormat="1" applyFont="1" applyBorder="1" applyAlignment="1">
      <alignment horizontal="center" vertical="center" wrapText="1"/>
    </xf>
    <xf numFmtId="167" fontId="35" fillId="0" borderId="4" xfId="106" applyNumberFormat="1" applyFont="1" applyBorder="1"/>
    <xf numFmtId="167" fontId="35" fillId="0" borderId="25" xfId="106" applyNumberFormat="1" applyFont="1" applyBorder="1"/>
    <xf numFmtId="167" fontId="35" fillId="0" borderId="26" xfId="106" applyNumberFormat="1" applyFont="1" applyBorder="1" applyAlignment="1">
      <alignment horizontal="center"/>
    </xf>
    <xf numFmtId="2" fontId="39" fillId="3" borderId="27" xfId="107" applyNumberFormat="1" applyFont="1" applyFill="1" applyBorder="1" applyAlignment="1">
      <alignment horizontal="right" vertical="center" wrapText="1"/>
    </xf>
    <xf numFmtId="167" fontId="36" fillId="3" borderId="3" xfId="106" applyNumberFormat="1" applyFont="1" applyFill="1" applyBorder="1" applyAlignment="1">
      <alignment horizontal="center" vertical="center" wrapText="1"/>
    </xf>
    <xf numFmtId="167" fontId="27" fillId="0" borderId="3" xfId="106" applyNumberFormat="1" applyFont="1" applyBorder="1" applyAlignment="1">
      <alignment vertical="center"/>
    </xf>
    <xf numFmtId="0" fontId="41" fillId="0" borderId="0" xfId="1" applyFont="1" applyAlignment="1">
      <alignment vertical="center"/>
    </xf>
    <xf numFmtId="0" fontId="41" fillId="0" borderId="4" xfId="1" applyFont="1" applyBorder="1" applyAlignment="1">
      <alignment horizontal="center" vertical="center"/>
    </xf>
    <xf numFmtId="0" fontId="41" fillId="0" borderId="3" xfId="1" applyFont="1" applyBorder="1" applyAlignment="1">
      <alignment horizontal="center" vertical="center" wrapText="1"/>
    </xf>
    <xf numFmtId="0" fontId="41" fillId="0" borderId="3" xfId="1" applyFont="1" applyBorder="1" applyAlignment="1">
      <alignment horizontal="center" vertical="center"/>
    </xf>
    <xf numFmtId="0" fontId="41" fillId="0" borderId="8" xfId="1" applyFont="1" applyBorder="1" applyAlignment="1">
      <alignment horizontal="center" vertical="center"/>
    </xf>
    <xf numFmtId="0" fontId="42" fillId="0" borderId="4" xfId="1" applyFont="1" applyBorder="1" applyAlignment="1">
      <alignment horizontal="center" vertical="center"/>
    </xf>
    <xf numFmtId="0" fontId="42" fillId="0" borderId="8" xfId="1" applyFont="1" applyBorder="1" applyAlignment="1">
      <alignment vertical="center"/>
    </xf>
    <xf numFmtId="0" fontId="43" fillId="0" borderId="0" xfId="1" applyFont="1" applyAlignment="1">
      <alignment vertical="center"/>
    </xf>
    <xf numFmtId="0" fontId="44" fillId="0" borderId="3" xfId="1" applyFont="1" applyFill="1" applyBorder="1" applyAlignment="1">
      <alignment horizontal="left" vertical="center" wrapText="1"/>
    </xf>
    <xf numFmtId="2" fontId="44" fillId="0" borderId="3" xfId="1" applyNumberFormat="1" applyFont="1" applyFill="1" applyBorder="1" applyAlignment="1">
      <alignment horizontal="center" vertical="center" wrapText="1"/>
    </xf>
    <xf numFmtId="2" fontId="42" fillId="0" borderId="8" xfId="1" applyNumberFormat="1" applyFont="1" applyBorder="1" applyAlignment="1">
      <alignment horizontal="center" vertical="center"/>
    </xf>
    <xf numFmtId="0" fontId="44" fillId="0" borderId="3" xfId="1" applyFont="1" applyFill="1" applyBorder="1" applyAlignment="1">
      <alignment horizontal="center" vertical="center" wrapText="1"/>
    </xf>
    <xf numFmtId="2" fontId="45" fillId="0" borderId="8" xfId="1" applyNumberFormat="1" applyFont="1" applyBorder="1" applyAlignment="1">
      <alignment horizontal="center" vertical="center"/>
    </xf>
    <xf numFmtId="0" fontId="42" fillId="0" borderId="4" xfId="1" applyNumberFormat="1" applyFont="1" applyBorder="1" applyAlignment="1">
      <alignment vertical="center"/>
    </xf>
    <xf numFmtId="0" fontId="42" fillId="0" borderId="3" xfId="1" applyNumberFormat="1" applyFont="1" applyBorder="1" applyAlignment="1">
      <alignment horizontal="center" vertical="center"/>
    </xf>
    <xf numFmtId="2" fontId="42" fillId="0" borderId="3" xfId="1" applyNumberFormat="1" applyFont="1" applyBorder="1" applyAlignment="1">
      <alignment horizontal="center" vertical="center"/>
    </xf>
    <xf numFmtId="0" fontId="43" fillId="0" borderId="0" xfId="1" applyNumberFormat="1" applyFont="1" applyAlignment="1">
      <alignment vertical="center"/>
    </xf>
    <xf numFmtId="167" fontId="44" fillId="0" borderId="3" xfId="99" applyFont="1" applyBorder="1" applyAlignment="1">
      <alignment horizontal="center" vertical="center" wrapText="1"/>
    </xf>
    <xf numFmtId="167" fontId="44" fillId="0" borderId="3" xfId="99" applyFont="1" applyBorder="1" applyAlignment="1">
      <alignment vertical="center" wrapText="1"/>
    </xf>
    <xf numFmtId="167" fontId="44" fillId="0" borderId="3" xfId="99" applyFont="1" applyBorder="1" applyAlignment="1">
      <alignment horizontal="left" vertical="center" wrapText="1"/>
    </xf>
    <xf numFmtId="0" fontId="1" fillId="0" borderId="3" xfId="0" applyFont="1" applyBorder="1" applyAlignment="1">
      <alignment horizontal="left" vertical="center" wrapText="1"/>
    </xf>
    <xf numFmtId="0" fontId="1" fillId="3" borderId="3" xfId="0" applyFont="1" applyFill="1" applyBorder="1" applyAlignment="1">
      <alignment horizontal="center" vertical="center"/>
    </xf>
    <xf numFmtId="0" fontId="1" fillId="0" borderId="3" xfId="0" applyFont="1" applyBorder="1" applyAlignment="1">
      <alignment vertical="center"/>
    </xf>
    <xf numFmtId="0" fontId="1" fillId="0" borderId="3" xfId="0" applyFont="1" applyBorder="1" applyAlignment="1">
      <alignment horizontal="center" vertical="center"/>
    </xf>
    <xf numFmtId="0" fontId="42" fillId="0" borderId="3" xfId="0" applyFont="1" applyBorder="1" applyAlignment="1">
      <alignment horizontal="left" vertical="center" wrapText="1"/>
    </xf>
    <xf numFmtId="2" fontId="42" fillId="0" borderId="3" xfId="0" applyNumberFormat="1" applyFont="1" applyBorder="1" applyAlignment="1">
      <alignment horizontal="center" vertical="center" wrapText="1"/>
    </xf>
    <xf numFmtId="2" fontId="40" fillId="0" borderId="3" xfId="0" applyNumberFormat="1" applyFont="1" applyBorder="1" applyAlignment="1">
      <alignment horizontal="center" vertical="center"/>
    </xf>
    <xf numFmtId="2" fontId="42" fillId="3" borderId="3" xfId="0" applyNumberFormat="1" applyFont="1" applyFill="1" applyBorder="1" applyAlignment="1">
      <alignment horizontal="center" vertical="center" wrapText="1"/>
    </xf>
    <xf numFmtId="2" fontId="1" fillId="0" borderId="3" xfId="0" applyNumberFormat="1" applyFont="1" applyBorder="1" applyAlignment="1">
      <alignment horizontal="center" vertical="center"/>
    </xf>
    <xf numFmtId="0" fontId="42" fillId="0" borderId="3" xfId="0" applyFont="1" applyFill="1" applyBorder="1" applyAlignment="1">
      <alignment horizontal="left" vertical="center" wrapText="1"/>
    </xf>
    <xf numFmtId="2" fontId="42" fillId="0" borderId="3" xfId="0" applyNumberFormat="1" applyFont="1" applyFill="1" applyBorder="1" applyAlignment="1">
      <alignment horizontal="center" vertical="center" wrapText="1"/>
    </xf>
    <xf numFmtId="171" fontId="1" fillId="0" borderId="3" xfId="0" applyNumberFormat="1" applyFont="1" applyBorder="1" applyAlignment="1">
      <alignment vertical="center"/>
    </xf>
    <xf numFmtId="0" fontId="42" fillId="0" borderId="3" xfId="1" applyNumberFormat="1" applyFont="1" applyBorder="1" applyAlignment="1">
      <alignment vertical="center"/>
    </xf>
    <xf numFmtId="0" fontId="42" fillId="3" borderId="4" xfId="1" applyFont="1" applyFill="1" applyBorder="1" applyAlignment="1">
      <alignment horizontal="center" vertical="center"/>
    </xf>
    <xf numFmtId="0" fontId="42" fillId="3" borderId="8" xfId="1" applyFont="1" applyFill="1" applyBorder="1" applyAlignment="1">
      <alignment vertical="center"/>
    </xf>
    <xf numFmtId="0" fontId="43" fillId="3" borderId="0" xfId="1" applyFont="1" applyFill="1" applyAlignment="1">
      <alignment vertical="center"/>
    </xf>
    <xf numFmtId="2" fontId="42" fillId="0" borderId="8" xfId="1" applyNumberFormat="1" applyFont="1" applyBorder="1" applyAlignment="1">
      <alignment vertical="center"/>
    </xf>
    <xf numFmtId="0" fontId="42" fillId="0" borderId="4" xfId="1" applyNumberFormat="1" applyFont="1" applyBorder="1" applyAlignment="1">
      <alignment horizontal="center" vertical="center"/>
    </xf>
    <xf numFmtId="0" fontId="42" fillId="0" borderId="3" xfId="1" applyNumberFormat="1" applyFont="1" applyBorder="1" applyAlignment="1">
      <alignment vertical="center" wrapText="1"/>
    </xf>
    <xf numFmtId="0" fontId="42" fillId="0" borderId="4" xfId="1" applyFont="1" applyBorder="1" applyAlignment="1" applyProtection="1">
      <alignment horizontal="center" vertical="center"/>
      <protection locked="0"/>
    </xf>
    <xf numFmtId="0" fontId="43" fillId="0" borderId="0" xfId="1" applyFont="1" applyAlignment="1" applyProtection="1">
      <alignment vertical="center"/>
      <protection locked="0"/>
    </xf>
    <xf numFmtId="0" fontId="42" fillId="0" borderId="3" xfId="1" applyFont="1" applyFill="1" applyBorder="1" applyAlignment="1">
      <alignment horizontal="left" vertical="center" wrapText="1"/>
    </xf>
    <xf numFmtId="0" fontId="42" fillId="0" borderId="3" xfId="1" applyFont="1" applyFill="1" applyBorder="1" applyAlignment="1">
      <alignment horizontal="center" vertical="center" wrapText="1"/>
    </xf>
    <xf numFmtId="2" fontId="42" fillId="0" borderId="3" xfId="1" applyNumberFormat="1" applyFont="1" applyFill="1" applyBorder="1" applyAlignment="1">
      <alignment horizontal="center" vertical="center" wrapText="1"/>
    </xf>
    <xf numFmtId="167" fontId="44" fillId="0" borderId="3" xfId="99" applyFont="1" applyFill="1" applyBorder="1" applyAlignment="1" applyProtection="1">
      <alignment horizontal="left" vertical="center" wrapText="1"/>
      <protection locked="0"/>
    </xf>
    <xf numFmtId="167" fontId="44" fillId="0" borderId="3" xfId="99" applyFont="1" applyFill="1" applyBorder="1" applyAlignment="1" applyProtection="1">
      <alignment horizontal="center" vertical="center" wrapText="1"/>
      <protection locked="0"/>
    </xf>
    <xf numFmtId="2" fontId="42" fillId="0" borderId="8" xfId="1" applyNumberFormat="1" applyFont="1" applyBorder="1" applyAlignment="1">
      <alignment horizontal="center" vertical="center" wrapText="1"/>
    </xf>
    <xf numFmtId="0" fontId="44" fillId="0" borderId="3" xfId="1" applyFont="1" applyFill="1" applyBorder="1" applyAlignment="1" applyProtection="1">
      <alignment horizontal="left" vertical="center" wrapText="1"/>
      <protection locked="0"/>
    </xf>
    <xf numFmtId="167" fontId="44" fillId="0" borderId="3" xfId="99" applyFont="1" applyFill="1" applyBorder="1" applyAlignment="1">
      <alignment horizontal="left" vertical="center" wrapText="1"/>
    </xf>
    <xf numFmtId="2" fontId="45" fillId="0" borderId="8" xfId="1" applyNumberFormat="1" applyFont="1" applyBorder="1" applyAlignment="1">
      <alignment horizontal="center" vertical="center" wrapText="1"/>
    </xf>
    <xf numFmtId="0" fontId="42" fillId="0" borderId="8" xfId="1" applyFont="1" applyBorder="1" applyAlignment="1">
      <alignment horizontal="left" vertical="center" wrapText="1"/>
    </xf>
    <xf numFmtId="0" fontId="42" fillId="0" borderId="3" xfId="1" applyFont="1" applyBorder="1" applyAlignment="1">
      <alignment horizontal="left" vertical="center" wrapText="1"/>
    </xf>
    <xf numFmtId="0" fontId="42" fillId="0" borderId="3" xfId="1" applyFont="1" applyBorder="1" applyAlignment="1">
      <alignment horizontal="center" vertical="center"/>
    </xf>
    <xf numFmtId="0" fontId="42" fillId="0" borderId="3" xfId="1" applyFont="1" applyBorder="1" applyAlignment="1">
      <alignment vertical="center"/>
    </xf>
    <xf numFmtId="0" fontId="42" fillId="0" borderId="8" xfId="1" applyFont="1" applyBorder="1" applyAlignment="1">
      <alignment vertical="center" wrapText="1"/>
    </xf>
    <xf numFmtId="0" fontId="45" fillId="0" borderId="8" xfId="1" applyFont="1" applyBorder="1" applyAlignment="1">
      <alignment horizontal="center" vertical="center"/>
    </xf>
    <xf numFmtId="0" fontId="45" fillId="0" borderId="4" xfId="1" applyFont="1" applyBorder="1" applyAlignment="1">
      <alignment horizontal="center" vertical="center"/>
    </xf>
    <xf numFmtId="0" fontId="43" fillId="0" borderId="3" xfId="1" applyFont="1" applyBorder="1" applyAlignment="1">
      <alignment horizontal="center" vertical="center"/>
    </xf>
    <xf numFmtId="0" fontId="43" fillId="0" borderId="3" xfId="1" applyFont="1" applyBorder="1" applyAlignment="1">
      <alignment vertical="center"/>
    </xf>
    <xf numFmtId="2" fontId="43" fillId="0" borderId="3" xfId="1" applyNumberFormat="1" applyFont="1" applyBorder="1" applyAlignment="1">
      <alignment vertical="center"/>
    </xf>
    <xf numFmtId="2" fontId="41" fillId="0" borderId="3" xfId="1" applyNumberFormat="1" applyFont="1" applyBorder="1" applyAlignment="1">
      <alignment vertical="center"/>
    </xf>
    <xf numFmtId="167" fontId="42" fillId="0" borderId="3" xfId="0" applyNumberFormat="1" applyFont="1" applyBorder="1" applyAlignment="1">
      <alignment horizontal="left" vertical="center" wrapText="1"/>
    </xf>
    <xf numFmtId="167" fontId="1" fillId="0" borderId="3" xfId="0" applyNumberFormat="1" applyFont="1" applyBorder="1" applyAlignment="1">
      <alignment horizontal="left" vertical="center"/>
    </xf>
    <xf numFmtId="0" fontId="43" fillId="0" borderId="0" xfId="1" applyFont="1" applyAlignment="1">
      <alignment horizontal="center" vertical="center"/>
    </xf>
    <xf numFmtId="167" fontId="48" fillId="0" borderId="0" xfId="1" applyNumberFormat="1" applyFont="1" applyBorder="1" applyAlignment="1">
      <alignment horizontal="center" vertical="center"/>
    </xf>
    <xf numFmtId="0" fontId="43" fillId="0" borderId="4" xfId="1" applyNumberFormat="1" applyFont="1" applyBorder="1" applyAlignment="1">
      <alignment horizontal="center" vertical="center" wrapText="1"/>
    </xf>
    <xf numFmtId="167" fontId="43" fillId="0" borderId="3" xfId="1" applyNumberFormat="1" applyFont="1" applyBorder="1" applyAlignment="1">
      <alignment horizontal="center" vertical="center" wrapText="1"/>
    </xf>
    <xf numFmtId="167" fontId="41" fillId="0" borderId="3" xfId="1" applyNumberFormat="1" applyFont="1" applyBorder="1" applyAlignment="1">
      <alignment horizontal="center" vertical="center"/>
    </xf>
    <xf numFmtId="0" fontId="50" fillId="0" borderId="4" xfId="1" applyNumberFormat="1" applyFont="1" applyBorder="1" applyAlignment="1">
      <alignment horizontal="center" vertical="center" wrapText="1"/>
    </xf>
    <xf numFmtId="167" fontId="50" fillId="0" borderId="3" xfId="1" applyNumberFormat="1" applyFont="1" applyBorder="1" applyAlignment="1">
      <alignment horizontal="center" vertical="center" wrapText="1"/>
    </xf>
    <xf numFmtId="167" fontId="50" fillId="0" borderId="8" xfId="1" applyNumberFormat="1" applyFont="1" applyBorder="1" applyAlignment="1">
      <alignment horizontal="center" vertical="center" wrapText="1"/>
    </xf>
    <xf numFmtId="0" fontId="41" fillId="0" borderId="3" xfId="1" applyNumberFormat="1" applyFont="1" applyBorder="1" applyAlignment="1">
      <alignment horizontal="center" vertical="center"/>
    </xf>
    <xf numFmtId="167" fontId="41" fillId="0" borderId="3" xfId="1" applyNumberFormat="1" applyFont="1" applyBorder="1" applyAlignment="1">
      <alignment horizontal="center" vertical="center" wrapText="1"/>
    </xf>
    <xf numFmtId="167" fontId="45" fillId="0" borderId="0" xfId="1" applyNumberFormat="1" applyFont="1" applyBorder="1" applyAlignment="1">
      <alignment horizontal="center" vertical="center" wrapText="1"/>
    </xf>
    <xf numFmtId="1" fontId="35" fillId="0" borderId="3" xfId="1" applyNumberFormat="1" applyFont="1" applyBorder="1" applyAlignment="1">
      <alignment horizontal="center" vertical="center"/>
    </xf>
    <xf numFmtId="167" fontId="35" fillId="0" borderId="3" xfId="1" applyNumberFormat="1" applyFont="1" applyBorder="1" applyAlignment="1">
      <alignment horizontal="center" vertical="center"/>
    </xf>
    <xf numFmtId="0" fontId="35" fillId="0" borderId="3" xfId="1" applyNumberFormat="1" applyFont="1" applyBorder="1" applyAlignment="1">
      <alignment vertical="center" wrapText="1"/>
    </xf>
    <xf numFmtId="167" fontId="35" fillId="0" borderId="3" xfId="1" applyNumberFormat="1" applyFont="1" applyBorder="1" applyAlignment="1">
      <alignment horizontal="center" vertical="center" wrapText="1"/>
    </xf>
    <xf numFmtId="167" fontId="52" fillId="0" borderId="3" xfId="99" applyFont="1" applyFill="1" applyBorder="1" applyAlignment="1">
      <alignment vertical="center" wrapText="1"/>
    </xf>
    <xf numFmtId="167" fontId="52" fillId="0" borderId="3" xfId="99" applyNumberFormat="1" applyFont="1" applyFill="1" applyBorder="1" applyAlignment="1">
      <alignment horizontal="center" vertical="center" wrapText="1"/>
    </xf>
    <xf numFmtId="0" fontId="35" fillId="0" borderId="3" xfId="1" applyFont="1" applyBorder="1" applyAlignment="1">
      <alignment vertical="center" wrapText="1"/>
    </xf>
    <xf numFmtId="167" fontId="36" fillId="0" borderId="3" xfId="0" applyNumberFormat="1" applyFont="1" applyBorder="1" applyAlignment="1">
      <alignment horizontal="center" vertical="center" wrapText="1"/>
    </xf>
    <xf numFmtId="2" fontId="35" fillId="0" borderId="3" xfId="100" applyNumberFormat="1" applyFont="1" applyFill="1" applyBorder="1" applyAlignment="1">
      <alignment horizontal="center" vertical="center" wrapText="1"/>
    </xf>
    <xf numFmtId="0" fontId="35" fillId="0" borderId="3" xfId="101" applyFont="1" applyBorder="1" applyAlignment="1" applyProtection="1">
      <alignment vertical="center" wrapText="1"/>
    </xf>
    <xf numFmtId="167" fontId="35" fillId="0" borderId="3" xfId="101" applyNumberFormat="1" applyFont="1" applyBorder="1" applyAlignment="1" applyProtection="1">
      <alignment horizontal="center" vertical="center" wrapText="1"/>
    </xf>
    <xf numFmtId="0" fontId="35" fillId="0" borderId="3" xfId="0" applyFont="1" applyBorder="1" applyAlignment="1">
      <alignment vertical="center" wrapText="1"/>
    </xf>
    <xf numFmtId="167" fontId="35" fillId="0" borderId="3" xfId="0" applyNumberFormat="1" applyFont="1" applyBorder="1" applyAlignment="1">
      <alignment horizontal="center" vertical="center" wrapText="1"/>
    </xf>
    <xf numFmtId="167" fontId="35" fillId="0" borderId="3" xfId="0" applyNumberFormat="1" applyFont="1" applyFill="1" applyBorder="1" applyAlignment="1">
      <alignment horizontal="center" vertical="center" wrapText="1"/>
    </xf>
    <xf numFmtId="0" fontId="35" fillId="0" borderId="3" xfId="0" applyFont="1" applyFill="1" applyBorder="1" applyAlignment="1">
      <alignment vertical="center" wrapText="1"/>
    </xf>
    <xf numFmtId="0" fontId="52" fillId="0" borderId="3" xfId="1" applyFont="1" applyFill="1" applyBorder="1" applyAlignment="1">
      <alignment vertical="center" wrapText="1"/>
    </xf>
    <xf numFmtId="167" fontId="52" fillId="0" borderId="3" xfId="1" applyNumberFormat="1" applyFont="1" applyFill="1" applyBorder="1" applyAlignment="1">
      <alignment horizontal="center" vertical="center" wrapText="1"/>
    </xf>
    <xf numFmtId="0" fontId="35" fillId="3" borderId="3" xfId="101" applyFont="1" applyFill="1" applyBorder="1" applyAlignment="1" applyProtection="1">
      <alignment vertical="center" wrapText="1"/>
    </xf>
    <xf numFmtId="167" fontId="35" fillId="3" borderId="3" xfId="101" applyNumberFormat="1" applyFont="1" applyFill="1" applyBorder="1" applyAlignment="1" applyProtection="1">
      <alignment horizontal="center" vertical="center" wrapText="1"/>
    </xf>
    <xf numFmtId="0" fontId="35" fillId="0" borderId="3" xfId="1" applyFont="1" applyFill="1" applyBorder="1" applyAlignment="1">
      <alignment vertical="center" wrapText="1"/>
    </xf>
    <xf numFmtId="167" fontId="35" fillId="0" borderId="3" xfId="1" applyNumberFormat="1" applyFont="1" applyFill="1" applyBorder="1" applyAlignment="1">
      <alignment horizontal="center" vertical="center" wrapText="1"/>
    </xf>
    <xf numFmtId="1" fontId="35" fillId="0" borderId="3" xfId="100" applyNumberFormat="1" applyFont="1" applyBorder="1" applyAlignment="1">
      <alignment horizontal="center" vertical="center" wrapText="1"/>
    </xf>
    <xf numFmtId="2" fontId="35" fillId="0" borderId="3" xfId="100" applyNumberFormat="1" applyFont="1" applyFill="1" applyBorder="1" applyAlignment="1" applyProtection="1">
      <alignment horizontal="center" vertical="center" wrapText="1"/>
      <protection locked="0" hidden="1"/>
    </xf>
    <xf numFmtId="167" fontId="49" fillId="0" borderId="0" xfId="1" applyNumberFormat="1" applyFont="1" applyBorder="1" applyAlignment="1">
      <alignment vertical="center"/>
    </xf>
    <xf numFmtId="167" fontId="51" fillId="0" borderId="0" xfId="1" applyNumberFormat="1" applyFont="1" applyBorder="1" applyAlignment="1">
      <alignment vertical="center"/>
    </xf>
    <xf numFmtId="0" fontId="36" fillId="0" borderId="3" xfId="0" applyFont="1" applyBorder="1" applyAlignment="1">
      <alignment vertical="center" wrapText="1"/>
    </xf>
    <xf numFmtId="0" fontId="35" fillId="0" borderId="3" xfId="0" applyNumberFormat="1" applyFont="1" applyFill="1" applyBorder="1" applyAlignment="1">
      <alignment vertical="center" wrapText="1"/>
    </xf>
    <xf numFmtId="0" fontId="36" fillId="0" borderId="9" xfId="0" applyFont="1" applyBorder="1" applyAlignment="1">
      <alignment vertical="center" wrapText="1"/>
    </xf>
    <xf numFmtId="167" fontId="36" fillId="0" borderId="3" xfId="0" applyNumberFormat="1" applyFont="1" applyBorder="1" applyAlignment="1">
      <alignment vertical="center" wrapText="1"/>
    </xf>
    <xf numFmtId="167" fontId="49" fillId="0" borderId="0" xfId="1" applyNumberFormat="1" applyFont="1" applyBorder="1" applyAlignment="1" applyProtection="1">
      <alignment vertical="center"/>
      <protection locked="0" hidden="1"/>
    </xf>
    <xf numFmtId="0" fontId="35" fillId="0" borderId="3" xfId="100" applyNumberFormat="1" applyFont="1" applyBorder="1" applyAlignment="1">
      <alignment horizontal="center" vertical="center" wrapText="1"/>
    </xf>
    <xf numFmtId="167" fontId="36" fillId="3" borderId="9" xfId="106" applyNumberFormat="1" applyFont="1" applyFill="1" applyBorder="1" applyAlignment="1">
      <alignment vertical="center" wrapText="1"/>
    </xf>
    <xf numFmtId="2" fontId="35" fillId="0" borderId="3" xfId="100" applyNumberFormat="1" applyFont="1" applyBorder="1" applyAlignment="1">
      <alignment vertical="center" wrapText="1"/>
    </xf>
    <xf numFmtId="2" fontId="35" fillId="0" borderId="3" xfId="100" applyNumberFormat="1" applyFont="1" applyBorder="1" applyAlignment="1">
      <alignment horizontal="center" vertical="center" wrapText="1"/>
    </xf>
    <xf numFmtId="0" fontId="43" fillId="0" borderId="0" xfId="100" applyNumberFormat="1" applyFont="1" applyBorder="1" applyAlignment="1">
      <alignment horizontal="center" vertical="center" wrapText="1"/>
    </xf>
    <xf numFmtId="2" fontId="43" fillId="0" borderId="0" xfId="100" applyNumberFormat="1" applyFont="1" applyFill="1" applyBorder="1" applyAlignment="1">
      <alignment horizontal="center" vertical="center" wrapText="1"/>
    </xf>
    <xf numFmtId="2" fontId="43" fillId="0" borderId="0" xfId="100" applyNumberFormat="1" applyFont="1" applyBorder="1" applyAlignment="1">
      <alignment vertical="center" wrapText="1"/>
    </xf>
    <xf numFmtId="2" fontId="43" fillId="0" borderId="0" xfId="100" applyNumberFormat="1" applyFont="1" applyBorder="1" applyAlignment="1">
      <alignment horizontal="center" vertical="center" wrapText="1"/>
    </xf>
    <xf numFmtId="0" fontId="54" fillId="0" borderId="0" xfId="100" applyNumberFormat="1" applyFont="1" applyBorder="1" applyAlignment="1">
      <alignment horizontal="center" vertical="center" wrapText="1"/>
    </xf>
    <xf numFmtId="2" fontId="50" fillId="0" borderId="0" xfId="100" applyNumberFormat="1" applyFont="1" applyFill="1" applyBorder="1" applyAlignment="1">
      <alignment horizontal="center" vertical="center" wrapText="1"/>
    </xf>
    <xf numFmtId="2" fontId="54" fillId="0" borderId="0" xfId="100" applyNumberFormat="1" applyFont="1" applyBorder="1" applyAlignment="1">
      <alignment vertical="center" wrapText="1"/>
    </xf>
    <xf numFmtId="2" fontId="54" fillId="0" borderId="0" xfId="100" applyNumberFormat="1" applyFont="1" applyBorder="1" applyAlignment="1">
      <alignment horizontal="center" vertical="center" wrapText="1"/>
    </xf>
    <xf numFmtId="2" fontId="54" fillId="0" borderId="0" xfId="100" applyNumberFormat="1" applyFont="1" applyFill="1" applyBorder="1" applyAlignment="1">
      <alignment horizontal="center" vertical="center" wrapText="1"/>
    </xf>
    <xf numFmtId="0" fontId="49" fillId="0" borderId="0" xfId="1" applyNumberFormat="1" applyFont="1" applyBorder="1" applyAlignment="1">
      <alignment vertical="center"/>
    </xf>
    <xf numFmtId="167" fontId="49" fillId="0" borderId="0" xfId="1" applyNumberFormat="1" applyFont="1" applyBorder="1" applyAlignment="1">
      <alignment horizontal="center" vertical="center"/>
    </xf>
    <xf numFmtId="167" fontId="43" fillId="0" borderId="0" xfId="1" applyNumberFormat="1" applyFont="1" applyBorder="1" applyAlignment="1">
      <alignment vertical="center"/>
    </xf>
    <xf numFmtId="167" fontId="43" fillId="0" borderId="0" xfId="1" applyNumberFormat="1" applyFont="1" applyBorder="1" applyAlignment="1">
      <alignment horizontal="center" vertical="center"/>
    </xf>
    <xf numFmtId="167" fontId="41" fillId="0" borderId="0" xfId="1" applyNumberFormat="1" applyFont="1" applyBorder="1" applyAlignment="1">
      <alignment vertical="center"/>
    </xf>
    <xf numFmtId="167" fontId="55" fillId="0" borderId="0" xfId="1" applyNumberFormat="1" applyFont="1" applyBorder="1" applyAlignment="1">
      <alignment vertical="center"/>
    </xf>
    <xf numFmtId="167" fontId="45" fillId="0" borderId="0" xfId="1" applyNumberFormat="1" applyFont="1" applyBorder="1" applyAlignment="1">
      <alignment horizontal="center" vertical="center" wrapText="1"/>
    </xf>
    <xf numFmtId="167" fontId="50" fillId="0" borderId="9" xfId="1" applyNumberFormat="1" applyFont="1" applyBorder="1" applyAlignment="1">
      <alignment horizontal="center" vertical="center" wrapText="1"/>
    </xf>
    <xf numFmtId="167" fontId="52" fillId="0" borderId="3" xfId="99" applyFont="1" applyFill="1" applyBorder="1" applyAlignment="1">
      <alignment horizontal="center" vertical="center" wrapText="1"/>
    </xf>
    <xf numFmtId="2" fontId="35" fillId="0" borderId="3" xfId="101" applyNumberFormat="1" applyFont="1" applyBorder="1" applyAlignment="1" applyProtection="1">
      <alignment horizontal="center" vertical="center" wrapText="1"/>
    </xf>
    <xf numFmtId="2" fontId="35" fillId="0" borderId="3" xfId="0" applyNumberFormat="1" applyFont="1" applyBorder="1" applyAlignment="1">
      <alignment horizontal="center" vertical="center" wrapText="1"/>
    </xf>
    <xf numFmtId="2" fontId="36" fillId="0" borderId="3" xfId="0" applyNumberFormat="1" applyFont="1" applyBorder="1" applyAlignment="1">
      <alignment horizontal="center" vertical="center" wrapText="1"/>
    </xf>
    <xf numFmtId="2" fontId="35" fillId="0" borderId="3" xfId="0" applyNumberFormat="1" applyFont="1" applyFill="1" applyBorder="1" applyAlignment="1">
      <alignment horizontal="center" vertical="center" wrapText="1"/>
    </xf>
    <xf numFmtId="2" fontId="52" fillId="0" borderId="3" xfId="1" applyNumberFormat="1" applyFont="1" applyFill="1" applyBorder="1" applyAlignment="1">
      <alignment horizontal="center" vertical="center" wrapText="1"/>
    </xf>
    <xf numFmtId="2" fontId="35" fillId="3" borderId="3" xfId="101" applyNumberFormat="1" applyFont="1" applyFill="1" applyBorder="1" applyAlignment="1" applyProtection="1">
      <alignment horizontal="center" vertical="center" wrapText="1"/>
    </xf>
    <xf numFmtId="2" fontId="35" fillId="0" borderId="3" xfId="1" applyNumberFormat="1" applyFont="1" applyBorder="1" applyAlignment="1">
      <alignment horizontal="center" vertical="center" wrapText="1"/>
    </xf>
    <xf numFmtId="2" fontId="35" fillId="0" borderId="3" xfId="1" applyNumberFormat="1" applyFont="1" applyFill="1" applyBorder="1" applyAlignment="1">
      <alignment horizontal="center" vertical="center" wrapText="1"/>
    </xf>
    <xf numFmtId="2" fontId="36" fillId="3" borderId="3" xfId="106" applyNumberFormat="1" applyFont="1" applyFill="1" applyBorder="1" applyAlignment="1">
      <alignment horizontal="center" vertical="center" wrapText="1"/>
    </xf>
    <xf numFmtId="0" fontId="35" fillId="0" borderId="9" xfId="108" applyFont="1" applyBorder="1" applyAlignment="1">
      <alignment vertical="center" wrapText="1"/>
    </xf>
    <xf numFmtId="0" fontId="35" fillId="0" borderId="9" xfId="108" applyFont="1" applyFill="1" applyBorder="1" applyAlignment="1">
      <alignment vertical="center" wrapText="1"/>
    </xf>
    <xf numFmtId="167" fontId="35" fillId="0" borderId="9" xfId="106" applyNumberFormat="1" applyFont="1" applyBorder="1" applyAlignment="1">
      <alignment vertical="center" wrapText="1"/>
    </xf>
    <xf numFmtId="0" fontId="35" fillId="0" borderId="19" xfId="109" applyFont="1" applyBorder="1" applyAlignment="1">
      <alignment horizontal="left" vertical="center" wrapText="1"/>
    </xf>
    <xf numFmtId="167" fontId="20" fillId="0" borderId="19" xfId="0" applyNumberFormat="1" applyFont="1" applyBorder="1" applyAlignment="1">
      <alignment horizontal="center" vertical="center" wrapText="1"/>
    </xf>
    <xf numFmtId="166" fontId="35" fillId="0" borderId="3" xfId="101" applyNumberFormat="1" applyFont="1" applyBorder="1" applyAlignment="1" applyProtection="1">
      <alignment horizontal="center" vertical="center" wrapText="1"/>
    </xf>
    <xf numFmtId="2" fontId="38" fillId="0" borderId="3" xfId="100" applyNumberFormat="1" applyFont="1" applyBorder="1" applyAlignment="1">
      <alignment horizontal="center" vertical="center" wrapText="1"/>
    </xf>
    <xf numFmtId="0" fontId="42" fillId="0" borderId="3" xfId="1"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5" xfId="0" applyFont="1" applyBorder="1" applyAlignment="1">
      <alignment horizontal="left" vertical="center" wrapText="1"/>
    </xf>
    <xf numFmtId="167" fontId="27" fillId="3" borderId="3" xfId="106" applyNumberFormat="1" applyFont="1" applyFill="1" applyBorder="1" applyAlignment="1">
      <alignment horizontal="left" vertical="center" wrapText="1"/>
    </xf>
    <xf numFmtId="167" fontId="28" fillId="0" borderId="3" xfId="106" applyNumberFormat="1" applyFont="1" applyBorder="1" applyAlignment="1">
      <alignment horizontal="center" vertical="center"/>
    </xf>
    <xf numFmtId="167" fontId="1" fillId="0" borderId="3" xfId="0" applyNumberFormat="1" applyFont="1" applyBorder="1" applyAlignment="1">
      <alignment horizontal="lef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5" xfId="0" applyFont="1" applyBorder="1" applyAlignment="1">
      <alignment horizontal="left" vertical="center" wrapText="1"/>
    </xf>
    <xf numFmtId="0" fontId="42" fillId="0" borderId="3" xfId="101" applyFont="1" applyBorder="1" applyAlignment="1" applyProtection="1">
      <alignment horizontal="left" vertical="center" wrapText="1"/>
    </xf>
    <xf numFmtId="0" fontId="41" fillId="0" borderId="12" xfId="1" applyFont="1" applyBorder="1" applyAlignment="1">
      <alignment horizontal="center" vertical="center" wrapText="1"/>
    </xf>
    <xf numFmtId="0" fontId="41" fillId="0" borderId="13" xfId="1" applyFont="1" applyBorder="1" applyAlignment="1">
      <alignment horizontal="center" vertical="center" wrapText="1"/>
    </xf>
    <xf numFmtId="0" fontId="41" fillId="0" borderId="14" xfId="1" applyFont="1" applyBorder="1" applyAlignment="1">
      <alignment horizontal="center" vertical="center" wrapText="1"/>
    </xf>
    <xf numFmtId="0" fontId="41" fillId="0" borderId="5" xfId="1" applyFont="1" applyBorder="1" applyAlignment="1">
      <alignment horizontal="center" vertical="center"/>
    </xf>
    <xf numFmtId="0" fontId="41" fillId="0" borderId="6" xfId="1" applyFont="1" applyBorder="1" applyAlignment="1">
      <alignment horizontal="center" vertical="center"/>
    </xf>
    <xf numFmtId="0" fontId="41" fillId="0" borderId="7" xfId="1" applyFont="1" applyBorder="1" applyAlignment="1">
      <alignment horizontal="center" vertical="center"/>
    </xf>
    <xf numFmtId="0" fontId="42" fillId="0" borderId="3" xfId="1" applyNumberFormat="1" applyFont="1" applyBorder="1" applyAlignment="1">
      <alignment horizontal="left" vertical="center" wrapText="1"/>
    </xf>
    <xf numFmtId="0" fontId="41" fillId="0" borderId="9" xfId="1" applyFont="1" applyBorder="1" applyAlignment="1">
      <alignment horizontal="center" vertical="center"/>
    </xf>
    <xf numFmtId="0" fontId="41" fillId="0" borderId="15" xfId="1" applyFont="1" applyBorder="1" applyAlignment="1">
      <alignment horizontal="center" vertical="center"/>
    </xf>
    <xf numFmtId="167" fontId="44" fillId="0" borderId="3" xfId="99" applyFont="1" applyFill="1" applyBorder="1" applyAlignment="1">
      <alignment horizontal="left" vertical="center" wrapText="1"/>
    </xf>
    <xf numFmtId="0" fontId="44" fillId="0" borderId="3" xfId="1" applyFont="1" applyFill="1" applyBorder="1" applyAlignment="1">
      <alignment horizontal="left" vertical="center" wrapText="1"/>
    </xf>
    <xf numFmtId="0" fontId="42" fillId="0" borderId="9"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42" fillId="0" borderId="15" xfId="0" applyFont="1" applyFill="1" applyBorder="1" applyAlignment="1">
      <alignment horizontal="left" vertical="center" wrapText="1"/>
    </xf>
    <xf numFmtId="0" fontId="42" fillId="0" borderId="3" xfId="0" applyFont="1" applyFill="1" applyBorder="1" applyAlignment="1">
      <alignment horizontal="left" vertical="center" wrapText="1"/>
    </xf>
    <xf numFmtId="171" fontId="1" fillId="0" borderId="9" xfId="0" applyNumberFormat="1" applyFont="1" applyBorder="1" applyAlignment="1">
      <alignment horizontal="center" vertical="center"/>
    </xf>
    <xf numFmtId="171" fontId="1" fillId="0" borderId="15" xfId="0" applyNumberFormat="1" applyFont="1" applyBorder="1" applyAlignment="1">
      <alignment horizontal="center" vertical="center"/>
    </xf>
    <xf numFmtId="0" fontId="42" fillId="0" borderId="9" xfId="0" applyNumberFormat="1" applyFont="1" applyFill="1" applyBorder="1" applyAlignment="1">
      <alignment horizontal="left" vertical="center" wrapText="1"/>
    </xf>
    <xf numFmtId="0" fontId="42" fillId="0" borderId="10" xfId="0" applyNumberFormat="1" applyFont="1" applyFill="1" applyBorder="1" applyAlignment="1">
      <alignment horizontal="left" vertical="center" wrapText="1"/>
    </xf>
    <xf numFmtId="0" fontId="42" fillId="0" borderId="15" xfId="0" applyNumberFormat="1" applyFont="1" applyFill="1" applyBorder="1" applyAlignment="1">
      <alignment horizontal="left" vertical="center" wrapText="1"/>
    </xf>
    <xf numFmtId="167" fontId="44" fillId="0" borderId="9" xfId="99" applyFont="1" applyBorder="1" applyAlignment="1">
      <alignment horizontal="center" vertical="center" wrapText="1"/>
    </xf>
    <xf numFmtId="167" fontId="44" fillId="0" borderId="15" xfId="99" applyFont="1" applyBorder="1" applyAlignment="1">
      <alignment horizontal="center" vertical="center" wrapText="1"/>
    </xf>
    <xf numFmtId="0" fontId="42" fillId="3" borderId="3" xfId="101" applyFont="1" applyFill="1" applyBorder="1" applyAlignment="1" applyProtection="1">
      <alignment horizontal="left" vertical="center" wrapText="1"/>
    </xf>
    <xf numFmtId="0" fontId="42" fillId="0" borderId="9" xfId="1" applyFont="1" applyFill="1" applyBorder="1" applyAlignment="1">
      <alignment horizontal="left" vertical="center" wrapText="1"/>
    </xf>
    <xf numFmtId="0" fontId="42" fillId="0" borderId="10" xfId="1" applyFont="1" applyFill="1" applyBorder="1" applyAlignment="1">
      <alignment horizontal="left" vertical="center" wrapText="1"/>
    </xf>
    <xf numFmtId="0" fontId="42" fillId="0" borderId="11" xfId="1" applyFont="1" applyFill="1" applyBorder="1" applyAlignment="1">
      <alignment horizontal="left" vertical="center" wrapText="1"/>
    </xf>
    <xf numFmtId="167" fontId="1" fillId="0" borderId="9" xfId="0" applyNumberFormat="1" applyFont="1" applyBorder="1" applyAlignment="1">
      <alignment horizontal="left" vertical="center" wrapText="1"/>
    </xf>
    <xf numFmtId="167" fontId="1" fillId="0" borderId="10" xfId="0" applyNumberFormat="1" applyFont="1" applyBorder="1" applyAlignment="1">
      <alignment horizontal="left" vertical="center" wrapText="1"/>
    </xf>
    <xf numFmtId="167" fontId="1" fillId="0" borderId="15" xfId="0" applyNumberFormat="1" applyFont="1" applyBorder="1" applyAlignment="1">
      <alignment horizontal="left" vertical="center" wrapText="1"/>
    </xf>
    <xf numFmtId="167" fontId="8" fillId="0" borderId="9" xfId="1" applyNumberFormat="1" applyFont="1" applyBorder="1" applyAlignment="1">
      <alignment horizontal="center" vertical="center" wrapText="1"/>
    </xf>
    <xf numFmtId="167" fontId="8" fillId="0" borderId="15" xfId="1" applyNumberFormat="1" applyFont="1" applyBorder="1" applyAlignment="1">
      <alignment horizontal="center" vertical="center" wrapText="1"/>
    </xf>
    <xf numFmtId="167" fontId="30" fillId="0" borderId="21" xfId="1" applyNumberFormat="1" applyFont="1" applyBorder="1" applyAlignment="1">
      <alignment horizontal="center" vertical="center"/>
    </xf>
    <xf numFmtId="167" fontId="30" fillId="0" borderId="10" xfId="1" applyNumberFormat="1" applyFont="1" applyBorder="1" applyAlignment="1">
      <alignment horizontal="center" vertical="center"/>
    </xf>
    <xf numFmtId="167" fontId="30" fillId="0" borderId="15" xfId="1" applyNumberFormat="1" applyFont="1" applyBorder="1" applyAlignment="1">
      <alignment horizontal="center" vertical="center"/>
    </xf>
    <xf numFmtId="167" fontId="7" fillId="0" borderId="22" xfId="1" applyNumberFormat="1" applyFont="1" applyBorder="1" applyAlignment="1">
      <alignment horizontal="center" vertical="center" wrapText="1"/>
    </xf>
    <xf numFmtId="167" fontId="7" fillId="0" borderId="23" xfId="1" applyNumberFormat="1" applyFont="1" applyBorder="1" applyAlignment="1">
      <alignment horizontal="center" vertical="center" wrapText="1"/>
    </xf>
    <xf numFmtId="167" fontId="7" fillId="0" borderId="24" xfId="1" applyNumberFormat="1" applyFont="1" applyBorder="1" applyAlignment="1">
      <alignment horizontal="center" vertical="center" wrapText="1"/>
    </xf>
    <xf numFmtId="167" fontId="21" fillId="0" borderId="9" xfId="1" applyNumberFormat="1" applyFont="1" applyBorder="1" applyAlignment="1">
      <alignment horizontal="center" vertical="center" wrapText="1"/>
    </xf>
    <xf numFmtId="167" fontId="21" fillId="0" borderId="10" xfId="1" applyNumberFormat="1" applyFont="1" applyBorder="1" applyAlignment="1">
      <alignment horizontal="center" vertical="center" wrapText="1"/>
    </xf>
    <xf numFmtId="0" fontId="21" fillId="0" borderId="19" xfId="1" applyNumberFormat="1" applyFont="1" applyBorder="1" applyAlignment="1">
      <alignment horizontal="center" vertical="center"/>
    </xf>
    <xf numFmtId="0" fontId="21" fillId="0" borderId="20" xfId="1" applyNumberFormat="1" applyFont="1" applyBorder="1" applyAlignment="1">
      <alignment horizontal="center" vertical="center"/>
    </xf>
    <xf numFmtId="167" fontId="21" fillId="0" borderId="19" xfId="1" applyNumberFormat="1" applyFont="1" applyBorder="1" applyAlignment="1">
      <alignment horizontal="center" vertical="center"/>
    </xf>
    <xf numFmtId="167" fontId="21" fillId="0" borderId="20" xfId="1" applyNumberFormat="1" applyFont="1" applyBorder="1" applyAlignment="1">
      <alignment horizontal="center" vertical="center"/>
    </xf>
    <xf numFmtId="167" fontId="21" fillId="0" borderId="19" xfId="1" applyNumberFormat="1" applyFont="1" applyBorder="1" applyAlignment="1">
      <alignment horizontal="center" vertical="center" wrapText="1"/>
    </xf>
    <xf numFmtId="167" fontId="21" fillId="0" borderId="20" xfId="1" applyNumberFormat="1" applyFont="1" applyBorder="1" applyAlignment="1">
      <alignment horizontal="center" vertical="center" wrapText="1"/>
    </xf>
    <xf numFmtId="167" fontId="43" fillId="0" borderId="9" xfId="1" applyNumberFormat="1" applyFont="1" applyBorder="1" applyAlignment="1">
      <alignment horizontal="center" vertical="center" wrapText="1"/>
    </xf>
    <xf numFmtId="167" fontId="43" fillId="0" borderId="10" xfId="1" applyNumberFormat="1" applyFont="1" applyBorder="1" applyAlignment="1">
      <alignment horizontal="center" vertical="center" wrapText="1"/>
    </xf>
    <xf numFmtId="167" fontId="43" fillId="0" borderId="11" xfId="1" applyNumberFormat="1" applyFont="1" applyBorder="1" applyAlignment="1">
      <alignment horizontal="center" vertical="center" wrapText="1"/>
    </xf>
    <xf numFmtId="167" fontId="47" fillId="0" borderId="16" xfId="1" applyNumberFormat="1" applyFont="1" applyBorder="1" applyAlignment="1">
      <alignment horizontal="center" vertical="center" wrapText="1"/>
    </xf>
    <xf numFmtId="167" fontId="47" fillId="0" borderId="17" xfId="1" applyNumberFormat="1" applyFont="1" applyBorder="1" applyAlignment="1">
      <alignment horizontal="center" vertical="center" wrapText="1"/>
    </xf>
    <xf numFmtId="167" fontId="47" fillId="0" borderId="18" xfId="1" applyNumberFormat="1" applyFont="1" applyBorder="1" applyAlignment="1">
      <alignment horizontal="center" vertical="center" wrapText="1"/>
    </xf>
    <xf numFmtId="167" fontId="45" fillId="0" borderId="0" xfId="1" applyNumberFormat="1" applyFont="1" applyBorder="1" applyAlignment="1">
      <alignment horizontal="center" vertical="center" wrapText="1"/>
    </xf>
    <xf numFmtId="171" fontId="35" fillId="0" borderId="9" xfId="107" applyNumberFormat="1" applyFont="1" applyBorder="1" applyAlignment="1">
      <alignment horizontal="center" vertical="center" wrapText="1"/>
    </xf>
    <xf numFmtId="171" fontId="35" fillId="0" borderId="10" xfId="107" applyNumberFormat="1" applyFont="1" applyBorder="1" applyAlignment="1">
      <alignment horizontal="center" vertical="center" wrapText="1"/>
    </xf>
    <xf numFmtId="171" fontId="35" fillId="0" borderId="15" xfId="107" applyNumberFormat="1" applyFont="1" applyBorder="1" applyAlignment="1">
      <alignment horizontal="center" vertical="center" wrapText="1"/>
    </xf>
    <xf numFmtId="0" fontId="38" fillId="0" borderId="3" xfId="107" applyFont="1" applyBorder="1" applyAlignment="1">
      <alignment horizontal="center" vertical="center" wrapText="1"/>
    </xf>
    <xf numFmtId="0" fontId="38" fillId="0" borderId="26" xfId="107" applyFont="1" applyBorder="1" applyAlignment="1">
      <alignment horizontal="center" vertical="center" wrapText="1"/>
    </xf>
    <xf numFmtId="167" fontId="38" fillId="0" borderId="9" xfId="106" applyNumberFormat="1" applyFont="1" applyBorder="1" applyAlignment="1">
      <alignment horizontal="center" vertical="center"/>
    </xf>
    <xf numFmtId="167" fontId="38" fillId="0" borderId="10" xfId="106" applyNumberFormat="1" applyFont="1" applyBorder="1" applyAlignment="1">
      <alignment horizontal="center" vertical="center"/>
    </xf>
    <xf numFmtId="167" fontId="38" fillId="0" borderId="15" xfId="106" applyNumberFormat="1" applyFont="1" applyBorder="1" applyAlignment="1">
      <alignment horizontal="center" vertical="center"/>
    </xf>
    <xf numFmtId="0" fontId="33" fillId="0" borderId="16" xfId="100" applyFont="1" applyBorder="1" applyAlignment="1">
      <alignment horizontal="center" vertical="center" wrapText="1"/>
    </xf>
    <xf numFmtId="0" fontId="33" fillId="0" borderId="17" xfId="100" applyFont="1" applyBorder="1" applyAlignment="1">
      <alignment horizontal="center" vertical="center" wrapText="1"/>
    </xf>
    <xf numFmtId="0" fontId="33" fillId="0" borderId="18" xfId="100" applyFont="1" applyBorder="1" applyAlignment="1">
      <alignment horizontal="center" vertical="center" wrapText="1"/>
    </xf>
    <xf numFmtId="0" fontId="32" fillId="0" borderId="4" xfId="100" applyFont="1" applyBorder="1" applyAlignment="1">
      <alignment horizontal="center" vertical="center" wrapText="1"/>
    </xf>
    <xf numFmtId="0" fontId="32" fillId="0" borderId="3" xfId="100" applyFont="1" applyBorder="1" applyAlignment="1">
      <alignment horizontal="center" vertical="center" wrapText="1"/>
    </xf>
    <xf numFmtId="0" fontId="32" fillId="0" borderId="8" xfId="100" applyFont="1" applyBorder="1" applyAlignment="1">
      <alignment horizontal="center" vertical="center" wrapText="1"/>
    </xf>
    <xf numFmtId="0" fontId="38" fillId="0" borderId="9" xfId="107" applyFont="1" applyBorder="1" applyAlignment="1">
      <alignment horizontal="center" vertical="center" wrapText="1"/>
    </xf>
    <xf numFmtId="0" fontId="38" fillId="0" borderId="10" xfId="107" applyFont="1" applyBorder="1" applyAlignment="1">
      <alignment horizontal="center" vertical="center" wrapText="1"/>
    </xf>
    <xf numFmtId="0" fontId="38" fillId="0" borderId="15" xfId="107" applyFont="1" applyBorder="1" applyAlignment="1">
      <alignment horizontal="center" vertical="center" wrapText="1"/>
    </xf>
    <xf numFmtId="167" fontId="0" fillId="0" borderId="0" xfId="0" applyNumberFormat="1" applyAlignment="1">
      <alignment horizontal="center" wrapText="1"/>
    </xf>
    <xf numFmtId="167" fontId="0" fillId="0" borderId="0" xfId="0" applyNumberFormat="1" applyAlignment="1">
      <alignment horizontal="center" vertical="center" wrapText="1"/>
    </xf>
    <xf numFmtId="167" fontId="41" fillId="0" borderId="9" xfId="1" applyNumberFormat="1" applyFont="1" applyBorder="1" applyAlignment="1">
      <alignment horizontal="center" vertical="center" wrapText="1"/>
    </xf>
    <xf numFmtId="167" fontId="41" fillId="0" borderId="15" xfId="1" applyNumberFormat="1" applyFont="1" applyBorder="1" applyAlignment="1">
      <alignment horizontal="center" vertical="center" wrapText="1"/>
    </xf>
    <xf numFmtId="167" fontId="41" fillId="0" borderId="19" xfId="1" applyNumberFormat="1" applyFont="1" applyBorder="1" applyAlignment="1">
      <alignment horizontal="center" vertical="center"/>
    </xf>
    <xf numFmtId="167" fontId="41" fillId="0" borderId="28" xfId="1" applyNumberFormat="1" applyFont="1" applyBorder="1" applyAlignment="1">
      <alignment horizontal="center" vertical="center"/>
    </xf>
    <xf numFmtId="167" fontId="41" fillId="0" borderId="20" xfId="1" applyNumberFormat="1" applyFont="1" applyBorder="1" applyAlignment="1">
      <alignment horizontal="center" vertical="center"/>
    </xf>
    <xf numFmtId="167" fontId="41" fillId="0" borderId="19" xfId="1" applyNumberFormat="1" applyFont="1" applyBorder="1" applyAlignment="1">
      <alignment horizontal="center" vertical="center" wrapText="1"/>
    </xf>
    <xf numFmtId="167" fontId="41" fillId="0" borderId="28" xfId="1" applyNumberFormat="1" applyFont="1" applyBorder="1" applyAlignment="1">
      <alignment horizontal="center" vertical="center" wrapText="1"/>
    </xf>
    <xf numFmtId="167" fontId="41" fillId="0" borderId="20" xfId="1" applyNumberFormat="1" applyFont="1" applyBorder="1" applyAlignment="1">
      <alignment horizontal="center" vertical="center" wrapText="1"/>
    </xf>
    <xf numFmtId="0" fontId="41" fillId="0" borderId="29" xfId="1" applyNumberFormat="1" applyFont="1" applyBorder="1" applyAlignment="1">
      <alignment horizontal="center" vertical="center"/>
    </xf>
    <xf numFmtId="0" fontId="41" fillId="0" borderId="30" xfId="1" applyNumberFormat="1" applyFont="1" applyBorder="1" applyAlignment="1">
      <alignment horizontal="center" vertical="center"/>
    </xf>
    <xf numFmtId="0" fontId="41" fillId="0" borderId="24" xfId="1" applyNumberFormat="1" applyFont="1" applyBorder="1" applyAlignment="1">
      <alignment horizontal="center" vertical="center"/>
    </xf>
    <xf numFmtId="0" fontId="2" fillId="0" borderId="0" xfId="110" applyAlignment="1">
      <alignment wrapText="1"/>
    </xf>
    <xf numFmtId="0" fontId="5" fillId="0" borderId="0" xfId="110" applyFont="1" applyAlignment="1">
      <alignment vertical="center" wrapText="1"/>
    </xf>
    <xf numFmtId="0" fontId="2" fillId="0" borderId="0" xfId="110"/>
    <xf numFmtId="0" fontId="56" fillId="0" borderId="0" xfId="110" applyFont="1" applyAlignment="1">
      <alignment horizontal="center"/>
    </xf>
    <xf numFmtId="0" fontId="5" fillId="0" borderId="0" xfId="110" applyFont="1" applyAlignment="1">
      <alignment horizontal="center"/>
    </xf>
    <xf numFmtId="0" fontId="5" fillId="0" borderId="0" xfId="110" applyFont="1"/>
    <xf numFmtId="0" fontId="2" fillId="0" borderId="0" xfId="110" applyFont="1"/>
    <xf numFmtId="2" fontId="57" fillId="0" borderId="0" xfId="110" applyNumberFormat="1" applyFont="1"/>
    <xf numFmtId="2" fontId="2" fillId="0" borderId="0" xfId="110" applyNumberFormat="1" applyFont="1"/>
    <xf numFmtId="17" fontId="2" fillId="0" borderId="0" xfId="110" quotePrefix="1" applyNumberFormat="1" applyFont="1"/>
    <xf numFmtId="2" fontId="58" fillId="3" borderId="0" xfId="110" applyNumberFormat="1" applyFont="1" applyFill="1"/>
    <xf numFmtId="0" fontId="57" fillId="0" borderId="0" xfId="110" applyFont="1"/>
    <xf numFmtId="0" fontId="2" fillId="0" borderId="0" xfId="110" applyFont="1" applyAlignment="1">
      <alignment wrapText="1"/>
    </xf>
    <xf numFmtId="0" fontId="59" fillId="0" borderId="0" xfId="110" applyFont="1" applyAlignment="1">
      <alignment wrapText="1"/>
    </xf>
    <xf numFmtId="0" fontId="59" fillId="0" borderId="0" xfId="110" applyFont="1"/>
    <xf numFmtId="2" fontId="2" fillId="0" borderId="0" xfId="110" applyNumberFormat="1"/>
    <xf numFmtId="0" fontId="2" fillId="0" borderId="0" xfId="110" applyFont="1" applyFill="1" applyBorder="1"/>
    <xf numFmtId="2" fontId="2" fillId="0" borderId="0" xfId="110" applyNumberFormat="1" applyFont="1" applyFill="1" applyBorder="1"/>
    <xf numFmtId="2" fontId="58" fillId="4" borderId="0" xfId="110" applyNumberFormat="1" applyFont="1" applyFill="1" applyBorder="1"/>
    <xf numFmtId="0" fontId="58" fillId="4" borderId="0" xfId="110" applyFont="1" applyFill="1" applyBorder="1" applyAlignment="1">
      <alignment horizontal="right"/>
    </xf>
    <xf numFmtId="0" fontId="5" fillId="0" borderId="0" xfId="110" applyFont="1" applyFill="1" applyBorder="1" applyAlignment="1"/>
    <xf numFmtId="0" fontId="5" fillId="0" borderId="0" xfId="110" applyFont="1" applyFill="1" applyBorder="1" applyAlignment="1">
      <alignment horizontal="center"/>
    </xf>
    <xf numFmtId="0" fontId="2" fillId="0" borderId="0" xfId="110" applyFont="1" applyFill="1" applyBorder="1" applyAlignment="1">
      <alignment wrapText="1"/>
    </xf>
    <xf numFmtId="0" fontId="5" fillId="0" borderId="0" xfId="110" applyFont="1" applyFill="1" applyBorder="1" applyAlignment="1">
      <alignment horizontal="center" wrapText="1"/>
    </xf>
    <xf numFmtId="0" fontId="59" fillId="0" borderId="0" xfId="110" applyFont="1" applyFill="1" applyBorder="1" applyAlignment="1">
      <alignment wrapText="1"/>
    </xf>
    <xf numFmtId="2" fontId="5" fillId="0" borderId="0" xfId="110" applyNumberFormat="1" applyFont="1" applyFill="1" applyBorder="1"/>
    <xf numFmtId="0" fontId="5" fillId="0" borderId="0" xfId="110" applyFont="1" applyFill="1" applyBorder="1"/>
    <xf numFmtId="167" fontId="0" fillId="0" borderId="0" xfId="0" applyNumberFormat="1" applyAlignment="1" applyProtection="1">
      <alignment horizontal="left"/>
    </xf>
    <xf numFmtId="167" fontId="0" fillId="0" borderId="0" xfId="0" applyNumberFormat="1" applyAlignment="1" applyProtection="1">
      <alignment horizontal="center"/>
    </xf>
    <xf numFmtId="167" fontId="0" fillId="0" borderId="0" xfId="0" applyNumberFormat="1" applyAlignment="1"/>
    <xf numFmtId="167" fontId="13" fillId="0" borderId="0" xfId="0" applyNumberFormat="1" applyFont="1" applyAlignment="1" applyProtection="1">
      <alignment horizontal="left"/>
    </xf>
    <xf numFmtId="167" fontId="0" fillId="0" borderId="0" xfId="0" applyNumberFormat="1" applyAlignment="1">
      <alignment horizontal="left"/>
    </xf>
    <xf numFmtId="167" fontId="0" fillId="0" borderId="0" xfId="0" applyNumberFormat="1" applyAlignment="1">
      <alignment horizontal="center"/>
    </xf>
    <xf numFmtId="167" fontId="60" fillId="0" borderId="0" xfId="0" applyNumberFormat="1" applyFont="1" applyAlignment="1" applyProtection="1"/>
    <xf numFmtId="167" fontId="0" fillId="0" borderId="0" xfId="0" applyNumberFormat="1" applyAlignment="1" applyProtection="1">
      <alignment horizontal="fill"/>
    </xf>
    <xf numFmtId="167" fontId="0" fillId="0" borderId="0" xfId="0" quotePrefix="1" applyNumberFormat="1" applyAlignment="1" applyProtection="1">
      <alignment horizontal="center"/>
    </xf>
    <xf numFmtId="167" fontId="0" fillId="0" borderId="0" xfId="0" applyNumberFormat="1" applyAlignment="1" applyProtection="1">
      <alignment horizontal="center"/>
    </xf>
    <xf numFmtId="167" fontId="61" fillId="0" borderId="0" xfId="0" applyNumberFormat="1" applyFont="1" applyAlignment="1" applyProtection="1">
      <alignment horizontal="left"/>
    </xf>
    <xf numFmtId="167" fontId="13" fillId="0" borderId="0" xfId="0" applyNumberFormat="1" applyFont="1" applyAlignment="1" applyProtection="1">
      <alignment horizontal="right"/>
    </xf>
    <xf numFmtId="167" fontId="0" fillId="0" borderId="0" xfId="0" applyNumberFormat="1" applyAlignment="1" applyProtection="1"/>
    <xf numFmtId="167" fontId="13" fillId="0" borderId="0" xfId="0" applyNumberFormat="1" applyFont="1" applyProtection="1"/>
    <xf numFmtId="167" fontId="0" fillId="0" borderId="0" xfId="0" applyNumberFormat="1" applyProtection="1"/>
    <xf numFmtId="167" fontId="62" fillId="0" borderId="0" xfId="0" applyNumberFormat="1" applyFont="1" applyAlignment="1" applyProtection="1">
      <alignment horizontal="center"/>
    </xf>
    <xf numFmtId="167" fontId="13" fillId="0" borderId="0" xfId="0" applyNumberFormat="1" applyFont="1" applyAlignment="1" applyProtection="1">
      <alignment horizontal="center"/>
    </xf>
    <xf numFmtId="167" fontId="63" fillId="0" borderId="0" xfId="0" applyNumberFormat="1" applyFont="1" applyAlignment="1" applyProtection="1">
      <alignment horizontal="left"/>
    </xf>
    <xf numFmtId="167" fontId="13" fillId="0" borderId="0" xfId="0" quotePrefix="1" applyNumberFormat="1" applyFont="1" applyAlignment="1" applyProtection="1">
      <alignment horizontal="right"/>
    </xf>
    <xf numFmtId="167" fontId="63" fillId="0" borderId="0" xfId="0" applyNumberFormat="1" applyFont="1" applyAlignment="1" applyProtection="1">
      <alignment horizontal="fill"/>
    </xf>
    <xf numFmtId="167" fontId="13" fillId="0" borderId="0" xfId="0" quotePrefix="1" applyNumberFormat="1" applyFont="1" applyAlignment="1" applyProtection="1">
      <alignment horizontal="center"/>
    </xf>
    <xf numFmtId="167" fontId="13" fillId="0" borderId="0" xfId="0" quotePrefix="1" applyNumberFormat="1" applyFont="1" applyAlignment="1">
      <alignment horizontal="center"/>
    </xf>
    <xf numFmtId="167" fontId="64" fillId="0" borderId="0" xfId="0" applyNumberFormat="1" applyFont="1" applyAlignment="1" applyProtection="1">
      <alignment horizontal="center"/>
    </xf>
    <xf numFmtId="167" fontId="65" fillId="0" borderId="0" xfId="0" applyNumberFormat="1" applyFont="1" applyFill="1" applyProtection="1"/>
    <xf numFmtId="167" fontId="0" fillId="0" borderId="0" xfId="0" applyNumberFormat="1" applyAlignment="1" applyProtection="1">
      <alignment horizontal="right" indent="2"/>
    </xf>
    <xf numFmtId="167" fontId="0" fillId="0" borderId="0" xfId="0" applyNumberFormat="1" applyFont="1" applyProtection="1"/>
    <xf numFmtId="169" fontId="66" fillId="0" borderId="0" xfId="0" applyNumberFormat="1" applyFont="1" applyProtection="1"/>
    <xf numFmtId="167" fontId="0" fillId="0" borderId="0" xfId="0" applyNumberFormat="1" applyFont="1" applyAlignment="1" applyProtection="1">
      <alignment horizontal="left"/>
    </xf>
    <xf numFmtId="167" fontId="66" fillId="0" borderId="0" xfId="0" applyNumberFormat="1" applyFont="1" applyProtection="1"/>
    <xf numFmtId="167" fontId="66" fillId="0" borderId="0" xfId="0" applyNumberFormat="1" applyFont="1" applyAlignment="1" applyProtection="1">
      <alignment horizontal="left"/>
    </xf>
    <xf numFmtId="167" fontId="67" fillId="0" borderId="0" xfId="0" applyNumberFormat="1" applyFont="1" applyFill="1" applyProtection="1"/>
    <xf numFmtId="167" fontId="0" fillId="0" borderId="0" xfId="0" applyNumberFormat="1" applyFill="1" applyAlignment="1" applyProtection="1">
      <alignment horizontal="right" indent="2"/>
    </xf>
    <xf numFmtId="167" fontId="0" fillId="0" borderId="0" xfId="0" applyNumberFormat="1" applyAlignment="1">
      <alignment horizontal="right" indent="2"/>
    </xf>
    <xf numFmtId="167" fontId="68" fillId="0" borderId="0" xfId="0" applyNumberFormat="1" applyFont="1" applyAlignment="1" applyProtection="1">
      <alignment horizontal="left"/>
    </xf>
    <xf numFmtId="167" fontId="67" fillId="0" borderId="0" xfId="0" applyNumberFormat="1" applyFont="1" applyProtection="1"/>
    <xf numFmtId="167" fontId="0" fillId="5" borderId="0" xfId="0" applyNumberFormat="1" applyFont="1" applyFill="1" applyProtection="1"/>
    <xf numFmtId="167" fontId="69" fillId="5" borderId="0" xfId="0" applyNumberFormat="1" applyFont="1" applyFill="1" applyProtection="1"/>
    <xf numFmtId="169" fontId="0" fillId="0" borderId="0" xfId="0" applyNumberFormat="1" applyAlignment="1" applyProtection="1">
      <alignment horizontal="center"/>
    </xf>
    <xf numFmtId="167" fontId="65" fillId="0" borderId="0" xfId="0" applyNumberFormat="1" applyFont="1" applyProtection="1"/>
    <xf numFmtId="167" fontId="70" fillId="0" borderId="0" xfId="0" applyNumberFormat="1" applyFont="1" applyProtection="1"/>
    <xf numFmtId="167" fontId="66" fillId="0" borderId="0" xfId="0" applyNumberFormat="1" applyFont="1"/>
    <xf numFmtId="167" fontId="0" fillId="5" borderId="0" xfId="0" applyNumberFormat="1" applyFill="1" applyAlignment="1" applyProtection="1">
      <alignment horizontal="left"/>
    </xf>
    <xf numFmtId="167" fontId="0" fillId="5" borderId="0" xfId="0" applyNumberFormat="1" applyFont="1" applyFill="1" applyAlignment="1" applyProtection="1">
      <alignment horizontal="left"/>
    </xf>
    <xf numFmtId="167" fontId="64" fillId="5" borderId="0" xfId="0" applyNumberFormat="1" applyFont="1" applyFill="1" applyAlignment="1" applyProtection="1">
      <alignment horizontal="center"/>
    </xf>
    <xf numFmtId="167" fontId="65" fillId="0" borderId="0" xfId="0" applyNumberFormat="1" applyFont="1" applyFill="1" applyAlignment="1" applyProtection="1">
      <alignment horizontal="right"/>
    </xf>
    <xf numFmtId="167" fontId="71" fillId="0" borderId="0" xfId="0" applyNumberFormat="1" applyFont="1" applyProtection="1"/>
    <xf numFmtId="167" fontId="69" fillId="0" borderId="0" xfId="0" applyNumberFormat="1" applyFont="1" applyProtection="1"/>
    <xf numFmtId="167" fontId="65" fillId="0" borderId="0" xfId="0" applyNumberFormat="1" applyFont="1" applyFill="1"/>
    <xf numFmtId="167" fontId="0" fillId="0" borderId="0" xfId="0" applyNumberFormat="1" applyFont="1"/>
    <xf numFmtId="167" fontId="64" fillId="0" borderId="0" xfId="0" applyNumberFormat="1" applyFont="1" applyAlignment="1" applyProtection="1">
      <alignment horizontal="left" vertical="top" wrapText="1"/>
    </xf>
    <xf numFmtId="167" fontId="70" fillId="0" borderId="0" xfId="0" applyNumberFormat="1" applyFont="1" applyAlignment="1" applyProtection="1">
      <alignment horizontal="left"/>
    </xf>
    <xf numFmtId="168" fontId="0" fillId="0" borderId="0" xfId="0" applyNumberFormat="1" applyProtection="1"/>
    <xf numFmtId="167" fontId="64" fillId="0" borderId="0" xfId="0" applyNumberFormat="1" applyFont="1" applyAlignment="1" applyProtection="1">
      <alignment horizontal="left" vertical="top"/>
    </xf>
    <xf numFmtId="167" fontId="65" fillId="0" borderId="0" xfId="0" applyNumberFormat="1" applyFont="1" applyFill="1" applyAlignment="1" applyProtection="1">
      <alignment horizontal="fill"/>
    </xf>
    <xf numFmtId="167" fontId="64" fillId="0" borderId="0" xfId="0" applyNumberFormat="1" applyFont="1" applyAlignment="1" applyProtection="1">
      <alignment horizontal="fill"/>
    </xf>
    <xf numFmtId="167" fontId="13" fillId="0" borderId="0" xfId="0" applyNumberFormat="1" applyFont="1"/>
    <xf numFmtId="172" fontId="0" fillId="0" borderId="0" xfId="0" applyNumberFormat="1" applyAlignment="1" applyProtection="1">
      <alignment horizontal="center"/>
    </xf>
    <xf numFmtId="0" fontId="72" fillId="0" borderId="0" xfId="0" applyNumberFormat="1" applyFont="1" applyFill="1"/>
    <xf numFmtId="167" fontId="69" fillId="0" borderId="0" xfId="0" applyNumberFormat="1" applyFont="1" applyAlignment="1" applyProtection="1">
      <alignment horizontal="left"/>
    </xf>
    <xf numFmtId="167" fontId="0" fillId="0" borderId="0" xfId="0" quotePrefix="1" applyNumberFormat="1"/>
    <xf numFmtId="0" fontId="72" fillId="0" borderId="0" xfId="0" applyNumberFormat="1" applyFont="1" applyFill="1" applyAlignment="1">
      <alignment wrapText="1"/>
    </xf>
    <xf numFmtId="169" fontId="66" fillId="5" borderId="0" xfId="0" applyNumberFormat="1" applyFont="1" applyFill="1" applyProtection="1"/>
    <xf numFmtId="167" fontId="65" fillId="5" borderId="0" xfId="0" applyNumberFormat="1" applyFont="1" applyFill="1" applyProtection="1"/>
    <xf numFmtId="167" fontId="0" fillId="5" borderId="0" xfId="0" applyNumberFormat="1" applyFill="1"/>
    <xf numFmtId="167" fontId="0" fillId="5" borderId="0" xfId="0" applyNumberFormat="1" applyFill="1" applyProtection="1"/>
    <xf numFmtId="167" fontId="0" fillId="5" borderId="0" xfId="0" applyNumberFormat="1" applyFill="1" applyAlignment="1" applyProtection="1"/>
    <xf numFmtId="168" fontId="0" fillId="5" borderId="0" xfId="0" applyNumberFormat="1" applyFill="1"/>
    <xf numFmtId="167" fontId="0" fillId="5" borderId="0" xfId="0" applyNumberFormat="1" applyFill="1" applyAlignment="1">
      <alignment horizontal="center"/>
    </xf>
    <xf numFmtId="167" fontId="65" fillId="0" borderId="0" xfId="0" applyNumberFormat="1" applyFont="1" applyAlignment="1">
      <alignment horizontal="center"/>
    </xf>
    <xf numFmtId="167" fontId="67" fillId="0" borderId="0" xfId="0" applyNumberFormat="1" applyFont="1" applyFill="1"/>
    <xf numFmtId="169" fontId="68" fillId="0" borderId="0" xfId="0" applyNumberFormat="1" applyFont="1" applyAlignment="1" applyProtection="1">
      <alignment horizontal="left" wrapText="1"/>
    </xf>
    <xf numFmtId="169" fontId="0" fillId="0" borderId="0" xfId="0" applyNumberFormat="1" applyFont="1" applyAlignment="1" applyProtection="1">
      <alignment horizontal="left"/>
    </xf>
    <xf numFmtId="167" fontId="73" fillId="0" borderId="0" xfId="0" applyNumberFormat="1" applyFont="1" applyProtection="1"/>
    <xf numFmtId="167" fontId="74" fillId="0" borderId="0" xfId="0" applyNumberFormat="1" applyFont="1" applyProtection="1"/>
    <xf numFmtId="167" fontId="0" fillId="0" borderId="0" xfId="0" applyNumberFormat="1" applyAlignment="1">
      <alignment vertical="top" wrapText="1"/>
    </xf>
    <xf numFmtId="167" fontId="73" fillId="0" borderId="0" xfId="0" applyNumberFormat="1" applyFont="1" applyAlignment="1" applyProtection="1">
      <alignment horizontal="left"/>
    </xf>
    <xf numFmtId="168" fontId="0" fillId="0" borderId="0" xfId="0" applyNumberFormat="1" applyAlignment="1" applyProtection="1">
      <alignment horizontal="center"/>
    </xf>
    <xf numFmtId="172" fontId="0" fillId="0" borderId="0" xfId="0" applyNumberFormat="1" applyAlignment="1" applyProtection="1">
      <alignment horizontal="left"/>
    </xf>
    <xf numFmtId="168" fontId="0" fillId="0" borderId="0" xfId="0" applyNumberFormat="1" applyAlignment="1" applyProtection="1">
      <alignment horizontal="left"/>
    </xf>
    <xf numFmtId="167" fontId="75" fillId="0" borderId="0" xfId="0" applyNumberFormat="1" applyFont="1"/>
    <xf numFmtId="167" fontId="13" fillId="0" borderId="0" xfId="0" applyNumberFormat="1" applyFont="1" applyAlignment="1">
      <alignment horizontal="left"/>
    </xf>
    <xf numFmtId="167" fontId="13" fillId="0" borderId="0" xfId="0" applyNumberFormat="1" applyFont="1" applyAlignment="1">
      <alignment horizontal="center"/>
    </xf>
    <xf numFmtId="167" fontId="13" fillId="0" borderId="0" xfId="0" applyNumberFormat="1" applyFont="1" applyAlignment="1" applyProtection="1">
      <alignment horizontal="left" wrapText="1"/>
    </xf>
    <xf numFmtId="167" fontId="13" fillId="0" borderId="0" xfId="0" applyNumberFormat="1" applyFont="1" applyAlignment="1" applyProtection="1">
      <alignment horizontal="fill"/>
    </xf>
    <xf numFmtId="167" fontId="0" fillId="0" borderId="0" xfId="0" applyNumberFormat="1" applyAlignment="1" applyProtection="1">
      <alignment horizontal="left" wrapText="1"/>
    </xf>
    <xf numFmtId="172" fontId="0" fillId="0" borderId="0" xfId="0" applyNumberFormat="1" applyAlignment="1">
      <alignment horizontal="center" vertical="top"/>
    </xf>
    <xf numFmtId="168" fontId="0" fillId="0" borderId="0" xfId="0" applyNumberFormat="1" applyAlignment="1">
      <alignment horizontal="center" vertical="top"/>
    </xf>
    <xf numFmtId="167" fontId="15" fillId="0" borderId="0" xfId="0" applyNumberFormat="1" applyFont="1" applyProtection="1"/>
    <xf numFmtId="172" fontId="15" fillId="0" borderId="0" xfId="0" applyNumberFormat="1" applyFont="1" applyAlignment="1">
      <alignment horizontal="center"/>
    </xf>
    <xf numFmtId="167" fontId="0" fillId="0" borderId="0" xfId="0" applyNumberFormat="1" applyAlignment="1" applyProtection="1">
      <alignment horizontal="left" vertical="top" wrapText="1"/>
    </xf>
    <xf numFmtId="168" fontId="15" fillId="0" borderId="0" xfId="0" applyNumberFormat="1" applyFont="1" applyAlignment="1">
      <alignment horizontal="center"/>
    </xf>
    <xf numFmtId="167" fontId="76" fillId="0" borderId="0" xfId="0" applyNumberFormat="1" applyFont="1" applyProtection="1"/>
    <xf numFmtId="167" fontId="65" fillId="0" borderId="0" xfId="0" applyNumberFormat="1" applyFont="1"/>
    <xf numFmtId="167" fontId="0" fillId="0" borderId="0" xfId="0" applyNumberFormat="1" applyFont="1" applyAlignment="1" applyProtection="1">
      <alignment horizontal="fill"/>
    </xf>
    <xf numFmtId="167" fontId="0" fillId="6" borderId="0" xfId="0" applyNumberFormat="1" applyFill="1" applyAlignment="1" applyProtection="1">
      <alignment horizontal="left"/>
    </xf>
    <xf numFmtId="167" fontId="77" fillId="3" borderId="0" xfId="0" applyNumberFormat="1" applyFont="1" applyFill="1" applyProtection="1"/>
    <xf numFmtId="167" fontId="0" fillId="3" borderId="0" xfId="0" applyNumberFormat="1" applyFont="1" applyFill="1" applyProtection="1"/>
    <xf numFmtId="169" fontId="13" fillId="0" borderId="0" xfId="0" applyNumberFormat="1" applyFont="1" applyAlignment="1" applyProtection="1">
      <alignment horizontal="center"/>
    </xf>
    <xf numFmtId="167" fontId="13" fillId="0" borderId="0" xfId="0" applyNumberFormat="1" applyFont="1" applyAlignment="1" applyProtection="1"/>
    <xf numFmtId="167" fontId="13" fillId="0" borderId="0" xfId="0" applyNumberFormat="1" applyFont="1" applyAlignment="1"/>
    <xf numFmtId="172" fontId="66" fillId="0" borderId="0" xfId="0" applyNumberFormat="1" applyFont="1"/>
    <xf numFmtId="167" fontId="78" fillId="0" borderId="0" xfId="0" applyNumberFormat="1" applyFont="1"/>
    <xf numFmtId="167" fontId="15" fillId="0" borderId="0" xfId="0" applyNumberFormat="1" applyFont="1" applyAlignment="1" applyProtection="1">
      <alignment horizontal="center"/>
    </xf>
    <xf numFmtId="167" fontId="77" fillId="7" borderId="0" xfId="0" applyNumberFormat="1" applyFont="1" applyFill="1" applyProtection="1"/>
    <xf numFmtId="170" fontId="0" fillId="0" borderId="0" xfId="0" applyNumberFormat="1" applyProtection="1"/>
    <xf numFmtId="173" fontId="0" fillId="0" borderId="0" xfId="0" applyNumberFormat="1" applyProtection="1"/>
    <xf numFmtId="167" fontId="0" fillId="0" borderId="0" xfId="0" applyNumberFormat="1" applyFill="1" applyAlignment="1" applyProtection="1">
      <alignment horizontal="left"/>
    </xf>
    <xf numFmtId="167" fontId="69" fillId="5" borderId="0" xfId="0" applyNumberFormat="1" applyFont="1" applyFill="1" applyAlignment="1" applyProtection="1">
      <alignment horizontal="left"/>
    </xf>
    <xf numFmtId="167" fontId="79" fillId="0" borderId="0" xfId="0" applyNumberFormat="1" applyFont="1" applyProtection="1"/>
    <xf numFmtId="167" fontId="69" fillId="0" borderId="0" xfId="0" applyNumberFormat="1" applyFont="1"/>
    <xf numFmtId="167" fontId="75" fillId="0" borderId="0" xfId="0" applyNumberFormat="1" applyFont="1" applyProtection="1"/>
    <xf numFmtId="167" fontId="80" fillId="0" borderId="0" xfId="0" applyNumberFormat="1" applyFont="1" applyAlignment="1" applyProtection="1">
      <alignment horizontal="left"/>
    </xf>
    <xf numFmtId="167" fontId="80" fillId="0" borderId="0" xfId="0" applyNumberFormat="1" applyFont="1"/>
    <xf numFmtId="167" fontId="69" fillId="3" borderId="0" xfId="0" applyNumberFormat="1" applyFont="1" applyFill="1" applyProtection="1"/>
    <xf numFmtId="167" fontId="0" fillId="3" borderId="0" xfId="0" applyNumberFormat="1" applyFont="1" applyFill="1" applyAlignment="1" applyProtection="1">
      <alignment horizontal="left"/>
    </xf>
    <xf numFmtId="167" fontId="0" fillId="0" borderId="0" xfId="0" applyNumberFormat="1" applyAlignment="1">
      <alignment horizontal="right"/>
    </xf>
    <xf numFmtId="168" fontId="0" fillId="0" borderId="0" xfId="0" applyNumberFormat="1" applyAlignment="1">
      <alignment horizontal="center"/>
    </xf>
    <xf numFmtId="167" fontId="69" fillId="3" borderId="0" xfId="0" applyNumberFormat="1" applyFont="1" applyFill="1"/>
    <xf numFmtId="167" fontId="0" fillId="3" borderId="0" xfId="0" applyNumberFormat="1" applyFont="1" applyFill="1"/>
    <xf numFmtId="167" fontId="67" fillId="7" borderId="0" xfId="0" applyNumberFormat="1" applyFont="1" applyFill="1" applyAlignment="1" applyProtection="1">
      <alignment horizontal="left"/>
    </xf>
    <xf numFmtId="167" fontId="0" fillId="0" borderId="0" xfId="0" applyNumberFormat="1" applyAlignment="1" applyProtection="1">
      <alignment wrapText="1"/>
    </xf>
    <xf numFmtId="167" fontId="81" fillId="5" borderId="0" xfId="0" applyNumberFormat="1" applyFont="1" applyFill="1" applyAlignment="1" applyProtection="1">
      <alignment horizontal="left"/>
    </xf>
    <xf numFmtId="167" fontId="81" fillId="0" borderId="0" xfId="0" applyNumberFormat="1" applyFont="1" applyProtection="1"/>
    <xf numFmtId="167" fontId="81" fillId="0" borderId="0" xfId="0" applyNumberFormat="1" applyFont="1" applyAlignment="1" applyProtection="1">
      <alignment horizontal="left"/>
    </xf>
    <xf numFmtId="167" fontId="82" fillId="0" borderId="0" xfId="0" applyNumberFormat="1" applyFont="1" applyAlignment="1" applyProtection="1">
      <alignment horizontal="left"/>
    </xf>
    <xf numFmtId="167" fontId="83" fillId="0" borderId="0" xfId="0" applyNumberFormat="1" applyFont="1" applyProtection="1"/>
    <xf numFmtId="167" fontId="83" fillId="0" borderId="0" xfId="0" applyNumberFormat="1" applyFont="1"/>
    <xf numFmtId="167" fontId="84" fillId="0" borderId="0" xfId="0" applyNumberFormat="1" applyFont="1"/>
    <xf numFmtId="167" fontId="75" fillId="5" borderId="0" xfId="0" applyNumberFormat="1" applyFont="1" applyFill="1" applyProtection="1"/>
    <xf numFmtId="167" fontId="85" fillId="0" borderId="0" xfId="0" applyNumberFormat="1" applyFont="1"/>
    <xf numFmtId="167" fontId="0" fillId="0" borderId="0" xfId="0" applyNumberFormat="1" applyAlignment="1" applyProtection="1">
      <alignment horizontal="center" wrapText="1"/>
    </xf>
    <xf numFmtId="173" fontId="0" fillId="0" borderId="0" xfId="0" applyNumberFormat="1"/>
    <xf numFmtId="169" fontId="0" fillId="0" borderId="0" xfId="0" applyNumberFormat="1" applyAlignment="1" applyProtection="1">
      <alignment vertical="center" wrapText="1"/>
    </xf>
    <xf numFmtId="167" fontId="65" fillId="0" borderId="0" xfId="0" applyNumberFormat="1" applyFont="1" applyAlignment="1" applyProtection="1">
      <alignment horizontal="right"/>
    </xf>
    <xf numFmtId="167" fontId="65" fillId="0" borderId="0" xfId="0" applyNumberFormat="1" applyFont="1" applyAlignment="1" applyProtection="1">
      <alignment horizontal="left"/>
    </xf>
    <xf numFmtId="167" fontId="86" fillId="0" borderId="0" xfId="0" applyNumberFormat="1" applyFont="1" applyProtection="1"/>
    <xf numFmtId="172" fontId="0" fillId="0" borderId="0" xfId="0" applyNumberFormat="1" applyAlignment="1">
      <alignment horizontal="center"/>
    </xf>
    <xf numFmtId="167" fontId="69" fillId="7" borderId="0" xfId="0" applyNumberFormat="1" applyFont="1" applyFill="1" applyProtection="1"/>
    <xf numFmtId="167" fontId="66" fillId="7" borderId="0" xfId="0" applyNumberFormat="1" applyFont="1" applyFill="1" applyAlignment="1" applyProtection="1">
      <alignment horizontal="left"/>
    </xf>
    <xf numFmtId="167" fontId="0" fillId="7" borderId="0" xfId="0" applyNumberFormat="1" applyFill="1"/>
    <xf numFmtId="167" fontId="69" fillId="7" borderId="0" xfId="0" applyNumberFormat="1" applyFont="1" applyFill="1"/>
    <xf numFmtId="167" fontId="88" fillId="0" borderId="0" xfId="0" applyNumberFormat="1" applyFont="1"/>
    <xf numFmtId="167" fontId="0" fillId="0" borderId="0" xfId="0" applyNumberFormat="1" applyAlignment="1" applyProtection="1">
      <alignment horizontal="right"/>
    </xf>
    <xf numFmtId="169" fontId="81" fillId="0" borderId="0" xfId="0" applyNumberFormat="1" applyFont="1" applyAlignment="1" applyProtection="1">
      <alignment horizontal="left" wrapText="1"/>
    </xf>
    <xf numFmtId="169" fontId="81" fillId="0" borderId="0" xfId="0" applyNumberFormat="1" applyFont="1" applyAlignment="1" applyProtection="1">
      <alignment horizontal="left"/>
    </xf>
    <xf numFmtId="168" fontId="0" fillId="0" borderId="0" xfId="0" applyNumberFormat="1" applyAlignment="1">
      <alignment horizontal="right"/>
    </xf>
    <xf numFmtId="167" fontId="13" fillId="0" borderId="0" xfId="0" applyNumberFormat="1" applyFont="1" applyAlignment="1">
      <alignment wrapText="1"/>
    </xf>
    <xf numFmtId="167" fontId="66" fillId="0" borderId="0" xfId="0" applyNumberFormat="1" applyFont="1" applyAlignment="1" applyProtection="1">
      <alignment horizontal="center"/>
    </xf>
    <xf numFmtId="167" fontId="89" fillId="0" borderId="0" xfId="0" applyNumberFormat="1" applyFont="1" applyProtection="1"/>
    <xf numFmtId="167" fontId="81" fillId="7" borderId="0" xfId="0" applyNumberFormat="1" applyFont="1" applyFill="1" applyProtection="1"/>
    <xf numFmtId="167" fontId="69" fillId="0" borderId="0" xfId="0" applyNumberFormat="1" applyFont="1" applyAlignment="1" applyProtection="1">
      <alignment horizontal="fill"/>
    </xf>
    <xf numFmtId="167" fontId="79" fillId="7" borderId="0" xfId="0" applyNumberFormat="1" applyFont="1" applyFill="1" applyProtection="1"/>
    <xf numFmtId="167" fontId="69" fillId="0" borderId="0" xfId="0" applyNumberFormat="1" applyFont="1" applyAlignment="1" applyProtection="1">
      <alignment horizontal="right"/>
    </xf>
    <xf numFmtId="167" fontId="90" fillId="0" borderId="0" xfId="0" applyNumberFormat="1" applyFont="1"/>
    <xf numFmtId="167" fontId="73" fillId="0" borderId="0" xfId="0" applyNumberFormat="1" applyFont="1"/>
    <xf numFmtId="169" fontId="0" fillId="0" borderId="0" xfId="0" applyNumberFormat="1" applyProtection="1"/>
    <xf numFmtId="173" fontId="0" fillId="0" borderId="0" xfId="0" quotePrefix="1" applyNumberFormat="1" applyProtection="1"/>
    <xf numFmtId="167" fontId="0" fillId="0" borderId="0" xfId="0" quotePrefix="1" applyNumberFormat="1" applyProtection="1"/>
    <xf numFmtId="167" fontId="90" fillId="0" borderId="0" xfId="0" applyNumberFormat="1" applyFont="1" applyAlignment="1" applyProtection="1">
      <alignment horizontal="left"/>
    </xf>
    <xf numFmtId="167" fontId="91" fillId="7" borderId="0" xfId="0" applyNumberFormat="1" applyFont="1" applyFill="1" applyProtection="1"/>
    <xf numFmtId="172" fontId="0" fillId="0" borderId="0" xfId="0" applyNumberFormat="1" applyAlignment="1" applyProtection="1">
      <alignment horizontal="center" vertical="top" wrapText="1"/>
    </xf>
    <xf numFmtId="167" fontId="0" fillId="0" borderId="0" xfId="0" applyNumberFormat="1" applyAlignment="1" applyProtection="1">
      <alignment horizontal="justify" vertical="top" wrapText="1"/>
    </xf>
    <xf numFmtId="170" fontId="0" fillId="0" borderId="0" xfId="0" applyNumberFormat="1" applyAlignment="1" applyProtection="1">
      <alignment horizontal="left"/>
    </xf>
    <xf numFmtId="174" fontId="92" fillId="8" borderId="0" xfId="0" applyNumberFormat="1" applyFont="1" applyFill="1" applyProtection="1"/>
    <xf numFmtId="167" fontId="92" fillId="8" borderId="0" xfId="0" applyNumberFormat="1" applyFont="1" applyFill="1" applyAlignment="1" applyProtection="1"/>
    <xf numFmtId="167" fontId="92" fillId="8" borderId="0" xfId="0" applyNumberFormat="1" applyFont="1" applyFill="1" applyAlignment="1" applyProtection="1">
      <alignment horizontal="left"/>
    </xf>
    <xf numFmtId="167" fontId="92" fillId="8" borderId="0" xfId="0" applyNumberFormat="1" applyFont="1" applyFill="1" applyProtection="1"/>
    <xf numFmtId="174" fontId="0" fillId="0" borderId="0" xfId="0" applyNumberFormat="1" applyProtection="1"/>
    <xf numFmtId="170" fontId="0" fillId="0" borderId="0" xfId="0" applyNumberFormat="1" applyAlignment="1" applyProtection="1">
      <alignment horizontal="fill"/>
    </xf>
    <xf numFmtId="167" fontId="93" fillId="5" borderId="0" xfId="0" applyNumberFormat="1" applyFont="1" applyFill="1"/>
    <xf numFmtId="167" fontId="94" fillId="5" borderId="0" xfId="0" applyNumberFormat="1" applyFont="1" applyFill="1"/>
    <xf numFmtId="167" fontId="94" fillId="5" borderId="0" xfId="0" applyNumberFormat="1" applyFont="1" applyFill="1" applyAlignment="1">
      <alignment horizontal="left"/>
    </xf>
    <xf numFmtId="167" fontId="92" fillId="8" borderId="0" xfId="0" applyNumberFormat="1" applyFont="1" applyFill="1"/>
    <xf numFmtId="168" fontId="92" fillId="8" borderId="0" xfId="0" applyNumberFormat="1" applyFont="1" applyFill="1" applyProtection="1"/>
    <xf numFmtId="167" fontId="92" fillId="8" borderId="0" xfId="0" applyNumberFormat="1" applyFont="1" applyFill="1" applyAlignment="1">
      <alignment horizontal="center"/>
    </xf>
    <xf numFmtId="168" fontId="0" fillId="0" borderId="0" xfId="0" applyNumberFormat="1" applyAlignment="1" applyProtection="1">
      <alignment horizontal="fill"/>
    </xf>
    <xf numFmtId="173" fontId="15" fillId="0" borderId="0" xfId="0" applyNumberFormat="1" applyFont="1"/>
    <xf numFmtId="167" fontId="15" fillId="0" borderId="0" xfId="0" applyNumberFormat="1" applyFont="1" applyAlignment="1"/>
    <xf numFmtId="167" fontId="15" fillId="0" borderId="0" xfId="0" applyNumberFormat="1" applyFont="1"/>
    <xf numFmtId="167" fontId="15" fillId="0" borderId="0" xfId="0" applyNumberFormat="1" applyFont="1" applyAlignment="1">
      <alignment horizontal="left"/>
    </xf>
    <xf numFmtId="170" fontId="15" fillId="0" borderId="0" xfId="0" applyNumberFormat="1" applyFont="1"/>
    <xf numFmtId="168" fontId="15" fillId="0" borderId="0" xfId="0" applyNumberFormat="1" applyFont="1"/>
    <xf numFmtId="167" fontId="15" fillId="0" borderId="0" xfId="0" quotePrefix="1" applyNumberFormat="1" applyFont="1"/>
    <xf numFmtId="167" fontId="95" fillId="7" borderId="0" xfId="0" applyNumberFormat="1" applyFont="1" applyFill="1" applyProtection="1"/>
    <xf numFmtId="167" fontId="96" fillId="0" borderId="0" xfId="0" applyNumberFormat="1" applyFont="1"/>
    <xf numFmtId="167" fontId="69" fillId="6" borderId="0" xfId="0" applyNumberFormat="1" applyFont="1" applyFill="1" applyAlignment="1" applyProtection="1">
      <alignment horizontal="left"/>
    </xf>
    <xf numFmtId="2" fontId="5" fillId="0" borderId="31" xfId="111" applyNumberFormat="1" applyFont="1" applyBorder="1" applyAlignment="1">
      <alignment vertical="top" wrapText="1"/>
    </xf>
    <xf numFmtId="167" fontId="97" fillId="7" borderId="0" xfId="0" applyNumberFormat="1" applyFont="1" applyFill="1" applyProtection="1"/>
    <xf numFmtId="167" fontId="98" fillId="0" borderId="0" xfId="0" applyNumberFormat="1" applyFont="1" applyProtection="1"/>
    <xf numFmtId="167" fontId="96" fillId="0" borderId="0" xfId="0" applyNumberFormat="1" applyFont="1" applyProtection="1"/>
    <xf numFmtId="167" fontId="99" fillId="0" borderId="0" xfId="0" applyNumberFormat="1" applyFont="1"/>
    <xf numFmtId="168" fontId="13" fillId="0" borderId="0" xfId="0" applyNumberFormat="1" applyFont="1" applyAlignment="1">
      <alignment horizontal="right"/>
    </xf>
    <xf numFmtId="167" fontId="70" fillId="0" borderId="0" xfId="0" applyNumberFormat="1" applyFont="1" applyAlignment="1" applyProtection="1">
      <alignment horizontal="right"/>
    </xf>
    <xf numFmtId="167" fontId="92" fillId="9" borderId="0" xfId="0" applyNumberFormat="1" applyFont="1" applyFill="1"/>
    <xf numFmtId="167" fontId="92" fillId="9" borderId="0" xfId="0" applyNumberFormat="1" applyFont="1" applyFill="1" applyAlignment="1"/>
    <xf numFmtId="167" fontId="100" fillId="0" borderId="0" xfId="0" applyNumberFormat="1" applyFont="1"/>
    <xf numFmtId="167" fontId="100" fillId="0" borderId="0" xfId="0" applyNumberFormat="1" applyFont="1" applyAlignment="1"/>
    <xf numFmtId="167" fontId="101" fillId="0" borderId="0" xfId="0" applyNumberFormat="1" applyFont="1"/>
    <xf numFmtId="167" fontId="100" fillId="0" borderId="0" xfId="0" applyNumberFormat="1" applyFont="1" applyAlignment="1">
      <alignment horizontal="center"/>
    </xf>
    <xf numFmtId="167" fontId="102" fillId="3" borderId="0" xfId="0" applyNumberFormat="1" applyFont="1" applyFill="1"/>
    <xf numFmtId="167" fontId="102" fillId="3" borderId="0" xfId="0" applyNumberFormat="1" applyFont="1" applyFill="1" applyAlignment="1"/>
    <xf numFmtId="167" fontId="100" fillId="3" borderId="0" xfId="0" applyNumberFormat="1" applyFont="1" applyFill="1" applyProtection="1"/>
    <xf numFmtId="167" fontId="100" fillId="3" borderId="0" xfId="0" applyNumberFormat="1" applyFont="1" applyFill="1" applyAlignment="1" applyProtection="1"/>
    <xf numFmtId="167" fontId="103" fillId="3" borderId="0" xfId="0" applyNumberFormat="1" applyFont="1" applyFill="1" applyAlignment="1" applyProtection="1">
      <alignment horizontal="left"/>
    </xf>
    <xf numFmtId="167" fontId="103" fillId="3" borderId="0" xfId="0" applyNumberFormat="1" applyFont="1" applyFill="1" applyAlignment="1" applyProtection="1">
      <alignment horizontal="right"/>
    </xf>
    <xf numFmtId="167" fontId="100" fillId="0" borderId="0" xfId="0" applyNumberFormat="1" applyFont="1" applyAlignment="1" applyProtection="1">
      <alignment horizontal="center"/>
    </xf>
    <xf numFmtId="167" fontId="100" fillId="0" borderId="0" xfId="0" applyNumberFormat="1" applyFont="1" applyProtection="1"/>
    <xf numFmtId="167" fontId="105" fillId="0" borderId="0" xfId="0" applyNumberFormat="1" applyFont="1" applyAlignment="1" applyProtection="1">
      <alignment horizontal="right"/>
    </xf>
    <xf numFmtId="167" fontId="100" fillId="0" borderId="0" xfId="0" applyNumberFormat="1" applyFont="1" applyAlignment="1" applyProtection="1"/>
    <xf numFmtId="167" fontId="100" fillId="0" borderId="0" xfId="0" applyNumberFormat="1" applyFont="1" applyAlignment="1" applyProtection="1">
      <alignment horizontal="left"/>
    </xf>
    <xf numFmtId="168" fontId="100" fillId="0" borderId="0" xfId="0" applyNumberFormat="1" applyFont="1" applyProtection="1"/>
    <xf numFmtId="167" fontId="100" fillId="0" borderId="0" xfId="0" applyNumberFormat="1" applyFont="1" applyAlignment="1" applyProtection="1">
      <alignment horizontal="fill"/>
    </xf>
    <xf numFmtId="167" fontId="101" fillId="0" borderId="0" xfId="0" applyNumberFormat="1" applyFont="1" applyAlignment="1" applyProtection="1">
      <alignment horizontal="left"/>
    </xf>
    <xf numFmtId="167" fontId="101" fillId="0" borderId="0" xfId="0" applyNumberFormat="1" applyFont="1" applyProtection="1"/>
    <xf numFmtId="167" fontId="0" fillId="7" borderId="0" xfId="0" applyNumberFormat="1" applyFont="1" applyFill="1" applyProtection="1"/>
    <xf numFmtId="167" fontId="13" fillId="6" borderId="0" xfId="0" applyNumberFormat="1" applyFont="1" applyFill="1" applyAlignment="1" applyProtection="1">
      <alignment horizontal="left"/>
    </xf>
    <xf numFmtId="167" fontId="65" fillId="6" borderId="0" xfId="0" applyNumberFormat="1" applyFont="1" applyFill="1" applyAlignment="1" applyProtection="1">
      <alignment horizontal="left"/>
    </xf>
    <xf numFmtId="170" fontId="0" fillId="0" borderId="0" xfId="0" applyNumberFormat="1" applyAlignment="1" applyProtection="1"/>
    <xf numFmtId="167" fontId="10" fillId="0" borderId="0" xfId="0" applyNumberFormat="1" applyFont="1" applyProtection="1"/>
    <xf numFmtId="170" fontId="10" fillId="0" borderId="0" xfId="0" applyNumberFormat="1" applyFont="1" applyAlignment="1" applyProtection="1"/>
    <xf numFmtId="167" fontId="10" fillId="0" borderId="0" xfId="0" applyNumberFormat="1" applyFont="1" applyAlignment="1" applyProtection="1">
      <alignment horizontal="left"/>
    </xf>
    <xf numFmtId="167" fontId="10" fillId="0" borderId="0" xfId="0" applyNumberFormat="1" applyFont="1" applyAlignment="1" applyProtection="1">
      <alignment horizontal="center"/>
    </xf>
    <xf numFmtId="170" fontId="0" fillId="0" borderId="0" xfId="0" applyNumberFormat="1" applyAlignment="1"/>
    <xf numFmtId="167" fontId="0" fillId="6" borderId="0" xfId="0" applyNumberFormat="1" applyFill="1"/>
    <xf numFmtId="167" fontId="13" fillId="0" borderId="0" xfId="0" applyNumberFormat="1" applyFont="1" applyAlignment="1">
      <alignment horizontal="right"/>
    </xf>
    <xf numFmtId="167" fontId="13" fillId="0" borderId="0" xfId="0" applyNumberFormat="1" applyFont="1" applyAlignment="1">
      <alignment horizontal="center"/>
    </xf>
    <xf numFmtId="167" fontId="99" fillId="0" borderId="0" xfId="0" applyNumberFormat="1" applyFont="1" applyAlignment="1">
      <alignment horizontal="center"/>
    </xf>
    <xf numFmtId="167" fontId="99" fillId="0" borderId="0" xfId="0" applyNumberFormat="1" applyFont="1" applyAlignment="1">
      <alignment horizontal="center"/>
    </xf>
    <xf numFmtId="167" fontId="0" fillId="0" borderId="29" xfId="0" applyNumberFormat="1" applyBorder="1"/>
    <xf numFmtId="167" fontId="14" fillId="0" borderId="0" xfId="0" applyNumberFormat="1" applyFont="1"/>
    <xf numFmtId="167" fontId="106" fillId="0" borderId="0" xfId="0" applyNumberFormat="1" applyFont="1" applyAlignment="1">
      <alignment horizontal="center"/>
    </xf>
    <xf numFmtId="167" fontId="0" fillId="0" borderId="30" xfId="0" applyNumberFormat="1" applyBorder="1"/>
    <xf numFmtId="173" fontId="14" fillId="0" borderId="0" xfId="0" applyNumberFormat="1" applyFont="1" applyProtection="1"/>
    <xf numFmtId="167" fontId="14" fillId="0" borderId="0" xfId="0" applyNumberFormat="1" applyFont="1" applyAlignment="1" applyProtection="1"/>
    <xf numFmtId="167" fontId="106" fillId="0" borderId="0" xfId="0" applyNumberFormat="1" applyFont="1" applyAlignment="1" applyProtection="1">
      <alignment horizontal="center"/>
    </xf>
    <xf numFmtId="167" fontId="14" fillId="0" borderId="0" xfId="0" applyNumberFormat="1" applyFont="1" applyProtection="1"/>
    <xf numFmtId="167" fontId="14" fillId="0" borderId="0" xfId="0" applyNumberFormat="1" applyFont="1" applyAlignment="1" applyProtection="1">
      <alignment horizontal="left"/>
    </xf>
    <xf numFmtId="167" fontId="14" fillId="0" borderId="0" xfId="0" applyNumberFormat="1" applyFont="1" applyAlignment="1">
      <alignment horizontal="center"/>
    </xf>
    <xf numFmtId="167" fontId="14" fillId="0" borderId="0" xfId="0" applyNumberFormat="1" applyFont="1" applyAlignment="1"/>
    <xf numFmtId="167" fontId="106" fillId="0" borderId="0" xfId="0" applyNumberFormat="1" applyFont="1" applyProtection="1"/>
    <xf numFmtId="167" fontId="0" fillId="0" borderId="24" xfId="0" applyNumberFormat="1" applyBorder="1"/>
    <xf numFmtId="167" fontId="106" fillId="0" borderId="0" xfId="0" applyNumberFormat="1" applyFont="1"/>
    <xf numFmtId="167" fontId="14" fillId="0" borderId="0" xfId="0" applyNumberFormat="1" applyFont="1" applyAlignment="1" applyProtection="1">
      <alignment horizontal="right"/>
    </xf>
    <xf numFmtId="167" fontId="14" fillId="0" borderId="0" xfId="0" applyNumberFormat="1" applyFont="1" applyAlignment="1">
      <alignment horizontal="left"/>
    </xf>
    <xf numFmtId="167" fontId="14" fillId="0" borderId="0" xfId="0" applyNumberFormat="1" applyFont="1" applyAlignment="1" applyProtection="1">
      <alignment horizontal="fill"/>
    </xf>
    <xf numFmtId="169" fontId="107" fillId="0" borderId="32" xfId="0" applyNumberFormat="1" applyFont="1" applyBorder="1" applyAlignment="1" applyProtection="1">
      <alignment horizontal="center"/>
    </xf>
    <xf numFmtId="167" fontId="0" fillId="0" borderId="33" xfId="0" applyNumberFormat="1" applyBorder="1" applyAlignment="1" applyProtection="1"/>
    <xf numFmtId="167" fontId="0" fillId="0" borderId="33" xfId="0" applyNumberFormat="1" applyBorder="1" applyAlignment="1" applyProtection="1">
      <alignment horizontal="left"/>
    </xf>
    <xf numFmtId="167" fontId="0" fillId="0" borderId="33" xfId="0" applyNumberFormat="1" applyBorder="1"/>
    <xf numFmtId="167" fontId="0" fillId="0" borderId="33" xfId="0" applyNumberFormat="1" applyBorder="1" applyAlignment="1">
      <alignment horizontal="left"/>
    </xf>
    <xf numFmtId="167" fontId="0" fillId="0" borderId="34" xfId="0" applyNumberFormat="1" applyBorder="1"/>
    <xf numFmtId="167" fontId="0" fillId="0" borderId="0" xfId="0" applyNumberFormat="1" applyBorder="1" applyAlignment="1"/>
    <xf numFmtId="167" fontId="0" fillId="0" borderId="0" xfId="0" applyNumberFormat="1" applyBorder="1" applyAlignment="1" applyProtection="1">
      <alignment horizontal="left"/>
    </xf>
    <xf numFmtId="167" fontId="0" fillId="0" borderId="0" xfId="0" applyNumberFormat="1" applyBorder="1"/>
    <xf numFmtId="167" fontId="0" fillId="0" borderId="0" xfId="0" applyNumberFormat="1" applyBorder="1" applyAlignment="1">
      <alignment horizontal="left"/>
    </xf>
    <xf numFmtId="167" fontId="0" fillId="0" borderId="0" xfId="0" applyNumberFormat="1" applyBorder="1" applyAlignment="1" applyProtection="1">
      <alignment horizontal="fill"/>
    </xf>
    <xf numFmtId="167" fontId="0" fillId="0" borderId="34" xfId="0" applyNumberFormat="1" applyBorder="1" applyProtection="1"/>
    <xf numFmtId="167" fontId="0" fillId="0" borderId="0" xfId="0" applyNumberFormat="1" applyBorder="1" applyAlignment="1" applyProtection="1"/>
    <xf numFmtId="167" fontId="69" fillId="0" borderId="0" xfId="0" applyNumberFormat="1" applyFont="1" applyBorder="1" applyProtection="1"/>
    <xf numFmtId="167" fontId="0" fillId="0" borderId="0" xfId="0" applyNumberFormat="1" applyBorder="1" applyProtection="1"/>
    <xf numFmtId="167" fontId="69" fillId="6" borderId="0" xfId="0" applyNumberFormat="1" applyFont="1" applyFill="1" applyBorder="1" applyProtection="1"/>
    <xf numFmtId="167" fontId="0" fillId="0" borderId="0" xfId="0" applyNumberFormat="1" applyBorder="1" applyAlignment="1" applyProtection="1">
      <alignment horizontal="right"/>
    </xf>
    <xf numFmtId="167" fontId="13" fillId="0" borderId="0" xfId="0" applyNumberFormat="1" applyFont="1" applyBorder="1" applyAlignment="1" applyProtection="1">
      <alignment horizontal="center"/>
    </xf>
    <xf numFmtId="167" fontId="13" fillId="0" borderId="0" xfId="0" applyNumberFormat="1" applyFont="1" applyBorder="1"/>
    <xf numFmtId="167" fontId="13" fillId="0" borderId="0" xfId="0" applyNumberFormat="1" applyFont="1" applyBorder="1" applyAlignment="1">
      <alignment horizontal="left"/>
    </xf>
    <xf numFmtId="167" fontId="13" fillId="0" borderId="0" xfId="0" applyNumberFormat="1" applyFont="1" applyBorder="1" applyProtection="1"/>
    <xf numFmtId="167" fontId="0" fillId="0" borderId="35" xfId="0" applyNumberFormat="1" applyBorder="1"/>
    <xf numFmtId="167" fontId="0" fillId="0" borderId="23" xfId="0" applyNumberFormat="1" applyBorder="1" applyAlignment="1"/>
    <xf numFmtId="167" fontId="0" fillId="0" borderId="23" xfId="0" applyNumberFormat="1" applyBorder="1"/>
    <xf numFmtId="167" fontId="0" fillId="0" borderId="23" xfId="0" applyNumberFormat="1" applyBorder="1" applyAlignment="1">
      <alignment horizontal="left"/>
    </xf>
    <xf numFmtId="167" fontId="0" fillId="0" borderId="23" xfId="0" applyNumberFormat="1" applyBorder="1" applyAlignment="1" applyProtection="1">
      <alignment horizontal="fill"/>
    </xf>
    <xf numFmtId="167" fontId="107" fillId="0" borderId="32" xfId="0" applyNumberFormat="1" applyFont="1" applyBorder="1" applyAlignment="1" applyProtection="1">
      <alignment horizontal="center"/>
    </xf>
    <xf numFmtId="168" fontId="0" fillId="0" borderId="34" xfId="0" applyNumberFormat="1" applyBorder="1" applyProtection="1"/>
    <xf numFmtId="168" fontId="0" fillId="0" borderId="35" xfId="0" applyNumberFormat="1" applyBorder="1" applyProtection="1"/>
    <xf numFmtId="167" fontId="13" fillId="0" borderId="23" xfId="0" applyNumberFormat="1" applyFont="1" applyBorder="1" applyAlignment="1" applyProtection="1">
      <alignment horizontal="center"/>
    </xf>
    <xf numFmtId="167" fontId="13" fillId="0" borderId="23" xfId="0" applyNumberFormat="1" applyFont="1" applyBorder="1"/>
    <xf numFmtId="167" fontId="13" fillId="0" borderId="23" xfId="0" applyNumberFormat="1" applyFont="1" applyBorder="1" applyAlignment="1">
      <alignment horizontal="left"/>
    </xf>
    <xf numFmtId="167" fontId="13" fillId="0" borderId="23" xfId="0" applyNumberFormat="1" applyFont="1" applyBorder="1" applyProtection="1"/>
    <xf numFmtId="167" fontId="62" fillId="0" borderId="0" xfId="0" applyNumberFormat="1" applyFont="1"/>
    <xf numFmtId="167" fontId="96" fillId="0" borderId="0" xfId="0" applyNumberFormat="1" applyFont="1" applyAlignment="1" applyProtection="1">
      <alignment horizontal="left"/>
    </xf>
    <xf numFmtId="167" fontId="0" fillId="0" borderId="0" xfId="0" applyNumberFormat="1" applyFont="1" applyAlignment="1" applyProtection="1"/>
    <xf numFmtId="169" fontId="0" fillId="0" borderId="0" xfId="0" applyNumberFormat="1" applyAlignment="1">
      <alignment horizontal="center"/>
    </xf>
    <xf numFmtId="167" fontId="108" fillId="0" borderId="0" xfId="0" applyNumberFormat="1" applyFont="1" applyProtection="1"/>
    <xf numFmtId="167" fontId="108" fillId="0" borderId="0" xfId="0" applyNumberFormat="1" applyFont="1" applyAlignment="1" applyProtection="1">
      <alignment horizontal="left"/>
    </xf>
    <xf numFmtId="167" fontId="0" fillId="0" borderId="0" xfId="0" applyNumberFormat="1" applyAlignment="1" applyProtection="1">
      <alignment vertical="center"/>
    </xf>
    <xf numFmtId="167" fontId="65" fillId="0" borderId="0" xfId="0" applyNumberFormat="1" applyFont="1" applyAlignment="1" applyProtection="1">
      <alignment vertical="center"/>
    </xf>
    <xf numFmtId="167" fontId="0" fillId="0" borderId="0" xfId="0" applyNumberFormat="1" applyAlignment="1" applyProtection="1">
      <alignment horizontal="left" vertical="center"/>
    </xf>
    <xf numFmtId="167" fontId="15" fillId="0" borderId="0" xfId="0" applyNumberFormat="1" applyFont="1" applyAlignment="1" applyProtection="1">
      <alignment horizontal="left"/>
    </xf>
    <xf numFmtId="167" fontId="15" fillId="0" borderId="0" xfId="0" applyNumberFormat="1" applyFont="1" applyAlignment="1" applyProtection="1">
      <alignment vertical="center"/>
    </xf>
    <xf numFmtId="167" fontId="63" fillId="6" borderId="0" xfId="0" applyNumberFormat="1" applyFont="1" applyFill="1" applyProtection="1"/>
    <xf numFmtId="167" fontId="15" fillId="0" borderId="0" xfId="0" applyNumberFormat="1" applyFont="1" applyAlignment="1" applyProtection="1"/>
    <xf numFmtId="167" fontId="63" fillId="5" borderId="0" xfId="0" applyNumberFormat="1" applyFont="1" applyFill="1" applyProtection="1"/>
    <xf numFmtId="167" fontId="79" fillId="7" borderId="0" xfId="0" applyNumberFormat="1" applyFont="1" applyFill="1" applyAlignment="1" applyProtection="1">
      <alignment vertical="center"/>
    </xf>
    <xf numFmtId="167" fontId="79" fillId="7" borderId="0" xfId="0" applyNumberFormat="1" applyFont="1" applyFill="1" applyAlignment="1" applyProtection="1">
      <alignment horizontal="left"/>
    </xf>
    <xf numFmtId="167" fontId="65" fillId="7" borderId="0" xfId="0" applyNumberFormat="1" applyFont="1" applyFill="1" applyAlignment="1" applyProtection="1">
      <alignment horizontal="left"/>
    </xf>
    <xf numFmtId="167" fontId="97" fillId="0" borderId="0" xfId="0" applyNumberFormat="1" applyFont="1" applyAlignment="1" applyProtection="1">
      <alignment horizontal="left"/>
    </xf>
    <xf numFmtId="167" fontId="109" fillId="0" borderId="0" xfId="0" applyNumberFormat="1" applyFont="1" applyProtection="1"/>
    <xf numFmtId="167" fontId="13" fillId="0" borderId="36" xfId="0" applyNumberFormat="1" applyFont="1" applyBorder="1" applyProtection="1"/>
    <xf numFmtId="167" fontId="0" fillId="0" borderId="37" xfId="0" applyNumberFormat="1" applyBorder="1" applyAlignment="1" applyProtection="1">
      <alignment horizontal="fill"/>
    </xf>
    <xf numFmtId="167" fontId="62" fillId="0" borderId="0" xfId="0" applyNumberFormat="1" applyFont="1" applyAlignment="1" applyProtection="1">
      <alignment horizontal="left"/>
    </xf>
    <xf numFmtId="172" fontId="110" fillId="0" borderId="0" xfId="0" applyNumberFormat="1" applyFont="1" applyAlignment="1" applyProtection="1">
      <alignment horizontal="center"/>
    </xf>
    <xf numFmtId="167" fontId="110" fillId="0" borderId="0" xfId="0" applyNumberFormat="1" applyFont="1" applyAlignment="1"/>
    <xf numFmtId="167" fontId="110" fillId="0" borderId="0" xfId="0" applyNumberFormat="1" applyFont="1" applyAlignment="1" applyProtection="1">
      <alignment horizontal="left"/>
    </xf>
    <xf numFmtId="167" fontId="110" fillId="0" borderId="0" xfId="0" applyNumberFormat="1" applyFont="1"/>
    <xf numFmtId="167" fontId="110" fillId="0" borderId="0" xfId="0" applyNumberFormat="1" applyFont="1" applyAlignment="1">
      <alignment horizontal="left"/>
    </xf>
    <xf numFmtId="167" fontId="110" fillId="0" borderId="0" xfId="0" applyNumberFormat="1" applyFont="1" applyAlignment="1" applyProtection="1">
      <alignment horizontal="fill"/>
    </xf>
    <xf numFmtId="167" fontId="30" fillId="0" borderId="0" xfId="0" applyNumberFormat="1" applyFont="1" applyAlignment="1" applyProtection="1">
      <alignment horizontal="left"/>
    </xf>
    <xf numFmtId="168" fontId="110" fillId="0" borderId="0" xfId="0" applyNumberFormat="1" applyFont="1"/>
    <xf numFmtId="168" fontId="30" fillId="0" borderId="0" xfId="0" applyNumberFormat="1" applyFont="1"/>
    <xf numFmtId="167" fontId="30" fillId="0" borderId="0" xfId="0" applyNumberFormat="1" applyFont="1"/>
    <xf numFmtId="170" fontId="110" fillId="0" borderId="0" xfId="0" applyNumberFormat="1" applyFont="1" applyAlignment="1" applyProtection="1">
      <alignment horizontal="left"/>
    </xf>
    <xf numFmtId="167" fontId="110" fillId="0" borderId="0" xfId="0" applyNumberFormat="1" applyFont="1" applyFill="1" applyProtection="1"/>
    <xf numFmtId="174" fontId="110" fillId="0" borderId="0" xfId="0" applyNumberFormat="1" applyFont="1" applyProtection="1"/>
    <xf numFmtId="167" fontId="110" fillId="0" borderId="0" xfId="0" applyNumberFormat="1" applyFont="1" applyAlignment="1" applyProtection="1"/>
    <xf numFmtId="167" fontId="110" fillId="0" borderId="0" xfId="0" applyNumberFormat="1" applyFont="1" applyProtection="1"/>
    <xf numFmtId="167" fontId="110" fillId="0" borderId="0" xfId="0" applyNumberFormat="1" applyFont="1" applyAlignment="1" applyProtection="1">
      <alignment horizontal="center"/>
    </xf>
    <xf numFmtId="167" fontId="30" fillId="0" borderId="0" xfId="0" applyNumberFormat="1" applyFont="1" applyAlignment="1" applyProtection="1">
      <alignment horizontal="center"/>
    </xf>
    <xf numFmtId="167" fontId="30" fillId="0" borderId="0" xfId="0" applyNumberFormat="1" applyFont="1" applyProtection="1"/>
    <xf numFmtId="167" fontId="111" fillId="0" borderId="0" xfId="0" applyNumberFormat="1" applyFont="1" applyAlignment="1">
      <alignment wrapText="1"/>
    </xf>
    <xf numFmtId="168" fontId="111" fillId="0" borderId="0" xfId="0" applyNumberFormat="1" applyFont="1" applyAlignment="1">
      <alignment wrapText="1"/>
    </xf>
    <xf numFmtId="167" fontId="111" fillId="0" borderId="0" xfId="0" applyNumberFormat="1" applyFont="1" applyAlignment="1">
      <alignment horizontal="fill" wrapText="1"/>
    </xf>
    <xf numFmtId="167" fontId="69" fillId="6" borderId="0" xfId="0" applyNumberFormat="1" applyFont="1" applyFill="1" applyProtection="1"/>
    <xf numFmtId="167" fontId="79" fillId="6" borderId="0" xfId="0" applyNumberFormat="1" applyFont="1" applyFill="1" applyProtection="1"/>
    <xf numFmtId="167" fontId="79" fillId="6" borderId="0" xfId="0" applyNumberFormat="1" applyFont="1" applyFill="1"/>
    <xf numFmtId="167" fontId="88" fillId="7" borderId="0" xfId="0" applyNumberFormat="1" applyFont="1" applyFill="1" applyProtection="1"/>
    <xf numFmtId="172" fontId="0" fillId="0" borderId="0" xfId="0" applyNumberFormat="1" applyAlignment="1" applyProtection="1">
      <alignment horizontal="center" vertical="top"/>
    </xf>
    <xf numFmtId="167" fontId="71" fillId="0" borderId="0" xfId="0" applyNumberFormat="1" applyFont="1" applyAlignment="1" applyProtection="1">
      <alignment horizontal="right" vertical="center"/>
    </xf>
    <xf numFmtId="2" fontId="14" fillId="0" borderId="31" xfId="111" applyNumberFormat="1" applyFont="1" applyBorder="1" applyAlignment="1">
      <alignment vertical="top" wrapText="1"/>
    </xf>
    <xf numFmtId="167" fontId="0" fillId="0" borderId="0" xfId="0" applyNumberFormat="1" applyFill="1" applyBorder="1" applyAlignment="1" applyProtection="1">
      <alignment horizontal="left"/>
    </xf>
    <xf numFmtId="172" fontId="0" fillId="0" borderId="0" xfId="0" applyNumberFormat="1" applyAlignment="1">
      <alignment horizontal="center" vertical="top" wrapText="1"/>
    </xf>
    <xf numFmtId="167" fontId="13" fillId="0" borderId="0" xfId="0" applyNumberFormat="1" applyFont="1" applyAlignment="1" applyProtection="1">
      <alignment horizontal="left" vertical="top" wrapText="1"/>
    </xf>
    <xf numFmtId="167" fontId="65" fillId="7" borderId="0" xfId="0" applyNumberFormat="1" applyFont="1" applyFill="1"/>
    <xf numFmtId="167" fontId="71" fillId="0" borderId="0" xfId="0" applyNumberFormat="1" applyFont="1"/>
    <xf numFmtId="167" fontId="65" fillId="0" borderId="0" xfId="0" applyNumberFormat="1" applyFont="1" applyBorder="1" applyAlignment="1">
      <alignment horizontal="left" vertical="top"/>
    </xf>
    <xf numFmtId="167" fontId="65" fillId="0" borderId="0" xfId="0" applyNumberFormat="1" applyFont="1" applyBorder="1" applyAlignment="1">
      <alignment horizontal="right" vertical="top"/>
    </xf>
    <xf numFmtId="167" fontId="13" fillId="0" borderId="0" xfId="0" applyNumberFormat="1" applyFont="1" applyAlignment="1">
      <alignment vertical="top" wrapText="1"/>
    </xf>
    <xf numFmtId="167" fontId="0" fillId="0" borderId="0" xfId="0" applyNumberFormat="1" applyAlignment="1">
      <alignment vertical="top"/>
    </xf>
    <xf numFmtId="167" fontId="13" fillId="0" borderId="0" xfId="0" applyNumberFormat="1" applyFont="1" applyAlignment="1">
      <alignment horizontal="left" vertical="top" wrapText="1"/>
    </xf>
    <xf numFmtId="167" fontId="13" fillId="6" borderId="0" xfId="0" applyNumberFormat="1" applyFont="1" applyFill="1" applyAlignment="1">
      <alignment wrapText="1"/>
    </xf>
    <xf numFmtId="168" fontId="70" fillId="0" borderId="0" xfId="0" applyNumberFormat="1" applyFont="1"/>
    <xf numFmtId="167" fontId="13" fillId="0" borderId="0" xfId="0" applyNumberFormat="1" applyFont="1" applyAlignment="1">
      <alignment horizontal="right" vertical="top"/>
    </xf>
    <xf numFmtId="167" fontId="15" fillId="0" borderId="0" xfId="0" applyNumberFormat="1" applyFont="1" applyAlignment="1">
      <alignment vertical="top" wrapText="1"/>
    </xf>
    <xf numFmtId="167" fontId="70" fillId="0" borderId="0" xfId="0" applyNumberFormat="1" applyFont="1"/>
    <xf numFmtId="167" fontId="0" fillId="7" borderId="0" xfId="0" quotePrefix="1" applyNumberFormat="1" applyFill="1"/>
    <xf numFmtId="167" fontId="13" fillId="0" borderId="0" xfId="0" applyNumberFormat="1" applyFont="1" applyAlignment="1">
      <alignment horizontal="left" wrapText="1"/>
    </xf>
    <xf numFmtId="167" fontId="0" fillId="0" borderId="0" xfId="0" applyNumberFormat="1" applyAlignment="1">
      <alignment horizontal="left" wrapText="1"/>
    </xf>
    <xf numFmtId="167" fontId="69" fillId="5" borderId="0" xfId="0" applyNumberFormat="1" applyFont="1" applyFill="1"/>
    <xf numFmtId="167" fontId="0" fillId="7" borderId="0" xfId="0" applyNumberFormat="1" applyFill="1" applyAlignment="1">
      <alignment wrapText="1"/>
    </xf>
    <xf numFmtId="167" fontId="0" fillId="0" borderId="0" xfId="0" quotePrefix="1" applyNumberFormat="1" applyAlignment="1" applyProtection="1">
      <alignment horizontal="fill"/>
    </xf>
    <xf numFmtId="167" fontId="13" fillId="0" borderId="0" xfId="0" applyNumberFormat="1" applyFont="1" applyAlignment="1" applyProtection="1">
      <alignment horizontal="left" vertical="top"/>
    </xf>
    <xf numFmtId="167" fontId="0" fillId="7" borderId="0" xfId="0" applyNumberFormat="1" applyFill="1" applyAlignment="1" applyProtection="1">
      <alignment horizontal="left" vertical="top" wrapText="1"/>
    </xf>
    <xf numFmtId="167" fontId="15" fillId="7" borderId="0" xfId="0" applyNumberFormat="1" applyFont="1" applyFill="1" applyAlignment="1" applyProtection="1">
      <alignment horizontal="left" vertical="top" wrapText="1"/>
    </xf>
    <xf numFmtId="167" fontId="0" fillId="7" borderId="0" xfId="0" applyNumberFormat="1" applyFill="1" applyAlignment="1" applyProtection="1">
      <alignment horizontal="left"/>
    </xf>
    <xf numFmtId="167" fontId="13" fillId="0" borderId="0" xfId="0" applyNumberFormat="1" applyFont="1" applyAlignment="1" applyProtection="1">
      <alignment vertical="top"/>
    </xf>
    <xf numFmtId="167" fontId="0" fillId="6" borderId="0" xfId="0" applyNumberFormat="1" applyFill="1" applyAlignment="1" applyProtection="1">
      <alignment horizontal="left" vertical="top" wrapText="1"/>
    </xf>
    <xf numFmtId="167" fontId="15" fillId="6" borderId="0" xfId="0" applyNumberFormat="1" applyFont="1" applyFill="1" applyAlignment="1" applyProtection="1">
      <alignment horizontal="left" vertical="top" wrapText="1"/>
    </xf>
    <xf numFmtId="168" fontId="15" fillId="0" borderId="0" xfId="0" applyNumberFormat="1" applyFont="1" applyProtection="1"/>
    <xf numFmtId="167" fontId="15" fillId="0" borderId="0" xfId="0" quotePrefix="1" applyNumberFormat="1" applyFont="1" applyAlignment="1" applyProtection="1">
      <alignment horizontal="fill"/>
    </xf>
    <xf numFmtId="167" fontId="13" fillId="0" borderId="0" xfId="0" quotePrefix="1" applyNumberFormat="1" applyFont="1" applyProtection="1"/>
    <xf numFmtId="167" fontId="15" fillId="0" borderId="0" xfId="0" applyNumberFormat="1" applyFont="1" applyAlignment="1" applyProtection="1">
      <alignment horizontal="fill"/>
    </xf>
    <xf numFmtId="167" fontId="15" fillId="0" borderId="0" xfId="0" quotePrefix="1" applyNumberFormat="1" applyFont="1" applyProtection="1"/>
    <xf numFmtId="167" fontId="15" fillId="7" borderId="0" xfId="0" applyNumberFormat="1" applyFont="1" applyFill="1"/>
    <xf numFmtId="167" fontId="81" fillId="7" borderId="0" xfId="0" applyNumberFormat="1" applyFont="1" applyFill="1"/>
    <xf numFmtId="172" fontId="13" fillId="0" borderId="0" xfId="0" applyNumberFormat="1" applyFont="1"/>
    <xf numFmtId="167" fontId="15" fillId="0" borderId="0" xfId="0" applyNumberFormat="1" applyFont="1" applyAlignment="1">
      <alignment horizontal="fill"/>
    </xf>
    <xf numFmtId="167" fontId="15" fillId="0" borderId="0" xfId="0" quotePrefix="1" applyNumberFormat="1" applyFont="1" applyAlignment="1">
      <alignment horizontal="fill"/>
    </xf>
    <xf numFmtId="167" fontId="15" fillId="0" borderId="0" xfId="0" applyNumberFormat="1" applyFont="1" applyAlignment="1">
      <alignment horizontal="center"/>
    </xf>
    <xf numFmtId="173" fontId="13" fillId="0" borderId="0" xfId="0" applyNumberFormat="1" applyFont="1"/>
    <xf numFmtId="173" fontId="13" fillId="0" borderId="0" xfId="0" applyNumberFormat="1" applyFont="1" applyAlignment="1">
      <alignment horizontal="right"/>
    </xf>
    <xf numFmtId="0" fontId="112" fillId="0" borderId="0" xfId="0" applyNumberFormat="1" applyFont="1" applyAlignment="1">
      <alignment horizontal="center" wrapText="1"/>
    </xf>
    <xf numFmtId="167" fontId="7" fillId="0" borderId="0" xfId="0" applyNumberFormat="1" applyFont="1" applyAlignment="1">
      <alignment horizontal="left" vertical="top"/>
    </xf>
    <xf numFmtId="172" fontId="68" fillId="0" borderId="0" xfId="0" applyNumberFormat="1" applyFont="1" applyAlignment="1" applyProtection="1">
      <alignment horizontal="center"/>
    </xf>
    <xf numFmtId="167" fontId="68" fillId="0" borderId="0" xfId="0" applyNumberFormat="1" applyFont="1" applyAlignment="1"/>
    <xf numFmtId="167" fontId="68" fillId="0" borderId="0" xfId="0" applyNumberFormat="1" applyFont="1"/>
    <xf numFmtId="167" fontId="68" fillId="0" borderId="0" xfId="0" applyNumberFormat="1" applyFont="1" applyAlignment="1">
      <alignment horizontal="left"/>
    </xf>
    <xf numFmtId="167" fontId="68" fillId="0" borderId="0" xfId="0" applyNumberFormat="1" applyFont="1" applyAlignment="1" applyProtection="1">
      <alignment horizontal="fill"/>
    </xf>
    <xf numFmtId="167" fontId="15" fillId="0" borderId="0" xfId="0" applyNumberFormat="1" applyFont="1" applyAlignment="1">
      <alignment wrapText="1"/>
    </xf>
    <xf numFmtId="167" fontId="91" fillId="3" borderId="0" xfId="0" applyNumberFormat="1" applyFont="1" applyFill="1"/>
    <xf numFmtId="170" fontId="68" fillId="0" borderId="0" xfId="0" applyNumberFormat="1" applyFont="1" applyProtection="1"/>
    <xf numFmtId="170" fontId="68" fillId="0" borderId="0" xfId="0" applyNumberFormat="1" applyFont="1" applyAlignment="1" applyProtection="1">
      <alignment horizontal="left"/>
    </xf>
    <xf numFmtId="174" fontId="68" fillId="0" borderId="0" xfId="0" applyNumberFormat="1" applyFont="1" applyProtection="1"/>
    <xf numFmtId="167" fontId="68" fillId="0" borderId="0" xfId="0" applyNumberFormat="1" applyFont="1" applyAlignment="1" applyProtection="1"/>
    <xf numFmtId="167" fontId="68" fillId="0" borderId="0" xfId="0" applyNumberFormat="1" applyFont="1" applyProtection="1"/>
    <xf numFmtId="167" fontId="114" fillId="7" borderId="0" xfId="0" applyNumberFormat="1" applyFont="1" applyFill="1" applyProtection="1"/>
    <xf numFmtId="167" fontId="68" fillId="7" borderId="0" xfId="0" applyNumberFormat="1" applyFont="1" applyFill="1" applyAlignment="1" applyProtection="1">
      <alignment horizontal="left"/>
    </xf>
    <xf numFmtId="167" fontId="68" fillId="0" borderId="0" xfId="0" applyNumberFormat="1" applyFont="1" applyAlignment="1" applyProtection="1">
      <alignment horizontal="center"/>
    </xf>
    <xf numFmtId="167" fontId="71" fillId="6" borderId="0" xfId="0" applyNumberFormat="1" applyFont="1" applyFill="1"/>
    <xf numFmtId="167" fontId="61" fillId="0" borderId="0" xfId="0" applyNumberFormat="1" applyFont="1"/>
    <xf numFmtId="167" fontId="61" fillId="0" borderId="0" xfId="0" applyNumberFormat="1" applyFont="1" applyAlignment="1">
      <alignment horizontal="left"/>
    </xf>
    <xf numFmtId="167" fontId="61" fillId="0" borderId="0" xfId="0" applyNumberFormat="1" applyFont="1" applyAlignment="1" applyProtection="1">
      <alignment horizontal="fill"/>
    </xf>
    <xf numFmtId="167" fontId="61" fillId="0" borderId="0" xfId="0" applyNumberFormat="1" applyFont="1" applyAlignment="1" applyProtection="1">
      <alignment horizontal="center"/>
    </xf>
    <xf numFmtId="167" fontId="61" fillId="0" borderId="0" xfId="0" applyNumberFormat="1" applyFont="1" applyProtection="1"/>
    <xf numFmtId="167" fontId="5" fillId="0" borderId="0" xfId="0" applyNumberFormat="1" applyFont="1" applyAlignment="1">
      <alignment horizontal="right"/>
    </xf>
    <xf numFmtId="2" fontId="13" fillId="0" borderId="0" xfId="0" applyNumberFormat="1" applyFont="1"/>
    <xf numFmtId="167" fontId="10" fillId="0" borderId="0" xfId="0" applyNumberFormat="1" applyFont="1"/>
    <xf numFmtId="167" fontId="10" fillId="0" borderId="0" xfId="0" applyNumberFormat="1" applyFont="1" applyAlignment="1"/>
    <xf numFmtId="167" fontId="7" fillId="0" borderId="23" xfId="0" applyNumberFormat="1" applyFont="1" applyBorder="1"/>
    <xf numFmtId="167" fontId="10" fillId="0" borderId="0" xfId="0" applyNumberFormat="1" applyFont="1" applyAlignment="1">
      <alignment horizontal="center"/>
    </xf>
    <xf numFmtId="167" fontId="10" fillId="0" borderId="0" xfId="0" applyNumberFormat="1" applyFont="1" applyAlignment="1">
      <alignment horizontal="right"/>
    </xf>
    <xf numFmtId="167" fontId="7" fillId="0" borderId="0" xfId="0" applyNumberFormat="1" applyFont="1" applyAlignment="1">
      <alignment horizontal="right"/>
    </xf>
    <xf numFmtId="167" fontId="7" fillId="0" borderId="0" xfId="0" applyNumberFormat="1" applyFont="1"/>
    <xf numFmtId="167" fontId="10" fillId="0" borderId="0" xfId="0" applyNumberFormat="1" applyFont="1" applyAlignment="1" applyProtection="1"/>
    <xf numFmtId="167" fontId="10" fillId="0" borderId="0" xfId="0" applyNumberFormat="1" applyFont="1" applyAlignment="1" applyProtection="1">
      <alignment horizontal="fill"/>
    </xf>
    <xf numFmtId="167" fontId="10" fillId="7" borderId="0" xfId="0" applyNumberFormat="1" applyFont="1" applyFill="1" applyAlignment="1" applyProtection="1">
      <alignment horizontal="left"/>
    </xf>
    <xf numFmtId="167" fontId="7" fillId="0" borderId="0" xfId="0" applyNumberFormat="1" applyFont="1" applyAlignment="1">
      <alignment horizontal="center"/>
    </xf>
    <xf numFmtId="167" fontId="7" fillId="0" borderId="0" xfId="0" applyNumberFormat="1" applyFont="1" applyAlignment="1" applyProtection="1">
      <alignment horizontal="right"/>
    </xf>
    <xf numFmtId="167" fontId="10" fillId="0" borderId="0" xfId="0" applyNumberFormat="1" applyFont="1" applyAlignment="1" applyProtection="1">
      <alignment horizontal="right"/>
    </xf>
    <xf numFmtId="167" fontId="7" fillId="0" borderId="0" xfId="0" applyNumberFormat="1" applyFont="1" applyAlignment="1" applyProtection="1">
      <alignment horizontal="fill"/>
    </xf>
    <xf numFmtId="167" fontId="7" fillId="0" borderId="0" xfId="0" applyNumberFormat="1" applyFont="1" applyAlignment="1" applyProtection="1">
      <alignment horizontal="left"/>
    </xf>
    <xf numFmtId="167" fontId="7" fillId="0" borderId="0" xfId="0" applyNumberFormat="1" applyFont="1" applyProtection="1"/>
    <xf numFmtId="172" fontId="10" fillId="0" borderId="0" xfId="0" applyNumberFormat="1" applyFont="1" applyAlignment="1" applyProtection="1">
      <alignment horizontal="center"/>
    </xf>
    <xf numFmtId="167" fontId="10" fillId="0" borderId="0" xfId="0" applyNumberFormat="1" applyFont="1" applyAlignment="1" applyProtection="1">
      <alignment horizontal="left" wrapText="1"/>
    </xf>
    <xf numFmtId="169" fontId="10" fillId="0" borderId="0" xfId="0" applyNumberFormat="1" applyFont="1" applyAlignment="1">
      <alignment horizontal="center"/>
    </xf>
    <xf numFmtId="168" fontId="10" fillId="0" borderId="0" xfId="0" applyNumberFormat="1" applyFont="1"/>
    <xf numFmtId="168" fontId="10" fillId="0" borderId="0" xfId="0" applyNumberFormat="1" applyFont="1" applyAlignment="1" applyProtection="1">
      <alignment horizontal="center"/>
    </xf>
    <xf numFmtId="167" fontId="10" fillId="0" borderId="32" xfId="0" applyNumberFormat="1" applyFont="1" applyBorder="1"/>
    <xf numFmtId="167" fontId="10" fillId="0" borderId="33" xfId="0" applyNumberFormat="1" applyFont="1" applyBorder="1"/>
    <xf numFmtId="172" fontId="10" fillId="0" borderId="34" xfId="0" applyNumberFormat="1" applyFont="1" applyBorder="1" applyAlignment="1" applyProtection="1">
      <alignment horizontal="center"/>
    </xf>
    <xf numFmtId="167" fontId="7" fillId="0" borderId="0" xfId="0" applyNumberFormat="1" applyFont="1" applyBorder="1" applyAlignment="1"/>
    <xf numFmtId="167" fontId="10" fillId="0" borderId="0" xfId="0" applyNumberFormat="1" applyFont="1" applyBorder="1"/>
    <xf numFmtId="167" fontId="10" fillId="0" borderId="0" xfId="0" applyNumberFormat="1" applyFont="1" applyBorder="1" applyAlignment="1">
      <alignment horizontal="center"/>
    </xf>
    <xf numFmtId="167" fontId="10" fillId="0" borderId="34" xfId="0" applyNumberFormat="1" applyFont="1" applyBorder="1"/>
    <xf numFmtId="167" fontId="10" fillId="0" borderId="0" xfId="0" applyNumberFormat="1" applyFont="1" applyBorder="1" applyAlignment="1"/>
    <xf numFmtId="167" fontId="115" fillId="5" borderId="0" xfId="0" applyNumberFormat="1" applyFont="1" applyFill="1" applyBorder="1"/>
    <xf numFmtId="167" fontId="115" fillId="10" borderId="0" xfId="0" applyNumberFormat="1" applyFont="1" applyFill="1" applyBorder="1"/>
    <xf numFmtId="167" fontId="115" fillId="0" borderId="0" xfId="0" applyNumberFormat="1" applyFont="1" applyBorder="1"/>
    <xf numFmtId="167" fontId="10" fillId="0" borderId="0" xfId="0" applyNumberFormat="1" applyFont="1" applyBorder="1" applyAlignment="1">
      <alignment horizontal="right"/>
    </xf>
    <xf numFmtId="170" fontId="10" fillId="0" borderId="0" xfId="0" applyNumberFormat="1" applyFont="1" applyProtection="1"/>
    <xf numFmtId="167" fontId="112" fillId="0" borderId="0" xfId="0" applyNumberFormat="1" applyFont="1" applyBorder="1" applyAlignment="1">
      <alignment horizontal="fill"/>
    </xf>
    <xf numFmtId="170" fontId="0" fillId="0" borderId="0" xfId="0" applyNumberFormat="1"/>
    <xf numFmtId="167" fontId="7" fillId="0" borderId="0" xfId="0" applyNumberFormat="1" applyFont="1" applyBorder="1"/>
    <xf numFmtId="170" fontId="10" fillId="0" borderId="0" xfId="0" applyNumberFormat="1" applyFont="1" applyAlignment="1" applyProtection="1">
      <alignment horizontal="center"/>
    </xf>
    <xf numFmtId="167" fontId="10" fillId="0" borderId="35" xfId="0" applyNumberFormat="1" applyFont="1" applyBorder="1"/>
    <xf numFmtId="167" fontId="10" fillId="0" borderId="23" xfId="0" applyNumberFormat="1" applyFont="1" applyBorder="1" applyAlignment="1"/>
    <xf numFmtId="167" fontId="10" fillId="0" borderId="23" xfId="0" applyNumberFormat="1" applyFont="1" applyBorder="1"/>
    <xf numFmtId="167" fontId="10" fillId="0" borderId="23" xfId="0" applyNumberFormat="1" applyFont="1" applyBorder="1" applyAlignment="1">
      <alignment horizontal="center"/>
    </xf>
    <xf numFmtId="167" fontId="112" fillId="0" borderId="23" xfId="0" applyNumberFormat="1" applyFont="1" applyBorder="1" applyAlignment="1">
      <alignment horizontal="fill"/>
    </xf>
    <xf numFmtId="168" fontId="10" fillId="0" borderId="0" xfId="0" applyNumberFormat="1" applyFont="1" applyProtection="1"/>
    <xf numFmtId="168" fontId="10" fillId="0" borderId="0" xfId="0" applyNumberFormat="1" applyFont="1" applyAlignment="1"/>
    <xf numFmtId="175" fontId="13" fillId="0" borderId="0" xfId="0" applyNumberFormat="1" applyFont="1"/>
    <xf numFmtId="170" fontId="13" fillId="0" borderId="0" xfId="0" applyNumberFormat="1" applyFont="1"/>
    <xf numFmtId="167" fontId="13" fillId="0" borderId="0" xfId="0" quotePrefix="1" applyNumberFormat="1" applyFont="1"/>
    <xf numFmtId="167" fontId="10" fillId="0" borderId="0" xfId="0" applyNumberFormat="1" applyFont="1" applyFill="1" applyAlignment="1" applyProtection="1">
      <alignment horizontal="center"/>
    </xf>
    <xf numFmtId="167" fontId="10" fillId="0" borderId="0" xfId="0" applyNumberFormat="1" applyFont="1" applyFill="1" applyAlignment="1" applyProtection="1"/>
    <xf numFmtId="167" fontId="10" fillId="0" borderId="0" xfId="0" applyNumberFormat="1" applyFont="1" applyFill="1" applyAlignment="1" applyProtection="1">
      <alignment horizontal="left"/>
    </xf>
    <xf numFmtId="167" fontId="10" fillId="0" borderId="0" xfId="0" applyNumberFormat="1" applyFont="1" applyFill="1"/>
    <xf numFmtId="167" fontId="10" fillId="0" borderId="0" xfId="0" applyNumberFormat="1" applyFont="1" applyFill="1" applyAlignment="1">
      <alignment horizontal="center"/>
    </xf>
    <xf numFmtId="167" fontId="10" fillId="0" borderId="0" xfId="0" applyNumberFormat="1" applyFont="1" applyFill="1" applyAlignment="1"/>
    <xf numFmtId="167" fontId="7" fillId="0" borderId="0" xfId="0" applyNumberFormat="1" applyFont="1" applyFill="1"/>
    <xf numFmtId="167" fontId="10" fillId="0" borderId="0" xfId="0" applyNumberFormat="1" applyFont="1" applyFill="1" applyAlignment="1" applyProtection="1">
      <alignment horizontal="fill"/>
    </xf>
    <xf numFmtId="170" fontId="10" fillId="0" borderId="0" xfId="0" applyNumberFormat="1" applyFont="1" applyFill="1" applyProtection="1"/>
    <xf numFmtId="170" fontId="10" fillId="0" borderId="0" xfId="0" applyNumberFormat="1" applyFont="1" applyFill="1" applyAlignment="1" applyProtection="1">
      <alignment horizontal="center"/>
    </xf>
    <xf numFmtId="174" fontId="10" fillId="0" borderId="0" xfId="0" applyNumberFormat="1" applyFont="1" applyFill="1"/>
    <xf numFmtId="167" fontId="10" fillId="0" borderId="0" xfId="0" applyNumberFormat="1" applyFont="1" applyFill="1" applyProtection="1"/>
    <xf numFmtId="173" fontId="10" fillId="0" borderId="0" xfId="0" applyNumberFormat="1" applyFont="1" applyFill="1" applyProtection="1"/>
    <xf numFmtId="167" fontId="116" fillId="0" borderId="0" xfId="0" applyNumberFormat="1" applyFont="1" applyFill="1" applyProtection="1"/>
    <xf numFmtId="167" fontId="115" fillId="0" borderId="0" xfId="0" applyNumberFormat="1" applyFont="1" applyFill="1" applyProtection="1"/>
    <xf numFmtId="173" fontId="10" fillId="0" borderId="0" xfId="0" applyNumberFormat="1" applyFont="1" applyProtection="1"/>
    <xf numFmtId="167" fontId="117" fillId="0" borderId="0" xfId="0" applyNumberFormat="1" applyFont="1" applyFill="1"/>
    <xf numFmtId="167" fontId="116" fillId="7" borderId="0" xfId="0" applyNumberFormat="1" applyFont="1" applyFill="1"/>
    <xf numFmtId="167" fontId="10" fillId="0" borderId="0" xfId="0" applyNumberFormat="1" applyFont="1" applyAlignment="1">
      <alignment horizontal="left"/>
    </xf>
    <xf numFmtId="170" fontId="10" fillId="0" borderId="0" xfId="0" applyNumberFormat="1" applyFont="1" applyAlignment="1" applyProtection="1">
      <alignment horizontal="left"/>
    </xf>
    <xf numFmtId="173" fontId="10" fillId="0" borderId="0" xfId="0" applyNumberFormat="1" applyFont="1"/>
    <xf numFmtId="170" fontId="10" fillId="0" borderId="0" xfId="0" applyNumberFormat="1" applyFont="1"/>
    <xf numFmtId="174" fontId="10" fillId="0" borderId="0" xfId="0" applyNumberFormat="1" applyFont="1" applyProtection="1"/>
    <xf numFmtId="167" fontId="116" fillId="0" borderId="0" xfId="0" applyNumberFormat="1" applyFont="1" applyProtection="1"/>
    <xf numFmtId="167" fontId="10" fillId="7" borderId="0" xfId="0" applyNumberFormat="1" applyFont="1" applyFill="1" applyAlignment="1" applyProtection="1">
      <alignment horizontal="left" wrapText="1"/>
    </xf>
    <xf numFmtId="167" fontId="115" fillId="5" borderId="0" xfId="0" applyNumberFormat="1" applyFont="1" applyFill="1" applyProtection="1"/>
    <xf numFmtId="167" fontId="7" fillId="0" borderId="0" xfId="0" applyNumberFormat="1" applyFont="1" applyAlignment="1">
      <alignment horizontal="left"/>
    </xf>
    <xf numFmtId="167" fontId="7" fillId="0" borderId="0" xfId="0" applyNumberFormat="1" applyFont="1" applyAlignment="1" applyProtection="1">
      <alignment horizontal="center"/>
    </xf>
    <xf numFmtId="167" fontId="115" fillId="0" borderId="0" xfId="0" applyNumberFormat="1" applyFont="1" applyFill="1"/>
    <xf numFmtId="167" fontId="7" fillId="0" borderId="0" xfId="0" applyNumberFormat="1" applyFont="1" applyAlignment="1">
      <alignment vertical="top" wrapText="1"/>
    </xf>
    <xf numFmtId="167" fontId="10" fillId="0" borderId="0" xfId="0" applyNumberFormat="1" applyFont="1" applyAlignment="1">
      <alignment vertical="top" wrapText="1"/>
    </xf>
    <xf numFmtId="167" fontId="118" fillId="6" borderId="0" xfId="0" applyNumberFormat="1" applyFont="1" applyFill="1"/>
    <xf numFmtId="173" fontId="10" fillId="0" borderId="0" xfId="0" applyNumberFormat="1" applyFont="1" applyBorder="1" applyAlignment="1"/>
    <xf numFmtId="173" fontId="10" fillId="0" borderId="0" xfId="0" applyNumberFormat="1" applyFont="1" applyBorder="1"/>
    <xf numFmtId="167" fontId="10" fillId="0" borderId="0" xfId="0" applyNumberFormat="1" applyFont="1" applyFill="1" applyBorder="1"/>
    <xf numFmtId="167" fontId="10" fillId="0" borderId="0" xfId="0" applyNumberFormat="1" applyFont="1" applyFill="1" applyBorder="1" applyAlignment="1"/>
    <xf numFmtId="167" fontId="0" fillId="7" borderId="0" xfId="0" applyNumberFormat="1" applyFont="1" applyFill="1"/>
    <xf numFmtId="167" fontId="13" fillId="0" borderId="0" xfId="0" applyNumberFormat="1" applyFont="1" applyAlignment="1">
      <alignment horizontal="right"/>
    </xf>
    <xf numFmtId="167" fontId="118" fillId="0" borderId="0" xfId="0" applyNumberFormat="1" applyFont="1"/>
    <xf numFmtId="167" fontId="119" fillId="0" borderId="0" xfId="0" applyNumberFormat="1" applyFont="1" applyAlignment="1" applyProtection="1">
      <alignment horizontal="left"/>
    </xf>
    <xf numFmtId="167" fontId="109" fillId="0" borderId="0" xfId="0" applyNumberFormat="1" applyFont="1" applyAlignment="1"/>
    <xf numFmtId="167" fontId="109" fillId="0" borderId="0" xfId="0" applyNumberFormat="1" applyFont="1" applyAlignment="1" applyProtection="1">
      <alignment horizontal="left"/>
    </xf>
    <xf numFmtId="170" fontId="109" fillId="0" borderId="0" xfId="0" applyNumberFormat="1" applyFont="1"/>
    <xf numFmtId="167" fontId="109" fillId="0" borderId="0" xfId="0" applyNumberFormat="1" applyFont="1" applyAlignment="1">
      <alignment horizontal="center"/>
    </xf>
    <xf numFmtId="167" fontId="109" fillId="0" borderId="0" xfId="0" applyNumberFormat="1" applyFont="1"/>
    <xf numFmtId="167" fontId="109" fillId="0" borderId="0" xfId="0" applyNumberFormat="1" applyFont="1" applyAlignment="1" applyProtection="1">
      <alignment horizontal="center"/>
    </xf>
    <xf numFmtId="167" fontId="120" fillId="7" borderId="0" xfId="0" applyNumberFormat="1" applyFont="1" applyFill="1" applyProtection="1"/>
    <xf numFmtId="170" fontId="109" fillId="0" borderId="0" xfId="0" applyNumberFormat="1" applyFont="1" applyAlignment="1" applyProtection="1">
      <alignment horizontal="left"/>
    </xf>
    <xf numFmtId="170" fontId="109" fillId="0" borderId="0" xfId="0" applyNumberFormat="1" applyFont="1" applyAlignment="1" applyProtection="1">
      <alignment horizontal="center"/>
    </xf>
    <xf numFmtId="167" fontId="121" fillId="0" borderId="0" xfId="0" applyNumberFormat="1" applyFont="1" applyProtection="1"/>
    <xf numFmtId="167" fontId="122" fillId="0" borderId="0" xfId="0" applyNumberFormat="1" applyFont="1"/>
    <xf numFmtId="167" fontId="68" fillId="0" borderId="0" xfId="0" applyNumberFormat="1" applyFont="1" applyAlignment="1" applyProtection="1">
      <alignment horizontal="right"/>
    </xf>
    <xf numFmtId="167" fontId="123" fillId="0" borderId="0" xfId="0" applyNumberFormat="1" applyFont="1"/>
    <xf numFmtId="167" fontId="124" fillId="0" borderId="0" xfId="0" applyNumberFormat="1" applyFont="1"/>
    <xf numFmtId="167" fontId="79" fillId="7" borderId="0" xfId="0" applyNumberFormat="1" applyFont="1" applyFill="1"/>
    <xf numFmtId="168" fontId="0" fillId="0" borderId="0" xfId="0" applyNumberFormat="1" applyAlignment="1">
      <alignment horizontal="right"/>
    </xf>
    <xf numFmtId="168" fontId="0" fillId="0" borderId="0" xfId="0" applyNumberFormat="1" applyAlignment="1"/>
    <xf numFmtId="167" fontId="113" fillId="0" borderId="0" xfId="0" applyNumberFormat="1" applyFont="1" applyAlignment="1" applyProtection="1">
      <alignment horizontal="left"/>
    </xf>
    <xf numFmtId="168" fontId="7" fillId="0" borderId="0" xfId="0" applyNumberFormat="1" applyFont="1" applyAlignment="1">
      <alignment horizontal="right"/>
    </xf>
    <xf numFmtId="173" fontId="7" fillId="0" borderId="0" xfId="0" applyNumberFormat="1" applyFont="1" applyAlignment="1">
      <alignment horizontal="right"/>
    </xf>
    <xf numFmtId="167" fontId="15" fillId="0" borderId="0" xfId="0" applyNumberFormat="1" applyFont="1" applyAlignment="1">
      <alignment horizontal="right"/>
    </xf>
    <xf numFmtId="170" fontId="10" fillId="0" borderId="0" xfId="0" applyNumberFormat="1" applyFont="1" applyAlignment="1">
      <alignment horizontal="right"/>
    </xf>
    <xf numFmtId="170" fontId="7" fillId="0" borderId="0" xfId="0" applyNumberFormat="1" applyFont="1" applyAlignment="1" applyProtection="1">
      <alignment horizontal="right"/>
    </xf>
    <xf numFmtId="173" fontId="0" fillId="0" borderId="0" xfId="0" applyNumberFormat="1" applyAlignment="1">
      <alignment horizontal="right"/>
    </xf>
    <xf numFmtId="173" fontId="10" fillId="0" borderId="0" xfId="0" applyNumberFormat="1" applyFont="1" applyAlignment="1" applyProtection="1">
      <alignment horizontal="right"/>
    </xf>
    <xf numFmtId="173" fontId="7" fillId="0" borderId="0" xfId="0" applyNumberFormat="1" applyFont="1" applyAlignment="1" applyProtection="1">
      <alignment horizontal="right"/>
    </xf>
    <xf numFmtId="167" fontId="10" fillId="3" borderId="0" xfId="0" applyNumberFormat="1" applyFont="1" applyFill="1" applyAlignment="1" applyProtection="1">
      <alignment horizontal="left"/>
    </xf>
    <xf numFmtId="167" fontId="10" fillId="0" borderId="0" xfId="0" quotePrefix="1" applyNumberFormat="1" applyFont="1" applyAlignment="1" applyProtection="1">
      <alignment horizontal="left"/>
    </xf>
    <xf numFmtId="167" fontId="10" fillId="6" borderId="0" xfId="0" applyNumberFormat="1" applyFont="1" applyFill="1" applyAlignment="1" applyProtection="1">
      <alignment horizontal="left"/>
    </xf>
    <xf numFmtId="174" fontId="10" fillId="0" borderId="0" xfId="0" applyNumberFormat="1" applyFont="1" applyAlignment="1">
      <alignment horizontal="right"/>
    </xf>
    <xf numFmtId="168" fontId="13" fillId="0" borderId="0" xfId="0" applyNumberFormat="1" applyFont="1"/>
    <xf numFmtId="167" fontId="0" fillId="7" borderId="0" xfId="0" applyNumberFormat="1" applyFill="1" applyAlignment="1" applyProtection="1">
      <alignment horizontal="left" wrapText="1"/>
    </xf>
    <xf numFmtId="167" fontId="96" fillId="7" borderId="0" xfId="0" applyNumberFormat="1" applyFont="1" applyFill="1"/>
    <xf numFmtId="167" fontId="67" fillId="7" borderId="0" xfId="0" applyNumberFormat="1" applyFont="1" applyFill="1"/>
    <xf numFmtId="167" fontId="67" fillId="0" borderId="0" xfId="0" applyNumberFormat="1" applyFont="1"/>
    <xf numFmtId="170" fontId="13" fillId="0" borderId="0" xfId="0" applyNumberFormat="1" applyFont="1" applyAlignment="1">
      <alignment vertical="top"/>
    </xf>
    <xf numFmtId="167" fontId="13" fillId="0" borderId="0" xfId="0" applyNumberFormat="1" applyFont="1" applyAlignment="1">
      <alignment vertical="top"/>
    </xf>
    <xf numFmtId="167" fontId="13" fillId="7" borderId="0" xfId="0" applyNumberFormat="1" applyFont="1" applyFill="1" applyAlignment="1">
      <alignment vertical="top" wrapText="1"/>
    </xf>
    <xf numFmtId="167" fontId="67" fillId="0" borderId="0" xfId="0" applyNumberFormat="1" applyFont="1" applyAlignment="1">
      <alignment vertical="top"/>
    </xf>
    <xf numFmtId="167" fontId="13" fillId="0" borderId="0" xfId="0" applyNumberFormat="1" applyFont="1" applyAlignment="1">
      <alignment horizontal="left" vertical="top"/>
    </xf>
    <xf numFmtId="167" fontId="13" fillId="7" borderId="0" xfId="0" applyNumberFormat="1" applyFont="1" applyFill="1"/>
    <xf numFmtId="167" fontId="115" fillId="7" borderId="0" xfId="0" applyNumberFormat="1" applyFont="1" applyFill="1" applyProtection="1"/>
    <xf numFmtId="168" fontId="10" fillId="0" borderId="0" xfId="0" applyNumberFormat="1" applyFont="1" applyAlignment="1" applyProtection="1">
      <alignment horizontal="right"/>
    </xf>
    <xf numFmtId="167" fontId="125" fillId="0" borderId="0" xfId="0" applyNumberFormat="1" applyFont="1"/>
    <xf numFmtId="167" fontId="96" fillId="0" borderId="0" xfId="0" applyNumberFormat="1" applyFont="1" applyAlignment="1" applyProtection="1">
      <alignment horizontal="right"/>
    </xf>
    <xf numFmtId="167" fontId="126" fillId="6" borderId="0" xfId="0" applyNumberFormat="1" applyFont="1" applyFill="1" applyAlignment="1" applyProtection="1">
      <alignment horizontal="right"/>
    </xf>
    <xf numFmtId="167" fontId="126" fillId="0" borderId="0" xfId="0" applyNumberFormat="1" applyFont="1" applyAlignment="1" applyProtection="1">
      <alignment horizontal="right"/>
    </xf>
    <xf numFmtId="169" fontId="13" fillId="0" borderId="0" xfId="0" applyNumberFormat="1" applyFont="1" applyAlignment="1">
      <alignment vertical="center"/>
    </xf>
    <xf numFmtId="2" fontId="14" fillId="0" borderId="0" xfId="111" applyNumberFormat="1" applyFont="1" applyBorder="1" applyAlignment="1">
      <alignment vertical="top" wrapText="1"/>
    </xf>
    <xf numFmtId="167" fontId="88" fillId="11" borderId="0" xfId="0" applyNumberFormat="1" applyFont="1" applyFill="1"/>
    <xf numFmtId="167" fontId="0" fillId="0" borderId="0" xfId="0" applyNumberFormat="1" applyAlignment="1">
      <alignment horizontal="center"/>
    </xf>
    <xf numFmtId="167" fontId="0" fillId="0" borderId="0" xfId="0" applyNumberFormat="1" applyAlignment="1">
      <alignment horizontal="fill"/>
    </xf>
    <xf numFmtId="167" fontId="128" fillId="0" borderId="0" xfId="0" applyNumberFormat="1" applyFont="1"/>
    <xf numFmtId="167" fontId="112" fillId="0" borderId="0" xfId="0" applyNumberFormat="1" applyFont="1"/>
    <xf numFmtId="167" fontId="112" fillId="0" borderId="0" xfId="0" applyNumberFormat="1" applyFont="1" applyAlignment="1"/>
    <xf numFmtId="167" fontId="112" fillId="0" borderId="0" xfId="0" applyNumberFormat="1" applyFont="1" applyAlignment="1">
      <alignment horizontal="center"/>
    </xf>
    <xf numFmtId="167" fontId="112" fillId="0" borderId="0" xfId="0" applyNumberFormat="1" applyFont="1" applyAlignment="1">
      <alignment horizontal="left"/>
    </xf>
    <xf numFmtId="167" fontId="130" fillId="0" borderId="0" xfId="0" applyNumberFormat="1" applyFont="1"/>
    <xf numFmtId="167" fontId="113" fillId="0" borderId="0" xfId="0" applyNumberFormat="1" applyFont="1"/>
    <xf numFmtId="167" fontId="131" fillId="0" borderId="0" xfId="0" applyNumberFormat="1" applyFont="1"/>
    <xf numFmtId="168" fontId="130" fillId="0" borderId="0" xfId="0" applyNumberFormat="1" applyFont="1"/>
    <xf numFmtId="167" fontId="130" fillId="0" borderId="0" xfId="0" applyNumberFormat="1" applyFont="1" applyAlignment="1"/>
    <xf numFmtId="167" fontId="130" fillId="0" borderId="0" xfId="0" applyNumberFormat="1" applyFont="1" applyAlignment="1">
      <alignment horizontal="center"/>
    </xf>
    <xf numFmtId="168" fontId="112" fillId="0" borderId="0" xfId="0" applyNumberFormat="1" applyFont="1"/>
    <xf numFmtId="167" fontId="132" fillId="7" borderId="0" xfId="0" applyNumberFormat="1" applyFont="1" applyFill="1" applyProtection="1"/>
    <xf numFmtId="167" fontId="79" fillId="0" borderId="0" xfId="0" applyNumberFormat="1" applyFont="1" applyAlignment="1" applyProtection="1">
      <alignment vertical="center"/>
    </xf>
    <xf numFmtId="167" fontId="133" fillId="0" borderId="0" xfId="0" applyNumberFormat="1" applyFont="1"/>
    <xf numFmtId="167" fontId="0" fillId="0" borderId="0" xfId="0" applyNumberFormat="1" applyFont="1" applyAlignment="1">
      <alignment horizontal="left"/>
    </xf>
    <xf numFmtId="167" fontId="13" fillId="0" borderId="0" xfId="0" applyNumberFormat="1" applyFont="1" applyAlignment="1">
      <alignment horizontal="center" vertical="top" wrapText="1"/>
    </xf>
    <xf numFmtId="167" fontId="0" fillId="0" borderId="0" xfId="0" applyNumberFormat="1" applyAlignment="1" applyProtection="1">
      <alignment vertical="top"/>
    </xf>
    <xf numFmtId="167" fontId="0" fillId="0" borderId="0" xfId="0" applyNumberFormat="1" applyAlignment="1">
      <alignment vertical="top"/>
    </xf>
    <xf numFmtId="167" fontId="65" fillId="0" borderId="0" xfId="0" applyNumberFormat="1" applyFont="1" applyAlignment="1">
      <alignment vertical="top"/>
    </xf>
    <xf numFmtId="167" fontId="0" fillId="0" borderId="0" xfId="0" applyNumberFormat="1" applyAlignment="1">
      <alignment horizontal="left" vertical="top"/>
    </xf>
    <xf numFmtId="167" fontId="106" fillId="0" borderId="0" xfId="0" applyNumberFormat="1" applyFont="1" applyAlignment="1">
      <alignment horizontal="center" wrapText="1"/>
    </xf>
    <xf numFmtId="167" fontId="106" fillId="0" borderId="0" xfId="0" applyNumberFormat="1" applyFont="1" applyAlignment="1"/>
    <xf numFmtId="167" fontId="106" fillId="0" borderId="0" xfId="0" applyNumberFormat="1" applyFont="1" applyAlignment="1">
      <alignment horizontal="center"/>
    </xf>
    <xf numFmtId="167" fontId="14" fillId="0" borderId="0" xfId="0" applyNumberFormat="1" applyFont="1" applyAlignment="1" applyProtection="1">
      <alignment horizontal="center"/>
    </xf>
    <xf numFmtId="167" fontId="134" fillId="0" borderId="0" xfId="0" applyNumberFormat="1" applyFont="1" applyProtection="1"/>
    <xf numFmtId="167" fontId="14" fillId="0" borderId="0" xfId="0" applyNumberFormat="1" applyFont="1" applyAlignment="1" applyProtection="1">
      <alignment horizontal="left" wrapText="1"/>
    </xf>
    <xf numFmtId="167" fontId="135" fillId="0" borderId="0" xfId="0" applyNumberFormat="1" applyFont="1" applyProtection="1"/>
    <xf numFmtId="173" fontId="14" fillId="0" borderId="0" xfId="0" applyNumberFormat="1" applyFont="1" applyAlignment="1" applyProtection="1">
      <alignment horizontal="right"/>
    </xf>
    <xf numFmtId="167" fontId="13" fillId="0" borderId="0" xfId="0" applyNumberFormat="1" applyFont="1" applyAlignment="1" applyProtection="1">
      <alignment horizontal="center" wrapText="1"/>
    </xf>
    <xf numFmtId="167" fontId="136" fillId="0" borderId="0" xfId="0" applyNumberFormat="1" applyFont="1" applyProtection="1"/>
    <xf numFmtId="167" fontId="130" fillId="0" borderId="0" xfId="0" applyNumberFormat="1" applyFont="1" applyProtection="1"/>
    <xf numFmtId="167" fontId="137" fillId="0" borderId="0" xfId="0" applyNumberFormat="1" applyFont="1" applyProtection="1"/>
    <xf numFmtId="167" fontId="138" fillId="0" borderId="0" xfId="0" applyNumberFormat="1" applyFont="1"/>
    <xf numFmtId="0" fontId="0" fillId="0" borderId="0" xfId="0" applyNumberFormat="1"/>
    <xf numFmtId="0" fontId="0" fillId="0" borderId="0" xfId="0" applyNumberFormat="1" applyAlignment="1">
      <alignment horizontal="center"/>
    </xf>
    <xf numFmtId="173" fontId="134" fillId="5" borderId="0" xfId="0" applyNumberFormat="1" applyFont="1" applyFill="1" applyProtection="1"/>
    <xf numFmtId="0" fontId="139" fillId="10" borderId="0" xfId="0" applyNumberFormat="1" applyFont="1" applyFill="1" applyBorder="1" applyAlignment="1">
      <alignment vertical="top" wrapText="1"/>
    </xf>
    <xf numFmtId="0" fontId="139" fillId="10" borderId="0" xfId="0" applyNumberFormat="1" applyFont="1" applyFill="1" applyBorder="1" applyAlignment="1">
      <alignment horizontal="center" wrapText="1"/>
    </xf>
    <xf numFmtId="0" fontId="40" fillId="0" borderId="0" xfId="0" applyNumberFormat="1" applyFont="1"/>
    <xf numFmtId="167" fontId="117" fillId="0" borderId="0" xfId="0" applyNumberFormat="1" applyFont="1" applyAlignment="1"/>
    <xf numFmtId="167" fontId="116" fillId="0" borderId="0" xfId="0" applyNumberFormat="1" applyFont="1"/>
    <xf numFmtId="167" fontId="117" fillId="0" borderId="0" xfId="0" applyNumberFormat="1" applyFont="1" applyAlignment="1" applyProtection="1">
      <alignment horizontal="left"/>
    </xf>
    <xf numFmtId="2" fontId="40" fillId="0" borderId="0" xfId="0" applyNumberFormat="1" applyFont="1"/>
    <xf numFmtId="0" fontId="0" fillId="0" borderId="0" xfId="0" applyNumberFormat="1" applyBorder="1" applyAlignment="1">
      <alignment horizontal="center"/>
    </xf>
    <xf numFmtId="0" fontId="0" fillId="0" borderId="0" xfId="0" applyNumberFormat="1" applyBorder="1" applyAlignment="1"/>
    <xf numFmtId="0" fontId="34" fillId="0" borderId="0" xfId="0" applyNumberFormat="1" applyFont="1" applyBorder="1" applyAlignment="1">
      <alignment horizontal="center" wrapText="1"/>
    </xf>
    <xf numFmtId="0" fontId="0" fillId="0" borderId="0" xfId="0" applyNumberFormat="1" applyBorder="1"/>
    <xf numFmtId="0" fontId="40" fillId="0" borderId="0" xfId="0" applyNumberFormat="1" applyFont="1" applyBorder="1"/>
    <xf numFmtId="167" fontId="117" fillId="0" borderId="0" xfId="0" applyNumberFormat="1" applyFont="1" applyBorder="1" applyAlignment="1"/>
    <xf numFmtId="2" fontId="1" fillId="0" borderId="0" xfId="0" applyNumberFormat="1" applyFont="1" applyBorder="1"/>
    <xf numFmtId="167" fontId="117" fillId="0" borderId="0" xfId="0" applyNumberFormat="1" applyFont="1" applyBorder="1"/>
    <xf numFmtId="167" fontId="117" fillId="0" borderId="0" xfId="0" applyNumberFormat="1" applyFont="1" applyBorder="1" applyAlignment="1" applyProtection="1">
      <alignment horizontal="left"/>
    </xf>
    <xf numFmtId="167" fontId="116" fillId="0" borderId="0" xfId="0" applyNumberFormat="1" applyFont="1" applyBorder="1"/>
    <xf numFmtId="167" fontId="117" fillId="0" borderId="0" xfId="0" applyNumberFormat="1" applyFont="1" applyBorder="1" applyAlignment="1">
      <alignment vertical="center"/>
    </xf>
    <xf numFmtId="0" fontId="0" fillId="0" borderId="0" xfId="0" applyNumberFormat="1" applyBorder="1" applyAlignment="1">
      <alignment vertical="center"/>
    </xf>
    <xf numFmtId="167" fontId="117" fillId="0" borderId="0" xfId="0" applyNumberFormat="1" applyFont="1" applyBorder="1" applyAlignment="1" applyProtection="1">
      <alignment horizontal="left" vertical="center"/>
    </xf>
    <xf numFmtId="167" fontId="115" fillId="0" borderId="0" xfId="0" applyNumberFormat="1" applyFont="1" applyBorder="1" applyAlignment="1">
      <alignment vertical="center"/>
    </xf>
    <xf numFmtId="0" fontId="0" fillId="0" borderId="0" xfId="0" applyNumberFormat="1" applyBorder="1" applyAlignment="1">
      <alignment wrapText="1"/>
    </xf>
    <xf numFmtId="167" fontId="117" fillId="0" borderId="0" xfId="0" applyNumberFormat="1" applyFont="1" applyFill="1" applyBorder="1"/>
    <xf numFmtId="167" fontId="117" fillId="0" borderId="0" xfId="0" applyNumberFormat="1" applyFont="1" applyFill="1" applyBorder="1" applyAlignment="1"/>
    <xf numFmtId="167" fontId="116" fillId="0" borderId="0" xfId="0" applyNumberFormat="1" applyFont="1" applyFill="1" applyBorder="1"/>
    <xf numFmtId="0" fontId="40" fillId="0" borderId="0" xfId="0" applyNumberFormat="1" applyFont="1" applyBorder="1" applyAlignment="1">
      <alignment horizontal="right"/>
    </xf>
    <xf numFmtId="167" fontId="141" fillId="0" borderId="0" xfId="0" applyNumberFormat="1" applyFont="1" applyBorder="1"/>
    <xf numFmtId="2" fontId="0" fillId="0" borderId="0" xfId="0" applyNumberFormat="1" applyBorder="1"/>
    <xf numFmtId="0" fontId="39" fillId="0" borderId="0" xfId="0" applyNumberFormat="1" applyFont="1"/>
    <xf numFmtId="167" fontId="117" fillId="0" borderId="0" xfId="0" applyNumberFormat="1" applyFont="1"/>
    <xf numFmtId="167" fontId="141" fillId="0" borderId="0" xfId="0" applyNumberFormat="1" applyFont="1" applyAlignment="1" applyProtection="1">
      <alignment horizontal="left"/>
    </xf>
    <xf numFmtId="167" fontId="117" fillId="0" borderId="0" xfId="0" applyNumberFormat="1" applyFont="1" applyAlignment="1">
      <alignment horizontal="left"/>
    </xf>
    <xf numFmtId="167" fontId="142" fillId="0" borderId="0" xfId="0" applyNumberFormat="1" applyFont="1" applyAlignment="1"/>
    <xf numFmtId="167" fontId="143" fillId="0" borderId="0" xfId="0" applyNumberFormat="1" applyFont="1" applyAlignment="1"/>
    <xf numFmtId="167" fontId="65" fillId="0" borderId="0" xfId="0" applyNumberFormat="1" applyFont="1" applyAlignment="1">
      <alignment vertical="top" wrapText="1"/>
    </xf>
    <xf numFmtId="168" fontId="117" fillId="0" borderId="0" xfId="0" applyNumberFormat="1" applyFont="1"/>
    <xf numFmtId="167" fontId="117" fillId="0" borderId="0" xfId="0" applyNumberFormat="1" applyFont="1" applyAlignment="1">
      <alignment horizontal="right"/>
    </xf>
    <xf numFmtId="167" fontId="141" fillId="0" borderId="0" xfId="0" applyNumberFormat="1" applyFont="1"/>
    <xf numFmtId="167" fontId="40" fillId="0" borderId="0" xfId="0" applyNumberFormat="1" applyFont="1"/>
    <xf numFmtId="167" fontId="40" fillId="0" borderId="0" xfId="0" applyNumberFormat="1" applyFont="1" applyAlignment="1">
      <alignment horizontal="left"/>
    </xf>
    <xf numFmtId="167" fontId="40" fillId="0" borderId="0" xfId="0" applyNumberFormat="1" applyFont="1" applyAlignment="1" applyProtection="1">
      <alignment horizontal="left"/>
    </xf>
    <xf numFmtId="167" fontId="90" fillId="0" borderId="0" xfId="0" applyNumberFormat="1" applyFont="1" applyProtection="1"/>
    <xf numFmtId="167" fontId="0" fillId="0" borderId="0" xfId="0" applyNumberFormat="1" applyBorder="1" applyAlignment="1">
      <alignment horizontal="left" vertical="top"/>
    </xf>
    <xf numFmtId="0" fontId="40" fillId="0" borderId="0" xfId="0" applyNumberFormat="1" applyFont="1" applyAlignment="1">
      <alignment horizontal="center"/>
    </xf>
    <xf numFmtId="167" fontId="14" fillId="5" borderId="0" xfId="0" applyNumberFormat="1" applyFont="1" applyFill="1" applyAlignment="1" applyProtection="1"/>
    <xf numFmtId="167" fontId="14" fillId="5" borderId="0" xfId="0" applyNumberFormat="1" applyFont="1" applyFill="1" applyAlignment="1" applyProtection="1">
      <alignment horizontal="left"/>
    </xf>
    <xf numFmtId="167" fontId="112" fillId="5" borderId="0" xfId="0" applyNumberFormat="1" applyFont="1" applyFill="1" applyAlignment="1"/>
    <xf numFmtId="167" fontId="112" fillId="5" borderId="0" xfId="0" applyNumberFormat="1" applyFont="1" applyFill="1"/>
    <xf numFmtId="167" fontId="112" fillId="0" borderId="0" xfId="0" applyNumberFormat="1" applyFont="1" applyProtection="1"/>
    <xf numFmtId="167" fontId="14" fillId="5" borderId="0" xfId="0" applyNumberFormat="1" applyFont="1" applyFill="1"/>
    <xf numFmtId="167" fontId="14" fillId="5" borderId="0" xfId="0" applyNumberFormat="1" applyFont="1" applyFill="1" applyAlignment="1" applyProtection="1">
      <alignment horizontal="right"/>
    </xf>
    <xf numFmtId="167" fontId="134" fillId="5" borderId="0" xfId="0" applyNumberFormat="1" applyFont="1" applyFill="1" applyAlignment="1" applyProtection="1"/>
    <xf numFmtId="167" fontId="112" fillId="5" borderId="0" xfId="0" applyNumberFormat="1" applyFont="1" applyFill="1" applyAlignment="1" applyProtection="1">
      <alignment horizontal="left"/>
    </xf>
    <xf numFmtId="167" fontId="15" fillId="6" borderId="0" xfId="0" applyNumberFormat="1" applyFont="1" applyFill="1"/>
    <xf numFmtId="167" fontId="63" fillId="0" borderId="0" xfId="0" applyNumberFormat="1" applyFont="1"/>
    <xf numFmtId="173" fontId="40" fillId="0" borderId="0" xfId="0" applyNumberFormat="1" applyFont="1" applyAlignment="1">
      <alignment vertical="top"/>
    </xf>
    <xf numFmtId="173" fontId="144" fillId="0" borderId="0" xfId="0" applyNumberFormat="1" applyFont="1" applyAlignment="1">
      <alignment horizontal="right"/>
    </xf>
    <xf numFmtId="173" fontId="10" fillId="0" borderId="0" xfId="0" applyNumberFormat="1" applyFont="1" applyAlignment="1">
      <alignment horizontal="center"/>
    </xf>
    <xf numFmtId="167" fontId="7" fillId="0" borderId="0" xfId="0" applyNumberFormat="1" applyFont="1" applyAlignment="1">
      <alignment vertical="top"/>
    </xf>
    <xf numFmtId="167" fontId="7" fillId="0" borderId="0" xfId="0" applyNumberFormat="1" applyFont="1" applyAlignment="1">
      <alignment horizontal="center"/>
    </xf>
  </cellXfs>
  <cellStyles count="112">
    <cellStyle name="Comma 2" xfId="2"/>
    <cellStyle name="Comma 3" xfId="3"/>
    <cellStyle name="Currency 2" xfId="4"/>
    <cellStyle name="Currency 2 2" xfId="5"/>
    <cellStyle name="Hyperlink 2" xfId="6"/>
    <cellStyle name="Hyperlink 3" xfId="7"/>
    <cellStyle name="MS_Arabic" xfId="8"/>
    <cellStyle name="Normal" xfId="0" builtinId="0"/>
    <cellStyle name="Normal 10" xfId="9"/>
    <cellStyle name="Normal 10 10" xfId="106"/>
    <cellStyle name="Normal 10 2" xfId="10"/>
    <cellStyle name="Normal 10 3" xfId="11"/>
    <cellStyle name="Normal 11" xfId="12"/>
    <cellStyle name="Normal 11 2" xfId="13"/>
    <cellStyle name="Normal 12" xfId="14"/>
    <cellStyle name="Normal 13" xfId="15"/>
    <cellStyle name="Normal 14" xfId="16"/>
    <cellStyle name="Normal 15" xfId="17"/>
    <cellStyle name="Normal 15 5" xfId="18"/>
    <cellStyle name="Normal 16" xfId="1"/>
    <cellStyle name="Normal 19" xfId="19"/>
    <cellStyle name="Normal 2" xfId="20"/>
    <cellStyle name="Normal 2 13" xfId="21"/>
    <cellStyle name="Normal 2 2" xfId="22"/>
    <cellStyle name="Normal 2 2 2" xfId="23"/>
    <cellStyle name="Normal 2 2 3" xfId="24"/>
    <cellStyle name="Normal 2 2 3 2" xfId="25"/>
    <cellStyle name="Normal 2 3" xfId="26"/>
    <cellStyle name="Normal 2 3 10" xfId="27"/>
    <cellStyle name="Normal 2 3 11" xfId="28"/>
    <cellStyle name="Normal 2 3 2" xfId="29"/>
    <cellStyle name="Normal 2 3 2 2" xfId="30"/>
    <cellStyle name="Normal 2 3 2 2 2" xfId="31"/>
    <cellStyle name="Normal 2 3 2 3" xfId="32"/>
    <cellStyle name="Normal 2 3 3" xfId="33"/>
    <cellStyle name="Normal 2 3 3 2" xfId="34"/>
    <cellStyle name="Normal 2 3 3 2 2" xfId="35"/>
    <cellStyle name="Normal 2 3 3 2 3" xfId="36"/>
    <cellStyle name="Normal 2 3 3 2 3 10" xfId="37"/>
    <cellStyle name="Normal 2 3 3 2 3 2" xfId="38"/>
    <cellStyle name="Normal 2 3 3 2 3 3" xfId="39"/>
    <cellStyle name="Normal 2 3 3 2 3 4" xfId="40"/>
    <cellStyle name="Normal 2 3 3 2 3 5" xfId="41"/>
    <cellStyle name="Normal 2 3 3 2 3 6" xfId="42"/>
    <cellStyle name="Normal 2 3 3 2 3 7" xfId="43"/>
    <cellStyle name="Normal 2 3 3 2 3 8" xfId="44"/>
    <cellStyle name="Normal 2 3 3 2 3 9" xfId="45"/>
    <cellStyle name="Normal 2 3 3 3" xfId="46"/>
    <cellStyle name="Normal 2 3 4" xfId="47"/>
    <cellStyle name="Normal 2 3 5" xfId="48"/>
    <cellStyle name="Normal 2 3 6" xfId="49"/>
    <cellStyle name="Normal 2 3 7" xfId="50"/>
    <cellStyle name="Normal 2 3 8" xfId="51"/>
    <cellStyle name="Normal 2 3 9" xfId="52"/>
    <cellStyle name="Normal 2 4" xfId="53"/>
    <cellStyle name="Normal 2 4 2" xfId="54"/>
    <cellStyle name="Normal 2 4 3" xfId="55"/>
    <cellStyle name="Normal 2 4 4" xfId="56"/>
    <cellStyle name="Normal 2 5" xfId="57"/>
    <cellStyle name="Normal 2 5 2" xfId="58"/>
    <cellStyle name="Normal 2 5 3" xfId="59"/>
    <cellStyle name="Normal 2 6" xfId="60"/>
    <cellStyle name="Normal 2 6 2" xfId="61"/>
    <cellStyle name="Normal 2 6 3" xfId="62"/>
    <cellStyle name="Normal 2 6 4" xfId="63"/>
    <cellStyle name="Normal 2 7" xfId="64"/>
    <cellStyle name="Normal 2 7 2" xfId="65"/>
    <cellStyle name="Normal 2 7 3" xfId="66"/>
    <cellStyle name="Normal 3" xfId="67"/>
    <cellStyle name="Normal 3 2" xfId="68"/>
    <cellStyle name="Normal 3 2 2" xfId="69"/>
    <cellStyle name="Normal 3 2 2 2" xfId="70"/>
    <cellStyle name="Normal 3 2 2 2 3" xfId="71"/>
    <cellStyle name="Normal 3 2 2 2 4" xfId="72"/>
    <cellStyle name="Normal 3 2 2 4" xfId="73"/>
    <cellStyle name="Normal 3 2 2 4 2" xfId="74"/>
    <cellStyle name="Normal 3 2 3" xfId="75"/>
    <cellStyle name="Normal 3 3" xfId="76"/>
    <cellStyle name="Normal 3 4" xfId="77"/>
    <cellStyle name="Normal 3 5" xfId="78"/>
    <cellStyle name="Normal 4" xfId="79"/>
    <cellStyle name="Normal 4 2" xfId="80"/>
    <cellStyle name="Normal 4 2 2" xfId="81"/>
    <cellStyle name="Normal 4 3" xfId="82"/>
    <cellStyle name="Normal 4 3 2" xfId="83"/>
    <cellStyle name="Normal 4 4" xfId="84"/>
    <cellStyle name="Normal 4 5" xfId="85"/>
    <cellStyle name="Normal 4 7" xfId="86"/>
    <cellStyle name="Normal 4 7 2" xfId="87"/>
    <cellStyle name="Normal 5" xfId="88"/>
    <cellStyle name="Normal 5 2" xfId="89"/>
    <cellStyle name="Normal 6" xfId="90"/>
    <cellStyle name="Normal 6 2" xfId="91"/>
    <cellStyle name="Normal 6 3" xfId="92"/>
    <cellStyle name="Normal 7" xfId="93"/>
    <cellStyle name="Normal 7 2" xfId="94"/>
    <cellStyle name="Normal 7 2 2" xfId="95"/>
    <cellStyle name="Normal 8" xfId="96"/>
    <cellStyle name="Normal 8 2" xfId="97"/>
    <cellStyle name="Normal 9" xfId="98"/>
    <cellStyle name="Normal_DATA7" xfId="99"/>
    <cellStyle name="Normal_External WS 2" xfId="108"/>
    <cellStyle name="Normal_External WS_Dev. Works-1" xfId="109"/>
    <cellStyle name="Normal_Phase XI QS" xfId="100"/>
    <cellStyle name="Normal_Phase XI QS 2" xfId="111"/>
    <cellStyle name="Normal_Phase XI QS 2 2" xfId="107"/>
    <cellStyle name="Normal_Sheet1" xfId="101"/>
    <cellStyle name="Normal_test-1 2" xfId="110"/>
    <cellStyle name="Note 3" xfId="102"/>
    <cellStyle name="Percent 2" xfId="104"/>
    <cellStyle name="Percent 3" xfId="105"/>
    <cellStyle name="Percent 4" xfId="1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drawing1.xml><?xml version="1.0" encoding="utf-8"?>
<xdr:wsDr xmlns:xdr="http://schemas.openxmlformats.org/drawingml/2006/spreadsheetDrawing" xmlns:a="http://schemas.openxmlformats.org/drawingml/2006/main">
  <xdr:twoCellAnchor editAs="oneCell">
    <xdr:from>
      <xdr:col>14</xdr:col>
      <xdr:colOff>457200</xdr:colOff>
      <xdr:row>7795</xdr:row>
      <xdr:rowOff>190500</xdr:rowOff>
    </xdr:from>
    <xdr:to>
      <xdr:col>14</xdr:col>
      <xdr:colOff>542925</xdr:colOff>
      <xdr:row>7796</xdr:row>
      <xdr:rowOff>0</xdr:rowOff>
    </xdr:to>
    <xdr:sp macro="" textlink="">
      <xdr:nvSpPr>
        <xdr:cNvPr id="2" name="Text Box 1">
          <a:extLst>
            <a:ext uri="{FF2B5EF4-FFF2-40B4-BE49-F238E27FC236}">
              <a16:creationId xmlns="" xmlns:a16="http://schemas.microsoft.com/office/drawing/2014/main" id="{00000000-0008-0000-0700-0000ABCB0100}"/>
            </a:ext>
          </a:extLst>
        </xdr:cNvPr>
        <xdr:cNvSpPr txBox="1">
          <a:spLocks noChangeArrowheads="1"/>
        </xdr:cNvSpPr>
      </xdr:nvSpPr>
      <xdr:spPr bwMode="auto">
        <a:xfrm>
          <a:off x="21497925" y="2418511800"/>
          <a:ext cx="85725" cy="95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3" name="Text Box 2">
          <a:extLst>
            <a:ext uri="{FF2B5EF4-FFF2-40B4-BE49-F238E27FC236}">
              <a16:creationId xmlns="" xmlns:a16="http://schemas.microsoft.com/office/drawing/2014/main" id="{00000000-0008-0000-0700-0000ACCB0100}"/>
            </a:ext>
          </a:extLst>
        </xdr:cNvPr>
        <xdr:cNvSpPr txBox="1">
          <a:spLocks noChangeArrowheads="1"/>
        </xdr:cNvSpPr>
      </xdr:nvSpPr>
      <xdr:spPr bwMode="auto">
        <a:xfrm>
          <a:off x="14163675" y="0"/>
          <a:ext cx="9525"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4" name="Text Box 2">
          <a:extLst>
            <a:ext uri="{FF2B5EF4-FFF2-40B4-BE49-F238E27FC236}">
              <a16:creationId xmlns="" xmlns:a16="http://schemas.microsoft.com/office/drawing/2014/main" id="{00000000-0008-0000-0700-0000AD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14</xdr:col>
      <xdr:colOff>457200</xdr:colOff>
      <xdr:row>7794</xdr:row>
      <xdr:rowOff>190500</xdr:rowOff>
    </xdr:from>
    <xdr:to>
      <xdr:col>14</xdr:col>
      <xdr:colOff>542925</xdr:colOff>
      <xdr:row>7795</xdr:row>
      <xdr:rowOff>0</xdr:rowOff>
    </xdr:to>
    <xdr:sp macro="" textlink="">
      <xdr:nvSpPr>
        <xdr:cNvPr id="5" name="Text Box 1">
          <a:extLst>
            <a:ext uri="{FF2B5EF4-FFF2-40B4-BE49-F238E27FC236}">
              <a16:creationId xmlns="" xmlns:a16="http://schemas.microsoft.com/office/drawing/2014/main" id="{00000000-0008-0000-0700-0000AECB0100}"/>
            </a:ext>
          </a:extLst>
        </xdr:cNvPr>
        <xdr:cNvSpPr txBox="1">
          <a:spLocks noChangeArrowheads="1"/>
        </xdr:cNvSpPr>
      </xdr:nvSpPr>
      <xdr:spPr bwMode="auto">
        <a:xfrm>
          <a:off x="21497925" y="2418207000"/>
          <a:ext cx="85725" cy="95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6" name="Text Box 2">
          <a:extLst>
            <a:ext uri="{FF2B5EF4-FFF2-40B4-BE49-F238E27FC236}">
              <a16:creationId xmlns="" xmlns:a16="http://schemas.microsoft.com/office/drawing/2014/main" id="{00000000-0008-0000-0700-0000AF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14</xdr:col>
      <xdr:colOff>457200</xdr:colOff>
      <xdr:row>7795</xdr:row>
      <xdr:rowOff>190500</xdr:rowOff>
    </xdr:from>
    <xdr:to>
      <xdr:col>14</xdr:col>
      <xdr:colOff>552450</xdr:colOff>
      <xdr:row>7796</xdr:row>
      <xdr:rowOff>0</xdr:rowOff>
    </xdr:to>
    <xdr:sp macro="" textlink="">
      <xdr:nvSpPr>
        <xdr:cNvPr id="7" name="Text Box 1">
          <a:extLst>
            <a:ext uri="{FF2B5EF4-FFF2-40B4-BE49-F238E27FC236}">
              <a16:creationId xmlns="" xmlns:a16="http://schemas.microsoft.com/office/drawing/2014/main" id="{00000000-0008-0000-0700-0000B0CB0100}"/>
            </a:ext>
          </a:extLst>
        </xdr:cNvPr>
        <xdr:cNvSpPr txBox="1">
          <a:spLocks noChangeArrowheads="1"/>
        </xdr:cNvSpPr>
      </xdr:nvSpPr>
      <xdr:spPr bwMode="auto">
        <a:xfrm>
          <a:off x="21497925" y="2418511800"/>
          <a:ext cx="95250" cy="9525"/>
        </a:xfrm>
        <a:prstGeom prst="rect">
          <a:avLst/>
        </a:prstGeom>
        <a:noFill/>
        <a:ln w="9525">
          <a:noFill/>
          <a:miter lim="800000"/>
          <a:headEnd/>
          <a:tailEnd/>
        </a:ln>
      </xdr:spPr>
    </xdr:sp>
    <xdr:clientData/>
  </xdr:twoCellAnchor>
  <xdr:twoCellAnchor editAs="oneCell">
    <xdr:from>
      <xdr:col>14</xdr:col>
      <xdr:colOff>457200</xdr:colOff>
      <xdr:row>7794</xdr:row>
      <xdr:rowOff>190500</xdr:rowOff>
    </xdr:from>
    <xdr:to>
      <xdr:col>14</xdr:col>
      <xdr:colOff>552450</xdr:colOff>
      <xdr:row>7795</xdr:row>
      <xdr:rowOff>0</xdr:rowOff>
    </xdr:to>
    <xdr:sp macro="" textlink="">
      <xdr:nvSpPr>
        <xdr:cNvPr id="8" name="Text Box 1">
          <a:extLst>
            <a:ext uri="{FF2B5EF4-FFF2-40B4-BE49-F238E27FC236}">
              <a16:creationId xmlns="" xmlns:a16="http://schemas.microsoft.com/office/drawing/2014/main" id="{00000000-0008-0000-0700-0000B1CB0100}"/>
            </a:ext>
          </a:extLst>
        </xdr:cNvPr>
        <xdr:cNvSpPr txBox="1">
          <a:spLocks noChangeArrowheads="1"/>
        </xdr:cNvSpPr>
      </xdr:nvSpPr>
      <xdr:spPr bwMode="auto">
        <a:xfrm>
          <a:off x="21497925" y="2418207000"/>
          <a:ext cx="95250" cy="95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9" name="Text Box 2">
          <a:extLst>
            <a:ext uri="{FF2B5EF4-FFF2-40B4-BE49-F238E27FC236}">
              <a16:creationId xmlns="" xmlns:a16="http://schemas.microsoft.com/office/drawing/2014/main" id="{00000000-0008-0000-0700-0000B2CB0100}"/>
            </a:ext>
          </a:extLst>
        </xdr:cNvPr>
        <xdr:cNvSpPr txBox="1">
          <a:spLocks noChangeArrowheads="1"/>
        </xdr:cNvSpPr>
      </xdr:nvSpPr>
      <xdr:spPr bwMode="auto">
        <a:xfrm>
          <a:off x="14163675" y="0"/>
          <a:ext cx="9525"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0" name="Text Box 2">
          <a:extLst>
            <a:ext uri="{FF2B5EF4-FFF2-40B4-BE49-F238E27FC236}">
              <a16:creationId xmlns="" xmlns:a16="http://schemas.microsoft.com/office/drawing/2014/main" id="{00000000-0008-0000-0700-0000B3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1" name="Text Box 2">
          <a:extLst>
            <a:ext uri="{FF2B5EF4-FFF2-40B4-BE49-F238E27FC236}">
              <a16:creationId xmlns="" xmlns:a16="http://schemas.microsoft.com/office/drawing/2014/main" id="{00000000-0008-0000-0700-0000B4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2" name="Text Box 2">
          <a:extLst>
            <a:ext uri="{FF2B5EF4-FFF2-40B4-BE49-F238E27FC236}">
              <a16:creationId xmlns="" xmlns:a16="http://schemas.microsoft.com/office/drawing/2014/main" id="{00000000-0008-0000-0700-0000B5CB0100}"/>
            </a:ext>
          </a:extLst>
        </xdr:cNvPr>
        <xdr:cNvSpPr txBox="1">
          <a:spLocks noChangeArrowheads="1"/>
        </xdr:cNvSpPr>
      </xdr:nvSpPr>
      <xdr:spPr bwMode="auto">
        <a:xfrm>
          <a:off x="14163675" y="0"/>
          <a:ext cx="9525"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3" name="Text Box 2">
          <a:extLst>
            <a:ext uri="{FF2B5EF4-FFF2-40B4-BE49-F238E27FC236}">
              <a16:creationId xmlns="" xmlns:a16="http://schemas.microsoft.com/office/drawing/2014/main" id="{00000000-0008-0000-0700-0000B6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4" name="Text Box 2">
          <a:extLst>
            <a:ext uri="{FF2B5EF4-FFF2-40B4-BE49-F238E27FC236}">
              <a16:creationId xmlns="" xmlns:a16="http://schemas.microsoft.com/office/drawing/2014/main" id="{00000000-0008-0000-0700-0000B7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5" name="Text Box 2">
          <a:extLst>
            <a:ext uri="{FF2B5EF4-FFF2-40B4-BE49-F238E27FC236}">
              <a16:creationId xmlns="" xmlns:a16="http://schemas.microsoft.com/office/drawing/2014/main" id="{00000000-0008-0000-0700-0000B8CB0100}"/>
            </a:ext>
          </a:extLst>
        </xdr:cNvPr>
        <xdr:cNvSpPr txBox="1">
          <a:spLocks noChangeArrowheads="1"/>
        </xdr:cNvSpPr>
      </xdr:nvSpPr>
      <xdr:spPr bwMode="auto">
        <a:xfrm>
          <a:off x="14163675" y="0"/>
          <a:ext cx="9525"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6" name="Text Box 2">
          <a:extLst>
            <a:ext uri="{FF2B5EF4-FFF2-40B4-BE49-F238E27FC236}">
              <a16:creationId xmlns="" xmlns:a16="http://schemas.microsoft.com/office/drawing/2014/main" id="{00000000-0008-0000-0700-0000B9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7" name="Text Box 2">
          <a:extLst>
            <a:ext uri="{FF2B5EF4-FFF2-40B4-BE49-F238E27FC236}">
              <a16:creationId xmlns="" xmlns:a16="http://schemas.microsoft.com/office/drawing/2014/main" id="{00000000-0008-0000-0700-0000BA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8" name="Text Box 2">
          <a:extLst>
            <a:ext uri="{FF2B5EF4-FFF2-40B4-BE49-F238E27FC236}">
              <a16:creationId xmlns="" xmlns:a16="http://schemas.microsoft.com/office/drawing/2014/main" id="{00000000-0008-0000-0700-0000BBCB0100}"/>
            </a:ext>
          </a:extLst>
        </xdr:cNvPr>
        <xdr:cNvSpPr txBox="1">
          <a:spLocks noChangeArrowheads="1"/>
        </xdr:cNvSpPr>
      </xdr:nvSpPr>
      <xdr:spPr bwMode="auto">
        <a:xfrm>
          <a:off x="14163675" y="0"/>
          <a:ext cx="9525"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19" name="Text Box 2">
          <a:extLst>
            <a:ext uri="{FF2B5EF4-FFF2-40B4-BE49-F238E27FC236}">
              <a16:creationId xmlns="" xmlns:a16="http://schemas.microsoft.com/office/drawing/2014/main" id="{00000000-0008-0000-0700-0000BC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20" name="Text Box 2">
          <a:extLst>
            <a:ext uri="{FF2B5EF4-FFF2-40B4-BE49-F238E27FC236}">
              <a16:creationId xmlns="" xmlns:a16="http://schemas.microsoft.com/office/drawing/2014/main" id="{00000000-0008-0000-0700-0000BD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21" name="Text Box 2">
          <a:extLst>
            <a:ext uri="{FF2B5EF4-FFF2-40B4-BE49-F238E27FC236}">
              <a16:creationId xmlns="" xmlns:a16="http://schemas.microsoft.com/office/drawing/2014/main" id="{00000000-0008-0000-0700-0000BECB0100}"/>
            </a:ext>
          </a:extLst>
        </xdr:cNvPr>
        <xdr:cNvSpPr txBox="1">
          <a:spLocks noChangeArrowheads="1"/>
        </xdr:cNvSpPr>
      </xdr:nvSpPr>
      <xdr:spPr bwMode="auto">
        <a:xfrm>
          <a:off x="14163675" y="0"/>
          <a:ext cx="9525"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22" name="Text Box 2">
          <a:extLst>
            <a:ext uri="{FF2B5EF4-FFF2-40B4-BE49-F238E27FC236}">
              <a16:creationId xmlns="" xmlns:a16="http://schemas.microsoft.com/office/drawing/2014/main" id="{00000000-0008-0000-0700-0000BF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twoCellAnchor editAs="oneCell">
    <xdr:from>
      <xdr:col>7</xdr:col>
      <xdr:colOff>2505075</xdr:colOff>
      <xdr:row>0</xdr:row>
      <xdr:rowOff>0</xdr:rowOff>
    </xdr:from>
    <xdr:to>
      <xdr:col>7</xdr:col>
      <xdr:colOff>2505075</xdr:colOff>
      <xdr:row>0</xdr:row>
      <xdr:rowOff>47625</xdr:rowOff>
    </xdr:to>
    <xdr:sp macro="" textlink="">
      <xdr:nvSpPr>
        <xdr:cNvPr id="23" name="Text Box 2">
          <a:extLst>
            <a:ext uri="{FF2B5EF4-FFF2-40B4-BE49-F238E27FC236}">
              <a16:creationId xmlns="" xmlns:a16="http://schemas.microsoft.com/office/drawing/2014/main" id="{00000000-0008-0000-0700-0000C0CB0100}"/>
            </a:ext>
          </a:extLst>
        </xdr:cNvPr>
        <xdr:cNvSpPr txBox="1">
          <a:spLocks noChangeArrowheads="1"/>
        </xdr:cNvSpPr>
      </xdr:nvSpPr>
      <xdr:spPr bwMode="auto">
        <a:xfrm>
          <a:off x="14163675" y="0"/>
          <a:ext cx="0" cy="47625"/>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CER/Desktop/CAP%20&amp;%20TAILORING%20additional%20propos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thikadavu%20data%202022-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ATA%2023-24%20(SE%20OFFIC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ATA%202023-24%20(H.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thkadavu%20development%20wor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Dell/Desktop/DB%20SECTION/E/ALL%20DATAS%20FOR%202013%20TO%202022/ALL%20DATAS%20FOR%20%202023%20-%2024/HO%20DATA%202023-24/ATHIKADAVU%20CBE%202023%20-2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r-17-1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Madurai%20city%20AR%20%20%2022-23%20%20%20%2025.07.202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ead  charge"/>
      <sheetName val="Elec_Data"/>
      <sheetName val="Elec_abs"/>
      <sheetName val="Data"/>
      <sheetName val="Bldg_Dev"/>
      <sheetName val="123"/>
      <sheetName val="7 in 1   "/>
      <sheetName val="Print Data"/>
      <sheetName val="printing data"/>
      <sheetName val="pro detail"/>
      <sheetName val="pro abs"/>
      <sheetName val="pri data"/>
      <sheetName val="Detail"/>
      <sheetName val="Abstract"/>
      <sheetName val="Compatibility 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ile data ( M30 grade) (2)"/>
      <sheetName val="  Coastal  Elec.Data  (2)"/>
      <sheetName val="Abstract "/>
      <sheetName val="G. Abstract"/>
      <sheetName val="2 in 1 incl. F.E."/>
      <sheetName val="pile data "/>
      <sheetName val="  Coastal  Elec.Data "/>
      <sheetName val="lead  charge"/>
      <sheetName val="Elec.Data"/>
      <sheetName val="Sliding and french window"/>
      <sheetName val="Data"/>
      <sheetName val="Gen-Abs"/>
      <sheetName val="buildingfinal"/>
      <sheetName val="Detail-Main"/>
      <sheetName val="Sump-Det"/>
      <sheetName val="Sump-design"/>
      <sheetName val="ST-Main"/>
      <sheetName val="ST-design"/>
      <sheetName val="Sullage-Main"/>
      <sheetName val="CC Road-Main"/>
      <sheetName val="CW-Detail"/>
      <sheetName val="EWSA-Main"/>
      <sheetName val="Ext-Elce"/>
      <sheetName val="est data"/>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651">
          <cell r="K651">
            <v>1309</v>
          </cell>
        </row>
        <row r="709">
          <cell r="K709">
            <v>270</v>
          </cell>
        </row>
        <row r="717">
          <cell r="K717">
            <v>165</v>
          </cell>
        </row>
        <row r="994">
          <cell r="K994">
            <v>895.27</v>
          </cell>
        </row>
        <row r="1020">
          <cell r="K1020">
            <v>897.27</v>
          </cell>
        </row>
        <row r="1058">
          <cell r="K1058">
            <v>982.27</v>
          </cell>
        </row>
        <row r="1098">
          <cell r="K1098">
            <v>691.34</v>
          </cell>
        </row>
        <row r="1145">
          <cell r="K1145">
            <v>177.06</v>
          </cell>
        </row>
      </sheetData>
      <sheetData sheetId="9" refreshError="1"/>
      <sheetData sheetId="10">
        <row r="73">
          <cell r="AU73">
            <v>7629.7</v>
          </cell>
        </row>
        <row r="88">
          <cell r="K88">
            <v>269.77999999999997</v>
          </cell>
        </row>
        <row r="99">
          <cell r="AU99">
            <v>7643.1</v>
          </cell>
        </row>
        <row r="144">
          <cell r="K144">
            <v>1790.95</v>
          </cell>
        </row>
        <row r="204">
          <cell r="K204">
            <v>5322.84</v>
          </cell>
        </row>
        <row r="344">
          <cell r="R344">
            <v>563.54</v>
          </cell>
        </row>
        <row r="1193">
          <cell r="K1193">
            <v>70.150000000000006</v>
          </cell>
        </row>
        <row r="1264">
          <cell r="K1264">
            <v>1313.93</v>
          </cell>
        </row>
        <row r="1278">
          <cell r="K1278">
            <v>1501.96</v>
          </cell>
        </row>
        <row r="1312">
          <cell r="K1312">
            <v>501.82</v>
          </cell>
        </row>
        <row r="1553">
          <cell r="K1553">
            <v>150.47</v>
          </cell>
        </row>
        <row r="1796">
          <cell r="K1796">
            <v>20100</v>
          </cell>
        </row>
        <row r="1882">
          <cell r="K1882">
            <v>257.7</v>
          </cell>
        </row>
        <row r="1890">
          <cell r="K1890">
            <v>276.02</v>
          </cell>
        </row>
        <row r="1977">
          <cell r="K1977">
            <v>3658.61</v>
          </cell>
        </row>
        <row r="2063">
          <cell r="K2063">
            <v>773.99</v>
          </cell>
        </row>
        <row r="2119">
          <cell r="K2119">
            <v>160</v>
          </cell>
        </row>
        <row r="2277">
          <cell r="K2277">
            <v>571</v>
          </cell>
        </row>
        <row r="2716">
          <cell r="K2716">
            <v>69.62</v>
          </cell>
        </row>
        <row r="3038">
          <cell r="K3038">
            <v>1552.7</v>
          </cell>
        </row>
        <row r="3115">
          <cell r="AI3115">
            <v>509</v>
          </cell>
        </row>
        <row r="3216">
          <cell r="K3216">
            <v>106.84</v>
          </cell>
        </row>
        <row r="3348">
          <cell r="K3348">
            <v>141.26</v>
          </cell>
        </row>
        <row r="3358">
          <cell r="K3358">
            <v>182.7</v>
          </cell>
        </row>
        <row r="3709">
          <cell r="K3709">
            <v>1068.3599999999999</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pile data ( M30 grade) (2)"/>
      <sheetName val="Abstract "/>
      <sheetName val="G. Abstract"/>
      <sheetName val="2 in 1 incl. F.E."/>
      <sheetName val="pile data "/>
      <sheetName val="  Coastal  Elec.Data "/>
      <sheetName val="lead  charge"/>
      <sheetName val="Elec.Data"/>
      <sheetName val="Sliding and french window"/>
      <sheetName val="Chart1"/>
      <sheetName val="Data"/>
      <sheetName val="buildingfinal"/>
      <sheetName val="Sheet1"/>
      <sheetName val="Sheet2"/>
    </sheetNames>
    <sheetDataSet>
      <sheetData sheetId="0"/>
      <sheetData sheetId="1"/>
      <sheetData sheetId="2"/>
      <sheetData sheetId="3"/>
      <sheetData sheetId="4"/>
      <sheetData sheetId="5"/>
      <sheetData sheetId="6"/>
      <sheetData sheetId="7">
        <row r="650">
          <cell r="K650">
            <v>1345.34</v>
          </cell>
        </row>
        <row r="716">
          <cell r="K716">
            <v>165</v>
          </cell>
        </row>
        <row r="807">
          <cell r="R807">
            <v>3459</v>
          </cell>
        </row>
        <row r="993">
          <cell r="K993">
            <v>922.28</v>
          </cell>
        </row>
        <row r="1019">
          <cell r="K1019">
            <v>924.28</v>
          </cell>
        </row>
        <row r="1057">
          <cell r="K1057">
            <v>1008.47</v>
          </cell>
        </row>
        <row r="1096">
          <cell r="K1096">
            <v>708.83</v>
          </cell>
        </row>
      </sheetData>
      <sheetData sheetId="8"/>
      <sheetData sheetId="9" refreshError="1"/>
      <sheetData sheetId="10">
        <row r="73">
          <cell r="AU73">
            <v>7829.37</v>
          </cell>
        </row>
        <row r="88">
          <cell r="K88">
            <v>284.5</v>
          </cell>
        </row>
        <row r="99">
          <cell r="AU99">
            <v>7847.63</v>
          </cell>
        </row>
        <row r="204">
          <cell r="K204">
            <v>5488.73</v>
          </cell>
        </row>
        <row r="219">
          <cell r="K219">
            <v>7103.88</v>
          </cell>
        </row>
        <row r="344">
          <cell r="R344">
            <v>590.97</v>
          </cell>
        </row>
        <row r="559">
          <cell r="X559">
            <v>1931.31</v>
          </cell>
        </row>
        <row r="718">
          <cell r="X718">
            <v>8936.0499999999993</v>
          </cell>
        </row>
        <row r="1193">
          <cell r="K1193">
            <v>70.150000000000006</v>
          </cell>
        </row>
        <row r="1213">
          <cell r="K1213">
            <v>601.05999999999995</v>
          </cell>
        </row>
        <row r="1312">
          <cell r="K1312">
            <v>523.78</v>
          </cell>
        </row>
        <row r="1400">
          <cell r="K1400">
            <v>294.49</v>
          </cell>
        </row>
        <row r="1414">
          <cell r="K1414">
            <v>300.91000000000003</v>
          </cell>
        </row>
        <row r="1553">
          <cell r="K1553">
            <v>155.88</v>
          </cell>
        </row>
        <row r="1608">
          <cell r="K1608">
            <v>95263.1</v>
          </cell>
        </row>
        <row r="1795">
          <cell r="L1795">
            <v>20100</v>
          </cell>
        </row>
        <row r="1882">
          <cell r="K1882">
            <v>268.35000000000002</v>
          </cell>
        </row>
        <row r="1890">
          <cell r="K1890">
            <v>285.82</v>
          </cell>
        </row>
        <row r="1978">
          <cell r="R1978">
            <v>3753.28</v>
          </cell>
        </row>
        <row r="2063">
          <cell r="K2063">
            <v>799.19</v>
          </cell>
        </row>
        <row r="2098">
          <cell r="K2098">
            <v>454</v>
          </cell>
        </row>
        <row r="2119">
          <cell r="K2119">
            <v>160</v>
          </cell>
        </row>
        <row r="2277">
          <cell r="K2277">
            <v>601</v>
          </cell>
        </row>
        <row r="2354">
          <cell r="I2354">
            <v>999.91</v>
          </cell>
        </row>
        <row r="2356">
          <cell r="I2356">
            <v>1108.22</v>
          </cell>
        </row>
        <row r="2716">
          <cell r="K2716">
            <v>73.14</v>
          </cell>
        </row>
        <row r="3038">
          <cell r="K3038">
            <v>1552.7</v>
          </cell>
        </row>
        <row r="3115">
          <cell r="AI3115">
            <v>518</v>
          </cell>
        </row>
        <row r="3216">
          <cell r="K3216">
            <v>110.89</v>
          </cell>
        </row>
        <row r="3677">
          <cell r="K3677">
            <v>518.25</v>
          </cell>
        </row>
      </sheetData>
      <sheetData sheetId="11"/>
      <sheetData sheetId="12"/>
      <sheetData sheetId="13"/>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ile data ( M30 grade) (2)"/>
      <sheetName val="  Coastal  Elec.Data  (2)"/>
      <sheetName val="Abstract "/>
      <sheetName val="G. Abstract"/>
      <sheetName val="2 in 1 incl. F.E."/>
      <sheetName val="pile data "/>
      <sheetName val="  Coastal  Elec.Data "/>
      <sheetName val="lead  charge"/>
      <sheetName val="Elec.Data"/>
      <sheetName val="Sliding and french window"/>
      <sheetName val="Data"/>
      <sheetName val="buildingfinal"/>
      <sheetName val="TWAD "/>
    </sheetNames>
    <sheetDataSet>
      <sheetData sheetId="0"/>
      <sheetData sheetId="1"/>
      <sheetData sheetId="2"/>
      <sheetData sheetId="3"/>
      <sheetData sheetId="4"/>
      <sheetData sheetId="5"/>
      <sheetData sheetId="6"/>
      <sheetData sheetId="7"/>
      <sheetData sheetId="8">
        <row r="288">
          <cell r="K288">
            <v>407.08</v>
          </cell>
        </row>
        <row r="1132">
          <cell r="K1132">
            <v>149.51</v>
          </cell>
        </row>
      </sheetData>
      <sheetData sheetId="9"/>
      <sheetData sheetId="10"/>
      <sheetData sheetId="11"/>
      <sheetData sheetId="12"/>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ile data ( M30 grade) (2)"/>
      <sheetName val="  Coastal  Elec.Data  (2)"/>
      <sheetName val="Abstract "/>
      <sheetName val="G. Abstract"/>
      <sheetName val="2 in 1 incl. F.E."/>
      <sheetName val="pile data "/>
      <sheetName val="  Coastal  Elec.Data "/>
      <sheetName val="lead  charge"/>
      <sheetName val="Elec.Data"/>
      <sheetName val="Sliding and french window"/>
      <sheetName val="Data"/>
      <sheetName val="Gen-Abs"/>
      <sheetName val="Detail-Main"/>
      <sheetName val="Sump-Det"/>
      <sheetName val="Sump-design"/>
      <sheetName val="ST-Main"/>
      <sheetName val="ST-design"/>
      <sheetName val="Sullage-Main"/>
      <sheetName val="CC Road-Main"/>
      <sheetName val="CW-Detail"/>
      <sheetName val="EWSA-Main"/>
      <sheetName val="Ext-Elce"/>
      <sheetName val="est data"/>
      <sheetName val="Sheet1"/>
      <sheetName val="ewsa abs"/>
      <sheetName val="ST A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4">
          <cell r="B4">
            <v>19.5</v>
          </cell>
        </row>
        <row r="5">
          <cell r="B5">
            <v>2.82</v>
          </cell>
        </row>
        <row r="9">
          <cell r="B9">
            <v>1.3</v>
          </cell>
        </row>
        <row r="11">
          <cell r="B11">
            <v>0.5</v>
          </cell>
        </row>
        <row r="12">
          <cell r="B12">
            <v>8.5500000000000007</v>
          </cell>
        </row>
        <row r="13">
          <cell r="B13">
            <v>15.11</v>
          </cell>
        </row>
        <row r="17">
          <cell r="B17">
            <v>10</v>
          </cell>
        </row>
        <row r="23">
          <cell r="F23">
            <v>171439.56</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ile data ( M30 grade) (2)"/>
      <sheetName val="  Coastal  Elec.Data  (2)"/>
      <sheetName val="Abstract "/>
      <sheetName val="G. Abstract"/>
      <sheetName val="2 in 1 incl. F.E."/>
      <sheetName val="pile data "/>
      <sheetName val="  Coastal  Elec.Data "/>
      <sheetName val="lead  charge"/>
      <sheetName val="Elec.Data"/>
      <sheetName val="Sliding and french window"/>
      <sheetName val="Data"/>
      <sheetName val="buildingfinal"/>
      <sheetName val="TWAD "/>
    </sheetNames>
    <sheetDataSet>
      <sheetData sheetId="0"/>
      <sheetData sheetId="1"/>
      <sheetData sheetId="2"/>
      <sheetData sheetId="3"/>
      <sheetData sheetId="4"/>
      <sheetData sheetId="5"/>
      <sheetData sheetId="6"/>
      <sheetData sheetId="7">
        <row r="10">
          <cell r="E10">
            <v>18</v>
          </cell>
          <cell r="F10">
            <v>196.18</v>
          </cell>
          <cell r="H10">
            <v>37</v>
          </cell>
          <cell r="I10">
            <v>305.04000000000002</v>
          </cell>
          <cell r="N10">
            <v>37</v>
          </cell>
          <cell r="O10">
            <v>508.75</v>
          </cell>
          <cell r="Q10">
            <v>37</v>
          </cell>
          <cell r="R10">
            <v>248.6</v>
          </cell>
        </row>
        <row r="11">
          <cell r="E11">
            <v>25</v>
          </cell>
          <cell r="F11">
            <v>258.95</v>
          </cell>
          <cell r="L11">
            <v>203.625</v>
          </cell>
          <cell r="R11">
            <v>0</v>
          </cell>
        </row>
        <row r="12">
          <cell r="E12">
            <v>18</v>
          </cell>
          <cell r="F12">
            <v>196.18</v>
          </cell>
          <cell r="Q12">
            <v>37</v>
          </cell>
          <cell r="R12">
            <v>248.6</v>
          </cell>
        </row>
        <row r="13">
          <cell r="E13">
            <v>37</v>
          </cell>
          <cell r="F13">
            <v>361.79</v>
          </cell>
          <cell r="Q13">
            <v>18</v>
          </cell>
          <cell r="R13">
            <v>134.62</v>
          </cell>
        </row>
        <row r="14">
          <cell r="E14">
            <v>37</v>
          </cell>
          <cell r="F14">
            <v>226.22</v>
          </cell>
        </row>
        <row r="15">
          <cell r="E15">
            <v>37</v>
          </cell>
        </row>
        <row r="16">
          <cell r="E16">
            <v>37</v>
          </cell>
          <cell r="F16">
            <v>361.79</v>
          </cell>
        </row>
        <row r="36">
          <cell r="B36">
            <v>11</v>
          </cell>
          <cell r="C36">
            <v>105.92</v>
          </cell>
          <cell r="D36">
            <v>11</v>
          </cell>
          <cell r="E36">
            <v>194.1</v>
          </cell>
          <cell r="G36">
            <v>11</v>
          </cell>
          <cell r="H36">
            <v>143</v>
          </cell>
          <cell r="J36">
            <v>11</v>
          </cell>
          <cell r="K36">
            <v>190.86</v>
          </cell>
          <cell r="M36">
            <v>11</v>
          </cell>
          <cell r="N36">
            <v>238.7</v>
          </cell>
          <cell r="P36">
            <v>11</v>
          </cell>
          <cell r="Q36">
            <v>116.84</v>
          </cell>
        </row>
        <row r="43">
          <cell r="P43">
            <v>11</v>
          </cell>
          <cell r="Q43">
            <v>116.84</v>
          </cell>
        </row>
        <row r="50">
          <cell r="D50">
            <v>11</v>
          </cell>
          <cell r="E50">
            <v>182.18</v>
          </cell>
        </row>
        <row r="58">
          <cell r="D58">
            <v>11</v>
          </cell>
        </row>
      </sheetData>
      <sheetData sheetId="8">
        <row r="29">
          <cell r="K29">
            <v>1694.18</v>
          </cell>
        </row>
        <row r="53">
          <cell r="K53">
            <v>1697.18</v>
          </cell>
        </row>
        <row r="68">
          <cell r="K68">
            <v>1734.18</v>
          </cell>
        </row>
        <row r="90">
          <cell r="K90">
            <v>1769.18</v>
          </cell>
        </row>
        <row r="114">
          <cell r="K114">
            <v>3180.35</v>
          </cell>
        </row>
        <row r="134">
          <cell r="K134">
            <v>1175.78</v>
          </cell>
        </row>
        <row r="146">
          <cell r="K146">
            <v>869.5</v>
          </cell>
        </row>
        <row r="157">
          <cell r="K157">
            <v>150</v>
          </cell>
        </row>
        <row r="249">
          <cell r="K249">
            <v>215.45</v>
          </cell>
        </row>
        <row r="274">
          <cell r="K274">
            <v>273.45</v>
          </cell>
        </row>
        <row r="304">
          <cell r="K304">
            <v>529.20000000000005</v>
          </cell>
        </row>
        <row r="342">
          <cell r="K342">
            <v>1372.85</v>
          </cell>
        </row>
        <row r="390">
          <cell r="K390">
            <v>3466.34</v>
          </cell>
        </row>
        <row r="402">
          <cell r="K402">
            <v>4248.34</v>
          </cell>
        </row>
        <row r="447">
          <cell r="K447">
            <v>601.20000000000005</v>
          </cell>
        </row>
        <row r="464">
          <cell r="K464">
            <v>27.13</v>
          </cell>
        </row>
        <row r="489">
          <cell r="K489">
            <v>2997.6</v>
          </cell>
        </row>
        <row r="611">
          <cell r="K611">
            <v>846</v>
          </cell>
        </row>
        <row r="628">
          <cell r="K628">
            <v>2717.8</v>
          </cell>
        </row>
        <row r="808">
          <cell r="K808">
            <v>3037.67</v>
          </cell>
        </row>
        <row r="882">
          <cell r="K882">
            <v>77.010000000000005</v>
          </cell>
        </row>
        <row r="914">
          <cell r="K914">
            <v>2363</v>
          </cell>
        </row>
        <row r="932">
          <cell r="K932">
            <v>2176.4</v>
          </cell>
        </row>
      </sheetData>
      <sheetData sheetId="9"/>
      <sheetData sheetId="10"/>
      <sheetData sheetId="11"/>
      <sheetData sheetId="12">
        <row r="4">
          <cell r="C4">
            <v>9.35</v>
          </cell>
        </row>
        <row r="5">
          <cell r="C5">
            <v>9.35</v>
          </cell>
        </row>
        <row r="6">
          <cell r="C6">
            <v>11.2</v>
          </cell>
        </row>
        <row r="7">
          <cell r="C7">
            <v>13.55</v>
          </cell>
        </row>
        <row r="8">
          <cell r="C8">
            <v>18.3</v>
          </cell>
        </row>
        <row r="9">
          <cell r="C9">
            <v>23.5</v>
          </cell>
        </row>
        <row r="10">
          <cell r="C10">
            <v>25.5</v>
          </cell>
        </row>
        <row r="11">
          <cell r="C11">
            <v>13.35</v>
          </cell>
        </row>
        <row r="12">
          <cell r="C12">
            <v>13.5</v>
          </cell>
        </row>
        <row r="13">
          <cell r="C13">
            <v>28.05</v>
          </cell>
        </row>
        <row r="14">
          <cell r="C14">
            <v>37.85</v>
          </cell>
        </row>
        <row r="15">
          <cell r="C15">
            <v>42.65</v>
          </cell>
        </row>
        <row r="16">
          <cell r="C16">
            <v>47.35</v>
          </cell>
        </row>
      </sheetData>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pile data "/>
      <sheetName val="  Coastal  Elec.Data "/>
      <sheetName val="lead  charge"/>
      <sheetName val="Elec.Data"/>
      <sheetName val="Data"/>
      <sheetName val="Sliding and french window"/>
      <sheetName val="building"/>
      <sheetName val="Sheet1"/>
    </sheetNames>
    <sheetDataSet>
      <sheetData sheetId="0" refreshError="1"/>
      <sheetData sheetId="1" refreshError="1"/>
      <sheetData sheetId="2" refreshError="1"/>
      <sheetData sheetId="3" refreshError="1">
        <row r="29">
          <cell r="K29">
            <v>1630</v>
          </cell>
        </row>
        <row r="936">
          <cell r="K936">
            <v>1552.7</v>
          </cell>
        </row>
      </sheetData>
      <sheetData sheetId="4" refreshError="1"/>
      <sheetData sheetId="5" refreshError="1"/>
      <sheetData sheetId="6" refreshError="1"/>
      <sheetData sheetId="7"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pile data ( M30 grade) (2)"/>
      <sheetName val="2 in 1 incl. F.E."/>
      <sheetName val="pile data "/>
      <sheetName val="  Coastal  Elec.Data "/>
      <sheetName val="lead  charge"/>
      <sheetName val="Elec.Data"/>
      <sheetName val="Data"/>
      <sheetName val="Sliding and french window"/>
      <sheetName val="Data (2)"/>
      <sheetName val="building"/>
      <sheetName val="printing data"/>
      <sheetName val="Sheet1"/>
      <sheetName val="Sheet2"/>
      <sheetName val="Sheet4"/>
      <sheetName val="open (coach)"/>
      <sheetName val="Mdu elec"/>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3597">
          <cell r="X3597">
            <v>213.6</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G:\2273" TargetMode="External"/></Relationships>
</file>

<file path=xl/worksheets/sheet1.xml><?xml version="1.0" encoding="utf-8"?>
<worksheet xmlns="http://schemas.openxmlformats.org/spreadsheetml/2006/main" xmlns:r="http://schemas.openxmlformats.org/officeDocument/2006/relationships">
  <sheetPr>
    <tabColor rgb="FF00B050"/>
  </sheetPr>
  <dimension ref="A1:R150"/>
  <sheetViews>
    <sheetView topLeftCell="A21" workbookViewId="0">
      <selection activeCell="J21" sqref="J21"/>
    </sheetView>
  </sheetViews>
  <sheetFormatPr defaultRowHeight="15.75"/>
  <cols>
    <col min="1" max="1" width="9.140625" style="157"/>
    <col min="2" max="2" width="48.85546875" style="101" customWidth="1"/>
    <col min="3" max="3" width="6.140625" style="101" customWidth="1"/>
    <col min="4" max="4" width="8.5703125" style="101" customWidth="1"/>
    <col min="5" max="5" width="7.7109375" style="101" customWidth="1"/>
    <col min="6" max="6" width="8.5703125" style="101" customWidth="1"/>
    <col min="7" max="7" width="7.140625" style="101" customWidth="1"/>
    <col min="8" max="8" width="10.85546875" style="101" customWidth="1"/>
    <col min="9" max="256" width="9.140625" style="101"/>
    <col min="257" max="257" width="24.7109375" style="101" customWidth="1"/>
    <col min="258" max="258" width="5.42578125" style="101" customWidth="1"/>
    <col min="259" max="259" width="8.5703125" style="101" customWidth="1"/>
    <col min="260" max="260" width="6.85546875" style="101" customWidth="1"/>
    <col min="261" max="261" width="7.7109375" style="101" customWidth="1"/>
    <col min="262" max="262" width="8.5703125" style="101" customWidth="1"/>
    <col min="263" max="263" width="7.140625" style="101" customWidth="1"/>
    <col min="264" max="264" width="10.85546875" style="101" customWidth="1"/>
    <col min="265" max="512" width="9.140625" style="101"/>
    <col min="513" max="513" width="24.7109375" style="101" customWidth="1"/>
    <col min="514" max="514" width="5.42578125" style="101" customWidth="1"/>
    <col min="515" max="515" width="8.5703125" style="101" customWidth="1"/>
    <col min="516" max="516" width="6.85546875" style="101" customWidth="1"/>
    <col min="517" max="517" width="7.7109375" style="101" customWidth="1"/>
    <col min="518" max="518" width="8.5703125" style="101" customWidth="1"/>
    <col min="519" max="519" width="7.140625" style="101" customWidth="1"/>
    <col min="520" max="520" width="10.85546875" style="101" customWidth="1"/>
    <col min="521" max="768" width="9.140625" style="101"/>
    <col min="769" max="769" width="24.7109375" style="101" customWidth="1"/>
    <col min="770" max="770" width="5.42578125" style="101" customWidth="1"/>
    <col min="771" max="771" width="8.5703125" style="101" customWidth="1"/>
    <col min="772" max="772" width="6.85546875" style="101" customWidth="1"/>
    <col min="773" max="773" width="7.7109375" style="101" customWidth="1"/>
    <col min="774" max="774" width="8.5703125" style="101" customWidth="1"/>
    <col min="775" max="775" width="7.140625" style="101" customWidth="1"/>
    <col min="776" max="776" width="10.85546875" style="101" customWidth="1"/>
    <col min="777" max="1024" width="9.140625" style="101"/>
    <col min="1025" max="1025" width="24.7109375" style="101" customWidth="1"/>
    <col min="1026" max="1026" width="5.42578125" style="101" customWidth="1"/>
    <col min="1027" max="1027" width="8.5703125" style="101" customWidth="1"/>
    <col min="1028" max="1028" width="6.85546875" style="101" customWidth="1"/>
    <col min="1029" max="1029" width="7.7109375" style="101" customWidth="1"/>
    <col min="1030" max="1030" width="8.5703125" style="101" customWidth="1"/>
    <col min="1031" max="1031" width="7.140625" style="101" customWidth="1"/>
    <col min="1032" max="1032" width="10.85546875" style="101" customWidth="1"/>
    <col min="1033" max="1280" width="9.140625" style="101"/>
    <col min="1281" max="1281" width="24.7109375" style="101" customWidth="1"/>
    <col min="1282" max="1282" width="5.42578125" style="101" customWidth="1"/>
    <col min="1283" max="1283" width="8.5703125" style="101" customWidth="1"/>
    <col min="1284" max="1284" width="6.85546875" style="101" customWidth="1"/>
    <col min="1285" max="1285" width="7.7109375" style="101" customWidth="1"/>
    <col min="1286" max="1286" width="8.5703125" style="101" customWidth="1"/>
    <col min="1287" max="1287" width="7.140625" style="101" customWidth="1"/>
    <col min="1288" max="1288" width="10.85546875" style="101" customWidth="1"/>
    <col min="1289" max="1536" width="9.140625" style="101"/>
    <col min="1537" max="1537" width="24.7109375" style="101" customWidth="1"/>
    <col min="1538" max="1538" width="5.42578125" style="101" customWidth="1"/>
    <col min="1539" max="1539" width="8.5703125" style="101" customWidth="1"/>
    <col min="1540" max="1540" width="6.85546875" style="101" customWidth="1"/>
    <col min="1541" max="1541" width="7.7109375" style="101" customWidth="1"/>
    <col min="1542" max="1542" width="8.5703125" style="101" customWidth="1"/>
    <col min="1543" max="1543" width="7.140625" style="101" customWidth="1"/>
    <col min="1544" max="1544" width="10.85546875" style="101" customWidth="1"/>
    <col min="1545" max="1792" width="9.140625" style="101"/>
    <col min="1793" max="1793" width="24.7109375" style="101" customWidth="1"/>
    <col min="1794" max="1794" width="5.42578125" style="101" customWidth="1"/>
    <col min="1795" max="1795" width="8.5703125" style="101" customWidth="1"/>
    <col min="1796" max="1796" width="6.85546875" style="101" customWidth="1"/>
    <col min="1797" max="1797" width="7.7109375" style="101" customWidth="1"/>
    <col min="1798" max="1798" width="8.5703125" style="101" customWidth="1"/>
    <col min="1799" max="1799" width="7.140625" style="101" customWidth="1"/>
    <col min="1800" max="1800" width="10.85546875" style="101" customWidth="1"/>
    <col min="1801" max="2048" width="9.140625" style="101"/>
    <col min="2049" max="2049" width="24.7109375" style="101" customWidth="1"/>
    <col min="2050" max="2050" width="5.42578125" style="101" customWidth="1"/>
    <col min="2051" max="2051" width="8.5703125" style="101" customWidth="1"/>
    <col min="2052" max="2052" width="6.85546875" style="101" customWidth="1"/>
    <col min="2053" max="2053" width="7.7109375" style="101" customWidth="1"/>
    <col min="2054" max="2054" width="8.5703125" style="101" customWidth="1"/>
    <col min="2055" max="2055" width="7.140625" style="101" customWidth="1"/>
    <col min="2056" max="2056" width="10.85546875" style="101" customWidth="1"/>
    <col min="2057" max="2304" width="9.140625" style="101"/>
    <col min="2305" max="2305" width="24.7109375" style="101" customWidth="1"/>
    <col min="2306" max="2306" width="5.42578125" style="101" customWidth="1"/>
    <col min="2307" max="2307" width="8.5703125" style="101" customWidth="1"/>
    <col min="2308" max="2308" width="6.85546875" style="101" customWidth="1"/>
    <col min="2309" max="2309" width="7.7109375" style="101" customWidth="1"/>
    <col min="2310" max="2310" width="8.5703125" style="101" customWidth="1"/>
    <col min="2311" max="2311" width="7.140625" style="101" customWidth="1"/>
    <col min="2312" max="2312" width="10.85546875" style="101" customWidth="1"/>
    <col min="2313" max="2560" width="9.140625" style="101"/>
    <col min="2561" max="2561" width="24.7109375" style="101" customWidth="1"/>
    <col min="2562" max="2562" width="5.42578125" style="101" customWidth="1"/>
    <col min="2563" max="2563" width="8.5703125" style="101" customWidth="1"/>
    <col min="2564" max="2564" width="6.85546875" style="101" customWidth="1"/>
    <col min="2565" max="2565" width="7.7109375" style="101" customWidth="1"/>
    <col min="2566" max="2566" width="8.5703125" style="101" customWidth="1"/>
    <col min="2567" max="2567" width="7.140625" style="101" customWidth="1"/>
    <col min="2568" max="2568" width="10.85546875" style="101" customWidth="1"/>
    <col min="2569" max="2816" width="9.140625" style="101"/>
    <col min="2817" max="2817" width="24.7109375" style="101" customWidth="1"/>
    <col min="2818" max="2818" width="5.42578125" style="101" customWidth="1"/>
    <col min="2819" max="2819" width="8.5703125" style="101" customWidth="1"/>
    <col min="2820" max="2820" width="6.85546875" style="101" customWidth="1"/>
    <col min="2821" max="2821" width="7.7109375" style="101" customWidth="1"/>
    <col min="2822" max="2822" width="8.5703125" style="101" customWidth="1"/>
    <col min="2823" max="2823" width="7.140625" style="101" customWidth="1"/>
    <col min="2824" max="2824" width="10.85546875" style="101" customWidth="1"/>
    <col min="2825" max="3072" width="9.140625" style="101"/>
    <col min="3073" max="3073" width="24.7109375" style="101" customWidth="1"/>
    <col min="3074" max="3074" width="5.42578125" style="101" customWidth="1"/>
    <col min="3075" max="3075" width="8.5703125" style="101" customWidth="1"/>
    <col min="3076" max="3076" width="6.85546875" style="101" customWidth="1"/>
    <col min="3077" max="3077" width="7.7109375" style="101" customWidth="1"/>
    <col min="3078" max="3078" width="8.5703125" style="101" customWidth="1"/>
    <col min="3079" max="3079" width="7.140625" style="101" customWidth="1"/>
    <col min="3080" max="3080" width="10.85546875" style="101" customWidth="1"/>
    <col min="3081" max="3328" width="9.140625" style="101"/>
    <col min="3329" max="3329" width="24.7109375" style="101" customWidth="1"/>
    <col min="3330" max="3330" width="5.42578125" style="101" customWidth="1"/>
    <col min="3331" max="3331" width="8.5703125" style="101" customWidth="1"/>
    <col min="3332" max="3332" width="6.85546875" style="101" customWidth="1"/>
    <col min="3333" max="3333" width="7.7109375" style="101" customWidth="1"/>
    <col min="3334" max="3334" width="8.5703125" style="101" customWidth="1"/>
    <col min="3335" max="3335" width="7.140625" style="101" customWidth="1"/>
    <col min="3336" max="3336" width="10.85546875" style="101" customWidth="1"/>
    <col min="3337" max="3584" width="9.140625" style="101"/>
    <col min="3585" max="3585" width="24.7109375" style="101" customWidth="1"/>
    <col min="3586" max="3586" width="5.42578125" style="101" customWidth="1"/>
    <col min="3587" max="3587" width="8.5703125" style="101" customWidth="1"/>
    <col min="3588" max="3588" width="6.85546875" style="101" customWidth="1"/>
    <col min="3589" max="3589" width="7.7109375" style="101" customWidth="1"/>
    <col min="3590" max="3590" width="8.5703125" style="101" customWidth="1"/>
    <col min="3591" max="3591" width="7.140625" style="101" customWidth="1"/>
    <col min="3592" max="3592" width="10.85546875" style="101" customWidth="1"/>
    <col min="3593" max="3840" width="9.140625" style="101"/>
    <col min="3841" max="3841" width="24.7109375" style="101" customWidth="1"/>
    <col min="3842" max="3842" width="5.42578125" style="101" customWidth="1"/>
    <col min="3843" max="3843" width="8.5703125" style="101" customWidth="1"/>
    <col min="3844" max="3844" width="6.85546875" style="101" customWidth="1"/>
    <col min="3845" max="3845" width="7.7109375" style="101" customWidth="1"/>
    <col min="3846" max="3846" width="8.5703125" style="101" customWidth="1"/>
    <col min="3847" max="3847" width="7.140625" style="101" customWidth="1"/>
    <col min="3848" max="3848" width="10.85546875" style="101" customWidth="1"/>
    <col min="3849" max="4096" width="9.140625" style="101"/>
    <col min="4097" max="4097" width="24.7109375" style="101" customWidth="1"/>
    <col min="4098" max="4098" width="5.42578125" style="101" customWidth="1"/>
    <col min="4099" max="4099" width="8.5703125" style="101" customWidth="1"/>
    <col min="4100" max="4100" width="6.85546875" style="101" customWidth="1"/>
    <col min="4101" max="4101" width="7.7109375" style="101" customWidth="1"/>
    <col min="4102" max="4102" width="8.5703125" style="101" customWidth="1"/>
    <col min="4103" max="4103" width="7.140625" style="101" customWidth="1"/>
    <col min="4104" max="4104" width="10.85546875" style="101" customWidth="1"/>
    <col min="4105" max="4352" width="9.140625" style="101"/>
    <col min="4353" max="4353" width="24.7109375" style="101" customWidth="1"/>
    <col min="4354" max="4354" width="5.42578125" style="101" customWidth="1"/>
    <col min="4355" max="4355" width="8.5703125" style="101" customWidth="1"/>
    <col min="4356" max="4356" width="6.85546875" style="101" customWidth="1"/>
    <col min="4357" max="4357" width="7.7109375" style="101" customWidth="1"/>
    <col min="4358" max="4358" width="8.5703125" style="101" customWidth="1"/>
    <col min="4359" max="4359" width="7.140625" style="101" customWidth="1"/>
    <col min="4360" max="4360" width="10.85546875" style="101" customWidth="1"/>
    <col min="4361" max="4608" width="9.140625" style="101"/>
    <col min="4609" max="4609" width="24.7109375" style="101" customWidth="1"/>
    <col min="4610" max="4610" width="5.42578125" style="101" customWidth="1"/>
    <col min="4611" max="4611" width="8.5703125" style="101" customWidth="1"/>
    <col min="4612" max="4612" width="6.85546875" style="101" customWidth="1"/>
    <col min="4613" max="4613" width="7.7109375" style="101" customWidth="1"/>
    <col min="4614" max="4614" width="8.5703125" style="101" customWidth="1"/>
    <col min="4615" max="4615" width="7.140625" style="101" customWidth="1"/>
    <col min="4616" max="4616" width="10.85546875" style="101" customWidth="1"/>
    <col min="4617" max="4864" width="9.140625" style="101"/>
    <col min="4865" max="4865" width="24.7109375" style="101" customWidth="1"/>
    <col min="4866" max="4866" width="5.42578125" style="101" customWidth="1"/>
    <col min="4867" max="4867" width="8.5703125" style="101" customWidth="1"/>
    <col min="4868" max="4868" width="6.85546875" style="101" customWidth="1"/>
    <col min="4869" max="4869" width="7.7109375" style="101" customWidth="1"/>
    <col min="4870" max="4870" width="8.5703125" style="101" customWidth="1"/>
    <col min="4871" max="4871" width="7.140625" style="101" customWidth="1"/>
    <col min="4872" max="4872" width="10.85546875" style="101" customWidth="1"/>
    <col min="4873" max="5120" width="9.140625" style="101"/>
    <col min="5121" max="5121" width="24.7109375" style="101" customWidth="1"/>
    <col min="5122" max="5122" width="5.42578125" style="101" customWidth="1"/>
    <col min="5123" max="5123" width="8.5703125" style="101" customWidth="1"/>
    <col min="5124" max="5124" width="6.85546875" style="101" customWidth="1"/>
    <col min="5125" max="5125" width="7.7109375" style="101" customWidth="1"/>
    <col min="5126" max="5126" width="8.5703125" style="101" customWidth="1"/>
    <col min="5127" max="5127" width="7.140625" style="101" customWidth="1"/>
    <col min="5128" max="5128" width="10.85546875" style="101" customWidth="1"/>
    <col min="5129" max="5376" width="9.140625" style="101"/>
    <col min="5377" max="5377" width="24.7109375" style="101" customWidth="1"/>
    <col min="5378" max="5378" width="5.42578125" style="101" customWidth="1"/>
    <col min="5379" max="5379" width="8.5703125" style="101" customWidth="1"/>
    <col min="5380" max="5380" width="6.85546875" style="101" customWidth="1"/>
    <col min="5381" max="5381" width="7.7109375" style="101" customWidth="1"/>
    <col min="5382" max="5382" width="8.5703125" style="101" customWidth="1"/>
    <col min="5383" max="5383" width="7.140625" style="101" customWidth="1"/>
    <col min="5384" max="5384" width="10.85546875" style="101" customWidth="1"/>
    <col min="5385" max="5632" width="9.140625" style="101"/>
    <col min="5633" max="5633" width="24.7109375" style="101" customWidth="1"/>
    <col min="5634" max="5634" width="5.42578125" style="101" customWidth="1"/>
    <col min="5635" max="5635" width="8.5703125" style="101" customWidth="1"/>
    <col min="5636" max="5636" width="6.85546875" style="101" customWidth="1"/>
    <col min="5637" max="5637" width="7.7109375" style="101" customWidth="1"/>
    <col min="5638" max="5638" width="8.5703125" style="101" customWidth="1"/>
    <col min="5639" max="5639" width="7.140625" style="101" customWidth="1"/>
    <col min="5640" max="5640" width="10.85546875" style="101" customWidth="1"/>
    <col min="5641" max="5888" width="9.140625" style="101"/>
    <col min="5889" max="5889" width="24.7109375" style="101" customWidth="1"/>
    <col min="5890" max="5890" width="5.42578125" style="101" customWidth="1"/>
    <col min="5891" max="5891" width="8.5703125" style="101" customWidth="1"/>
    <col min="5892" max="5892" width="6.85546875" style="101" customWidth="1"/>
    <col min="5893" max="5893" width="7.7109375" style="101" customWidth="1"/>
    <col min="5894" max="5894" width="8.5703125" style="101" customWidth="1"/>
    <col min="5895" max="5895" width="7.140625" style="101" customWidth="1"/>
    <col min="5896" max="5896" width="10.85546875" style="101" customWidth="1"/>
    <col min="5897" max="6144" width="9.140625" style="101"/>
    <col min="6145" max="6145" width="24.7109375" style="101" customWidth="1"/>
    <col min="6146" max="6146" width="5.42578125" style="101" customWidth="1"/>
    <col min="6147" max="6147" width="8.5703125" style="101" customWidth="1"/>
    <col min="6148" max="6148" width="6.85546875" style="101" customWidth="1"/>
    <col min="6149" max="6149" width="7.7109375" style="101" customWidth="1"/>
    <col min="6150" max="6150" width="8.5703125" style="101" customWidth="1"/>
    <col min="6151" max="6151" width="7.140625" style="101" customWidth="1"/>
    <col min="6152" max="6152" width="10.85546875" style="101" customWidth="1"/>
    <col min="6153" max="6400" width="9.140625" style="101"/>
    <col min="6401" max="6401" width="24.7109375" style="101" customWidth="1"/>
    <col min="6402" max="6402" width="5.42578125" style="101" customWidth="1"/>
    <col min="6403" max="6403" width="8.5703125" style="101" customWidth="1"/>
    <col min="6404" max="6404" width="6.85546875" style="101" customWidth="1"/>
    <col min="6405" max="6405" width="7.7109375" style="101" customWidth="1"/>
    <col min="6406" max="6406" width="8.5703125" style="101" customWidth="1"/>
    <col min="6407" max="6407" width="7.140625" style="101" customWidth="1"/>
    <col min="6408" max="6408" width="10.85546875" style="101" customWidth="1"/>
    <col min="6409" max="6656" width="9.140625" style="101"/>
    <col min="6657" max="6657" width="24.7109375" style="101" customWidth="1"/>
    <col min="6658" max="6658" width="5.42578125" style="101" customWidth="1"/>
    <col min="6659" max="6659" width="8.5703125" style="101" customWidth="1"/>
    <col min="6660" max="6660" width="6.85546875" style="101" customWidth="1"/>
    <col min="6661" max="6661" width="7.7109375" style="101" customWidth="1"/>
    <col min="6662" max="6662" width="8.5703125" style="101" customWidth="1"/>
    <col min="6663" max="6663" width="7.140625" style="101" customWidth="1"/>
    <col min="6664" max="6664" width="10.85546875" style="101" customWidth="1"/>
    <col min="6665" max="6912" width="9.140625" style="101"/>
    <col min="6913" max="6913" width="24.7109375" style="101" customWidth="1"/>
    <col min="6914" max="6914" width="5.42578125" style="101" customWidth="1"/>
    <col min="6915" max="6915" width="8.5703125" style="101" customWidth="1"/>
    <col min="6916" max="6916" width="6.85546875" style="101" customWidth="1"/>
    <col min="6917" max="6917" width="7.7109375" style="101" customWidth="1"/>
    <col min="6918" max="6918" width="8.5703125" style="101" customWidth="1"/>
    <col min="6919" max="6919" width="7.140625" style="101" customWidth="1"/>
    <col min="6920" max="6920" width="10.85546875" style="101" customWidth="1"/>
    <col min="6921" max="7168" width="9.140625" style="101"/>
    <col min="7169" max="7169" width="24.7109375" style="101" customWidth="1"/>
    <col min="7170" max="7170" width="5.42578125" style="101" customWidth="1"/>
    <col min="7171" max="7171" width="8.5703125" style="101" customWidth="1"/>
    <col min="7172" max="7172" width="6.85546875" style="101" customWidth="1"/>
    <col min="7173" max="7173" width="7.7109375" style="101" customWidth="1"/>
    <col min="7174" max="7174" width="8.5703125" style="101" customWidth="1"/>
    <col min="7175" max="7175" width="7.140625" style="101" customWidth="1"/>
    <col min="7176" max="7176" width="10.85546875" style="101" customWidth="1"/>
    <col min="7177" max="7424" width="9.140625" style="101"/>
    <col min="7425" max="7425" width="24.7109375" style="101" customWidth="1"/>
    <col min="7426" max="7426" width="5.42578125" style="101" customWidth="1"/>
    <col min="7427" max="7427" width="8.5703125" style="101" customWidth="1"/>
    <col min="7428" max="7428" width="6.85546875" style="101" customWidth="1"/>
    <col min="7429" max="7429" width="7.7109375" style="101" customWidth="1"/>
    <col min="7430" max="7430" width="8.5703125" style="101" customWidth="1"/>
    <col min="7431" max="7431" width="7.140625" style="101" customWidth="1"/>
    <col min="7432" max="7432" width="10.85546875" style="101" customWidth="1"/>
    <col min="7433" max="7680" width="9.140625" style="101"/>
    <col min="7681" max="7681" width="24.7109375" style="101" customWidth="1"/>
    <col min="7682" max="7682" width="5.42578125" style="101" customWidth="1"/>
    <col min="7683" max="7683" width="8.5703125" style="101" customWidth="1"/>
    <col min="7684" max="7684" width="6.85546875" style="101" customWidth="1"/>
    <col min="7685" max="7685" width="7.7109375" style="101" customWidth="1"/>
    <col min="7686" max="7686" width="8.5703125" style="101" customWidth="1"/>
    <col min="7687" max="7687" width="7.140625" style="101" customWidth="1"/>
    <col min="7688" max="7688" width="10.85546875" style="101" customWidth="1"/>
    <col min="7689" max="7936" width="9.140625" style="101"/>
    <col min="7937" max="7937" width="24.7109375" style="101" customWidth="1"/>
    <col min="7938" max="7938" width="5.42578125" style="101" customWidth="1"/>
    <col min="7939" max="7939" width="8.5703125" style="101" customWidth="1"/>
    <col min="7940" max="7940" width="6.85546875" style="101" customWidth="1"/>
    <col min="7941" max="7941" width="7.7109375" style="101" customWidth="1"/>
    <col min="7942" max="7942" width="8.5703125" style="101" customWidth="1"/>
    <col min="7943" max="7943" width="7.140625" style="101" customWidth="1"/>
    <col min="7944" max="7944" width="10.85546875" style="101" customWidth="1"/>
    <col min="7945" max="8192" width="9.140625" style="101"/>
    <col min="8193" max="8193" width="24.7109375" style="101" customWidth="1"/>
    <col min="8194" max="8194" width="5.42578125" style="101" customWidth="1"/>
    <col min="8195" max="8195" width="8.5703125" style="101" customWidth="1"/>
    <col min="8196" max="8196" width="6.85546875" style="101" customWidth="1"/>
    <col min="8197" max="8197" width="7.7109375" style="101" customWidth="1"/>
    <col min="8198" max="8198" width="8.5703125" style="101" customWidth="1"/>
    <col min="8199" max="8199" width="7.140625" style="101" customWidth="1"/>
    <col min="8200" max="8200" width="10.85546875" style="101" customWidth="1"/>
    <col min="8201" max="8448" width="9.140625" style="101"/>
    <col min="8449" max="8449" width="24.7109375" style="101" customWidth="1"/>
    <col min="8450" max="8450" width="5.42578125" style="101" customWidth="1"/>
    <col min="8451" max="8451" width="8.5703125" style="101" customWidth="1"/>
    <col min="8452" max="8452" width="6.85546875" style="101" customWidth="1"/>
    <col min="8453" max="8453" width="7.7109375" style="101" customWidth="1"/>
    <col min="8454" max="8454" width="8.5703125" style="101" customWidth="1"/>
    <col min="8455" max="8455" width="7.140625" style="101" customWidth="1"/>
    <col min="8456" max="8456" width="10.85546875" style="101" customWidth="1"/>
    <col min="8457" max="8704" width="9.140625" style="101"/>
    <col min="8705" max="8705" width="24.7109375" style="101" customWidth="1"/>
    <col min="8706" max="8706" width="5.42578125" style="101" customWidth="1"/>
    <col min="8707" max="8707" width="8.5703125" style="101" customWidth="1"/>
    <col min="8708" max="8708" width="6.85546875" style="101" customWidth="1"/>
    <col min="8709" max="8709" width="7.7109375" style="101" customWidth="1"/>
    <col min="8710" max="8710" width="8.5703125" style="101" customWidth="1"/>
    <col min="8711" max="8711" width="7.140625" style="101" customWidth="1"/>
    <col min="8712" max="8712" width="10.85546875" style="101" customWidth="1"/>
    <col min="8713" max="8960" width="9.140625" style="101"/>
    <col min="8961" max="8961" width="24.7109375" style="101" customWidth="1"/>
    <col min="8962" max="8962" width="5.42578125" style="101" customWidth="1"/>
    <col min="8963" max="8963" width="8.5703125" style="101" customWidth="1"/>
    <col min="8964" max="8964" width="6.85546875" style="101" customWidth="1"/>
    <col min="8965" max="8965" width="7.7109375" style="101" customWidth="1"/>
    <col min="8966" max="8966" width="8.5703125" style="101" customWidth="1"/>
    <col min="8967" max="8967" width="7.140625" style="101" customWidth="1"/>
    <col min="8968" max="8968" width="10.85546875" style="101" customWidth="1"/>
    <col min="8969" max="9216" width="9.140625" style="101"/>
    <col min="9217" max="9217" width="24.7109375" style="101" customWidth="1"/>
    <col min="9218" max="9218" width="5.42578125" style="101" customWidth="1"/>
    <col min="9219" max="9219" width="8.5703125" style="101" customWidth="1"/>
    <col min="9220" max="9220" width="6.85546875" style="101" customWidth="1"/>
    <col min="9221" max="9221" width="7.7109375" style="101" customWidth="1"/>
    <col min="9222" max="9222" width="8.5703125" style="101" customWidth="1"/>
    <col min="9223" max="9223" width="7.140625" style="101" customWidth="1"/>
    <col min="9224" max="9224" width="10.85546875" style="101" customWidth="1"/>
    <col min="9225" max="9472" width="9.140625" style="101"/>
    <col min="9473" max="9473" width="24.7109375" style="101" customWidth="1"/>
    <col min="9474" max="9474" width="5.42578125" style="101" customWidth="1"/>
    <col min="9475" max="9475" width="8.5703125" style="101" customWidth="1"/>
    <col min="9476" max="9476" width="6.85546875" style="101" customWidth="1"/>
    <col min="9477" max="9477" width="7.7109375" style="101" customWidth="1"/>
    <col min="9478" max="9478" width="8.5703125" style="101" customWidth="1"/>
    <col min="9479" max="9479" width="7.140625" style="101" customWidth="1"/>
    <col min="9480" max="9480" width="10.85546875" style="101" customWidth="1"/>
    <col min="9481" max="9728" width="9.140625" style="101"/>
    <col min="9729" max="9729" width="24.7109375" style="101" customWidth="1"/>
    <col min="9730" max="9730" width="5.42578125" style="101" customWidth="1"/>
    <col min="9731" max="9731" width="8.5703125" style="101" customWidth="1"/>
    <col min="9732" max="9732" width="6.85546875" style="101" customWidth="1"/>
    <col min="9733" max="9733" width="7.7109375" style="101" customWidth="1"/>
    <col min="9734" max="9734" width="8.5703125" style="101" customWidth="1"/>
    <col min="9735" max="9735" width="7.140625" style="101" customWidth="1"/>
    <col min="9736" max="9736" width="10.85546875" style="101" customWidth="1"/>
    <col min="9737" max="9984" width="9.140625" style="101"/>
    <col min="9985" max="9985" width="24.7109375" style="101" customWidth="1"/>
    <col min="9986" max="9986" width="5.42578125" style="101" customWidth="1"/>
    <col min="9987" max="9987" width="8.5703125" style="101" customWidth="1"/>
    <col min="9988" max="9988" width="6.85546875" style="101" customWidth="1"/>
    <col min="9989" max="9989" width="7.7109375" style="101" customWidth="1"/>
    <col min="9990" max="9990" width="8.5703125" style="101" customWidth="1"/>
    <col min="9991" max="9991" width="7.140625" style="101" customWidth="1"/>
    <col min="9992" max="9992" width="10.85546875" style="101" customWidth="1"/>
    <col min="9993" max="10240" width="9.140625" style="101"/>
    <col min="10241" max="10241" width="24.7109375" style="101" customWidth="1"/>
    <col min="10242" max="10242" width="5.42578125" style="101" customWidth="1"/>
    <col min="10243" max="10243" width="8.5703125" style="101" customWidth="1"/>
    <col min="10244" max="10244" width="6.85546875" style="101" customWidth="1"/>
    <col min="10245" max="10245" width="7.7109375" style="101" customWidth="1"/>
    <col min="10246" max="10246" width="8.5703125" style="101" customWidth="1"/>
    <col min="10247" max="10247" width="7.140625" style="101" customWidth="1"/>
    <col min="10248" max="10248" width="10.85546875" style="101" customWidth="1"/>
    <col min="10249" max="10496" width="9.140625" style="101"/>
    <col min="10497" max="10497" width="24.7109375" style="101" customWidth="1"/>
    <col min="10498" max="10498" width="5.42578125" style="101" customWidth="1"/>
    <col min="10499" max="10499" width="8.5703125" style="101" customWidth="1"/>
    <col min="10500" max="10500" width="6.85546875" style="101" customWidth="1"/>
    <col min="10501" max="10501" width="7.7109375" style="101" customWidth="1"/>
    <col min="10502" max="10502" width="8.5703125" style="101" customWidth="1"/>
    <col min="10503" max="10503" width="7.140625" style="101" customWidth="1"/>
    <col min="10504" max="10504" width="10.85546875" style="101" customWidth="1"/>
    <col min="10505" max="10752" width="9.140625" style="101"/>
    <col min="10753" max="10753" width="24.7109375" style="101" customWidth="1"/>
    <col min="10754" max="10754" width="5.42578125" style="101" customWidth="1"/>
    <col min="10755" max="10755" width="8.5703125" style="101" customWidth="1"/>
    <col min="10756" max="10756" width="6.85546875" style="101" customWidth="1"/>
    <col min="10757" max="10757" width="7.7109375" style="101" customWidth="1"/>
    <col min="10758" max="10758" width="8.5703125" style="101" customWidth="1"/>
    <col min="10759" max="10759" width="7.140625" style="101" customWidth="1"/>
    <col min="10760" max="10760" width="10.85546875" style="101" customWidth="1"/>
    <col min="10761" max="11008" width="9.140625" style="101"/>
    <col min="11009" max="11009" width="24.7109375" style="101" customWidth="1"/>
    <col min="11010" max="11010" width="5.42578125" style="101" customWidth="1"/>
    <col min="11011" max="11011" width="8.5703125" style="101" customWidth="1"/>
    <col min="11012" max="11012" width="6.85546875" style="101" customWidth="1"/>
    <col min="11013" max="11013" width="7.7109375" style="101" customWidth="1"/>
    <col min="11014" max="11014" width="8.5703125" style="101" customWidth="1"/>
    <col min="11015" max="11015" width="7.140625" style="101" customWidth="1"/>
    <col min="11016" max="11016" width="10.85546875" style="101" customWidth="1"/>
    <col min="11017" max="11264" width="9.140625" style="101"/>
    <col min="11265" max="11265" width="24.7109375" style="101" customWidth="1"/>
    <col min="11266" max="11266" width="5.42578125" style="101" customWidth="1"/>
    <col min="11267" max="11267" width="8.5703125" style="101" customWidth="1"/>
    <col min="11268" max="11268" width="6.85546875" style="101" customWidth="1"/>
    <col min="11269" max="11269" width="7.7109375" style="101" customWidth="1"/>
    <col min="11270" max="11270" width="8.5703125" style="101" customWidth="1"/>
    <col min="11271" max="11271" width="7.140625" style="101" customWidth="1"/>
    <col min="11272" max="11272" width="10.85546875" style="101" customWidth="1"/>
    <col min="11273" max="11520" width="9.140625" style="101"/>
    <col min="11521" max="11521" width="24.7109375" style="101" customWidth="1"/>
    <col min="11522" max="11522" width="5.42578125" style="101" customWidth="1"/>
    <col min="11523" max="11523" width="8.5703125" style="101" customWidth="1"/>
    <col min="11524" max="11524" width="6.85546875" style="101" customWidth="1"/>
    <col min="11525" max="11525" width="7.7109375" style="101" customWidth="1"/>
    <col min="11526" max="11526" width="8.5703125" style="101" customWidth="1"/>
    <col min="11527" max="11527" width="7.140625" style="101" customWidth="1"/>
    <col min="11528" max="11528" width="10.85546875" style="101" customWidth="1"/>
    <col min="11529" max="11776" width="9.140625" style="101"/>
    <col min="11777" max="11777" width="24.7109375" style="101" customWidth="1"/>
    <col min="11778" max="11778" width="5.42578125" style="101" customWidth="1"/>
    <col min="11779" max="11779" width="8.5703125" style="101" customWidth="1"/>
    <col min="11780" max="11780" width="6.85546875" style="101" customWidth="1"/>
    <col min="11781" max="11781" width="7.7109375" style="101" customWidth="1"/>
    <col min="11782" max="11782" width="8.5703125" style="101" customWidth="1"/>
    <col min="11783" max="11783" width="7.140625" style="101" customWidth="1"/>
    <col min="11784" max="11784" width="10.85546875" style="101" customWidth="1"/>
    <col min="11785" max="12032" width="9.140625" style="101"/>
    <col min="12033" max="12033" width="24.7109375" style="101" customWidth="1"/>
    <col min="12034" max="12034" width="5.42578125" style="101" customWidth="1"/>
    <col min="12035" max="12035" width="8.5703125" style="101" customWidth="1"/>
    <col min="12036" max="12036" width="6.85546875" style="101" customWidth="1"/>
    <col min="12037" max="12037" width="7.7109375" style="101" customWidth="1"/>
    <col min="12038" max="12038" width="8.5703125" style="101" customWidth="1"/>
    <col min="12039" max="12039" width="7.140625" style="101" customWidth="1"/>
    <col min="12040" max="12040" width="10.85546875" style="101" customWidth="1"/>
    <col min="12041" max="12288" width="9.140625" style="101"/>
    <col min="12289" max="12289" width="24.7109375" style="101" customWidth="1"/>
    <col min="12290" max="12290" width="5.42578125" style="101" customWidth="1"/>
    <col min="12291" max="12291" width="8.5703125" style="101" customWidth="1"/>
    <col min="12292" max="12292" width="6.85546875" style="101" customWidth="1"/>
    <col min="12293" max="12293" width="7.7109375" style="101" customWidth="1"/>
    <col min="12294" max="12294" width="8.5703125" style="101" customWidth="1"/>
    <col min="12295" max="12295" width="7.140625" style="101" customWidth="1"/>
    <col min="12296" max="12296" width="10.85546875" style="101" customWidth="1"/>
    <col min="12297" max="12544" width="9.140625" style="101"/>
    <col min="12545" max="12545" width="24.7109375" style="101" customWidth="1"/>
    <col min="12546" max="12546" width="5.42578125" style="101" customWidth="1"/>
    <col min="12547" max="12547" width="8.5703125" style="101" customWidth="1"/>
    <col min="12548" max="12548" width="6.85546875" style="101" customWidth="1"/>
    <col min="12549" max="12549" width="7.7109375" style="101" customWidth="1"/>
    <col min="12550" max="12550" width="8.5703125" style="101" customWidth="1"/>
    <col min="12551" max="12551" width="7.140625" style="101" customWidth="1"/>
    <col min="12552" max="12552" width="10.85546875" style="101" customWidth="1"/>
    <col min="12553" max="12800" width="9.140625" style="101"/>
    <col min="12801" max="12801" width="24.7109375" style="101" customWidth="1"/>
    <col min="12802" max="12802" width="5.42578125" style="101" customWidth="1"/>
    <col min="12803" max="12803" width="8.5703125" style="101" customWidth="1"/>
    <col min="12804" max="12804" width="6.85546875" style="101" customWidth="1"/>
    <col min="12805" max="12805" width="7.7109375" style="101" customWidth="1"/>
    <col min="12806" max="12806" width="8.5703125" style="101" customWidth="1"/>
    <col min="12807" max="12807" width="7.140625" style="101" customWidth="1"/>
    <col min="12808" max="12808" width="10.85546875" style="101" customWidth="1"/>
    <col min="12809" max="13056" width="9.140625" style="101"/>
    <col min="13057" max="13057" width="24.7109375" style="101" customWidth="1"/>
    <col min="13058" max="13058" width="5.42578125" style="101" customWidth="1"/>
    <col min="13059" max="13059" width="8.5703125" style="101" customWidth="1"/>
    <col min="13060" max="13060" width="6.85546875" style="101" customWidth="1"/>
    <col min="13061" max="13061" width="7.7109375" style="101" customWidth="1"/>
    <col min="13062" max="13062" width="8.5703125" style="101" customWidth="1"/>
    <col min="13063" max="13063" width="7.140625" style="101" customWidth="1"/>
    <col min="13064" max="13064" width="10.85546875" style="101" customWidth="1"/>
    <col min="13065" max="13312" width="9.140625" style="101"/>
    <col min="13313" max="13313" width="24.7109375" style="101" customWidth="1"/>
    <col min="13314" max="13314" width="5.42578125" style="101" customWidth="1"/>
    <col min="13315" max="13315" width="8.5703125" style="101" customWidth="1"/>
    <col min="13316" max="13316" width="6.85546875" style="101" customWidth="1"/>
    <col min="13317" max="13317" width="7.7109375" style="101" customWidth="1"/>
    <col min="13318" max="13318" width="8.5703125" style="101" customWidth="1"/>
    <col min="13319" max="13319" width="7.140625" style="101" customWidth="1"/>
    <col min="13320" max="13320" width="10.85546875" style="101" customWidth="1"/>
    <col min="13321" max="13568" width="9.140625" style="101"/>
    <col min="13569" max="13569" width="24.7109375" style="101" customWidth="1"/>
    <col min="13570" max="13570" width="5.42578125" style="101" customWidth="1"/>
    <col min="13571" max="13571" width="8.5703125" style="101" customWidth="1"/>
    <col min="13572" max="13572" width="6.85546875" style="101" customWidth="1"/>
    <col min="13573" max="13573" width="7.7109375" style="101" customWidth="1"/>
    <col min="13574" max="13574" width="8.5703125" style="101" customWidth="1"/>
    <col min="13575" max="13575" width="7.140625" style="101" customWidth="1"/>
    <col min="13576" max="13576" width="10.85546875" style="101" customWidth="1"/>
    <col min="13577" max="13824" width="9.140625" style="101"/>
    <col min="13825" max="13825" width="24.7109375" style="101" customWidth="1"/>
    <col min="13826" max="13826" width="5.42578125" style="101" customWidth="1"/>
    <col min="13827" max="13827" width="8.5703125" style="101" customWidth="1"/>
    <col min="13828" max="13828" width="6.85546875" style="101" customWidth="1"/>
    <col min="13829" max="13829" width="7.7109375" style="101" customWidth="1"/>
    <col min="13830" max="13830" width="8.5703125" style="101" customWidth="1"/>
    <col min="13831" max="13831" width="7.140625" style="101" customWidth="1"/>
    <col min="13832" max="13832" width="10.85546875" style="101" customWidth="1"/>
    <col min="13833" max="14080" width="9.140625" style="101"/>
    <col min="14081" max="14081" width="24.7109375" style="101" customWidth="1"/>
    <col min="14082" max="14082" width="5.42578125" style="101" customWidth="1"/>
    <col min="14083" max="14083" width="8.5703125" style="101" customWidth="1"/>
    <col min="14084" max="14084" width="6.85546875" style="101" customWidth="1"/>
    <col min="14085" max="14085" width="7.7109375" style="101" customWidth="1"/>
    <col min="14086" max="14086" width="8.5703125" style="101" customWidth="1"/>
    <col min="14087" max="14087" width="7.140625" style="101" customWidth="1"/>
    <col min="14088" max="14088" width="10.85546875" style="101" customWidth="1"/>
    <col min="14089" max="14336" width="9.140625" style="101"/>
    <col min="14337" max="14337" width="24.7109375" style="101" customWidth="1"/>
    <col min="14338" max="14338" width="5.42578125" style="101" customWidth="1"/>
    <col min="14339" max="14339" width="8.5703125" style="101" customWidth="1"/>
    <col min="14340" max="14340" width="6.85546875" style="101" customWidth="1"/>
    <col min="14341" max="14341" width="7.7109375" style="101" customWidth="1"/>
    <col min="14342" max="14342" width="8.5703125" style="101" customWidth="1"/>
    <col min="14343" max="14343" width="7.140625" style="101" customWidth="1"/>
    <col min="14344" max="14344" width="10.85546875" style="101" customWidth="1"/>
    <col min="14345" max="14592" width="9.140625" style="101"/>
    <col min="14593" max="14593" width="24.7109375" style="101" customWidth="1"/>
    <col min="14594" max="14594" width="5.42578125" style="101" customWidth="1"/>
    <col min="14595" max="14595" width="8.5703125" style="101" customWidth="1"/>
    <col min="14596" max="14596" width="6.85546875" style="101" customWidth="1"/>
    <col min="14597" max="14597" width="7.7109375" style="101" customWidth="1"/>
    <col min="14598" max="14598" width="8.5703125" style="101" customWidth="1"/>
    <col min="14599" max="14599" width="7.140625" style="101" customWidth="1"/>
    <col min="14600" max="14600" width="10.85546875" style="101" customWidth="1"/>
    <col min="14601" max="14848" width="9.140625" style="101"/>
    <col min="14849" max="14849" width="24.7109375" style="101" customWidth="1"/>
    <col min="14850" max="14850" width="5.42578125" style="101" customWidth="1"/>
    <col min="14851" max="14851" width="8.5703125" style="101" customWidth="1"/>
    <col min="14852" max="14852" width="6.85546875" style="101" customWidth="1"/>
    <col min="14853" max="14853" width="7.7109375" style="101" customWidth="1"/>
    <col min="14854" max="14854" width="8.5703125" style="101" customWidth="1"/>
    <col min="14855" max="14855" width="7.140625" style="101" customWidth="1"/>
    <col min="14856" max="14856" width="10.85546875" style="101" customWidth="1"/>
    <col min="14857" max="15104" width="9.140625" style="101"/>
    <col min="15105" max="15105" width="24.7109375" style="101" customWidth="1"/>
    <col min="15106" max="15106" width="5.42578125" style="101" customWidth="1"/>
    <col min="15107" max="15107" width="8.5703125" style="101" customWidth="1"/>
    <col min="15108" max="15108" width="6.85546875" style="101" customWidth="1"/>
    <col min="15109" max="15109" width="7.7109375" style="101" customWidth="1"/>
    <col min="15110" max="15110" width="8.5703125" style="101" customWidth="1"/>
    <col min="15111" max="15111" width="7.140625" style="101" customWidth="1"/>
    <col min="15112" max="15112" width="10.85546875" style="101" customWidth="1"/>
    <col min="15113" max="15360" width="9.140625" style="101"/>
    <col min="15361" max="15361" width="24.7109375" style="101" customWidth="1"/>
    <col min="15362" max="15362" width="5.42578125" style="101" customWidth="1"/>
    <col min="15363" max="15363" width="8.5703125" style="101" customWidth="1"/>
    <col min="15364" max="15364" width="6.85546875" style="101" customWidth="1"/>
    <col min="15365" max="15365" width="7.7109375" style="101" customWidth="1"/>
    <col min="15366" max="15366" width="8.5703125" style="101" customWidth="1"/>
    <col min="15367" max="15367" width="7.140625" style="101" customWidth="1"/>
    <col min="15368" max="15368" width="10.85546875" style="101" customWidth="1"/>
    <col min="15369" max="15616" width="9.140625" style="101"/>
    <col min="15617" max="15617" width="24.7109375" style="101" customWidth="1"/>
    <col min="15618" max="15618" width="5.42578125" style="101" customWidth="1"/>
    <col min="15619" max="15619" width="8.5703125" style="101" customWidth="1"/>
    <col min="15620" max="15620" width="6.85546875" style="101" customWidth="1"/>
    <col min="15621" max="15621" width="7.7109375" style="101" customWidth="1"/>
    <col min="15622" max="15622" width="8.5703125" style="101" customWidth="1"/>
    <col min="15623" max="15623" width="7.140625" style="101" customWidth="1"/>
    <col min="15624" max="15624" width="10.85546875" style="101" customWidth="1"/>
    <col min="15625" max="15872" width="9.140625" style="101"/>
    <col min="15873" max="15873" width="24.7109375" style="101" customWidth="1"/>
    <col min="15874" max="15874" width="5.42578125" style="101" customWidth="1"/>
    <col min="15875" max="15875" width="8.5703125" style="101" customWidth="1"/>
    <col min="15876" max="15876" width="6.85546875" style="101" customWidth="1"/>
    <col min="15877" max="15877" width="7.7109375" style="101" customWidth="1"/>
    <col min="15878" max="15878" width="8.5703125" style="101" customWidth="1"/>
    <col min="15879" max="15879" width="7.140625" style="101" customWidth="1"/>
    <col min="15880" max="15880" width="10.85546875" style="101" customWidth="1"/>
    <col min="15881" max="16128" width="9.140625" style="101"/>
    <col min="16129" max="16129" width="24.7109375" style="101" customWidth="1"/>
    <col min="16130" max="16130" width="5.42578125" style="101" customWidth="1"/>
    <col min="16131" max="16131" width="8.5703125" style="101" customWidth="1"/>
    <col min="16132" max="16132" width="6.85546875" style="101" customWidth="1"/>
    <col min="16133" max="16133" width="7.7109375" style="101" customWidth="1"/>
    <col min="16134" max="16134" width="8.5703125" style="101" customWidth="1"/>
    <col min="16135" max="16135" width="7.140625" style="101" customWidth="1"/>
    <col min="16136" max="16136" width="10.85546875" style="101" customWidth="1"/>
    <col min="16137" max="16384" width="9.140625" style="101"/>
  </cols>
  <sheetData>
    <row r="1" spans="1:8" s="94" customFormat="1" ht="62.25" customHeight="1" thickTop="1" thickBot="1">
      <c r="A1" s="247" t="str">
        <f>'EB Qtrs Abs'!A1:F1</f>
        <v xml:space="preserve">  NAME OF WORK : SPECIAL REPAIR WORKS FOR THE EXISTING 8 NOS OF TNEB QUARTERS  ROOF RENEVATION AND ELECTRICAL , PLUMBING WORKS  AT ATHIKADAVU IN COIMBATORE DISTRICT.</v>
      </c>
      <c r="B1" s="248"/>
      <c r="C1" s="248"/>
      <c r="D1" s="248"/>
      <c r="E1" s="248"/>
      <c r="F1" s="248"/>
      <c r="G1" s="248"/>
      <c r="H1" s="249"/>
    </row>
    <row r="2" spans="1:8" s="94" customFormat="1" ht="19.5" customHeight="1" thickTop="1">
      <c r="A2" s="250" t="s">
        <v>0</v>
      </c>
      <c r="B2" s="251"/>
      <c r="C2" s="251"/>
      <c r="D2" s="251"/>
      <c r="E2" s="251"/>
      <c r="F2" s="251"/>
      <c r="G2" s="251"/>
      <c r="H2" s="252"/>
    </row>
    <row r="3" spans="1:8" s="94" customFormat="1" ht="33" customHeight="1">
      <c r="A3" s="95" t="s">
        <v>1</v>
      </c>
      <c r="B3" s="96" t="s">
        <v>2</v>
      </c>
      <c r="C3" s="254" t="s">
        <v>3</v>
      </c>
      <c r="D3" s="255"/>
      <c r="E3" s="97" t="s">
        <v>4</v>
      </c>
      <c r="F3" s="97" t="s">
        <v>5</v>
      </c>
      <c r="G3" s="97" t="s">
        <v>6</v>
      </c>
      <c r="H3" s="98" t="s">
        <v>7</v>
      </c>
    </row>
    <row r="4" spans="1:8" ht="54" customHeight="1">
      <c r="A4" s="99">
        <v>1</v>
      </c>
      <c r="B4" s="253" t="s">
        <v>33</v>
      </c>
      <c r="C4" s="253"/>
      <c r="D4" s="253"/>
      <c r="E4" s="253"/>
      <c r="F4" s="253"/>
      <c r="G4" s="253"/>
      <c r="H4" s="100"/>
    </row>
    <row r="5" spans="1:8" ht="27" customHeight="1">
      <c r="A5" s="99"/>
      <c r="B5" s="102" t="s">
        <v>34</v>
      </c>
      <c r="C5" s="103">
        <v>1</v>
      </c>
      <c r="D5" s="103">
        <v>2</v>
      </c>
      <c r="E5" s="103">
        <v>31</v>
      </c>
      <c r="F5" s="103">
        <v>9</v>
      </c>
      <c r="G5" s="103"/>
      <c r="H5" s="104">
        <f>F5*E5*D5*C5</f>
        <v>558</v>
      </c>
    </row>
    <row r="6" spans="1:8" ht="19.5" customHeight="1">
      <c r="A6" s="99"/>
      <c r="B6" s="102"/>
      <c r="C6" s="105"/>
      <c r="D6" s="105"/>
      <c r="E6" s="105"/>
      <c r="F6" s="105"/>
      <c r="G6" s="105"/>
      <c r="H6" s="106">
        <f>SUM(H5:H5)</f>
        <v>558</v>
      </c>
    </row>
    <row r="7" spans="1:8" ht="54.75" customHeight="1">
      <c r="A7" s="99">
        <v>2</v>
      </c>
      <c r="B7" s="256" t="s">
        <v>35</v>
      </c>
      <c r="C7" s="256"/>
      <c r="D7" s="256"/>
      <c r="E7" s="256"/>
      <c r="F7" s="256"/>
      <c r="G7" s="256"/>
      <c r="H7" s="100"/>
    </row>
    <row r="8" spans="1:8" ht="28.5" customHeight="1">
      <c r="A8" s="99"/>
      <c r="B8" s="102" t="s">
        <v>36</v>
      </c>
      <c r="C8" s="105">
        <v>2</v>
      </c>
      <c r="D8" s="105">
        <v>4</v>
      </c>
      <c r="E8" s="103">
        <v>3.7</v>
      </c>
      <c r="F8" s="105">
        <v>1.2</v>
      </c>
      <c r="G8" s="103"/>
      <c r="H8" s="104">
        <f>F8*E8*D8*C8</f>
        <v>35.520000000000003</v>
      </c>
    </row>
    <row r="9" spans="1:8" ht="25.5" customHeight="1">
      <c r="A9" s="99"/>
      <c r="B9" s="102" t="s">
        <v>37</v>
      </c>
      <c r="C9" s="105">
        <v>2</v>
      </c>
      <c r="D9" s="105">
        <v>4</v>
      </c>
      <c r="E9" s="103">
        <v>3.65</v>
      </c>
      <c r="F9" s="105">
        <v>2.4</v>
      </c>
      <c r="G9" s="103"/>
      <c r="H9" s="104">
        <f t="shared" ref="H9:H13" si="0">F9*E9*D9*C9</f>
        <v>70.08</v>
      </c>
    </row>
    <row r="10" spans="1:8" s="110" customFormat="1" ht="23.25" customHeight="1">
      <c r="A10" s="107"/>
      <c r="B10" s="102" t="s">
        <v>38</v>
      </c>
      <c r="C10" s="108">
        <v>2</v>
      </c>
      <c r="D10" s="108">
        <v>4</v>
      </c>
      <c r="E10" s="109">
        <v>3.05</v>
      </c>
      <c r="F10" s="108">
        <v>3.65</v>
      </c>
      <c r="G10" s="109"/>
      <c r="H10" s="104">
        <f t="shared" si="0"/>
        <v>89.059999999999988</v>
      </c>
    </row>
    <row r="11" spans="1:8" s="110" customFormat="1" ht="25.5" customHeight="1">
      <c r="A11" s="107"/>
      <c r="B11" s="102" t="s">
        <v>39</v>
      </c>
      <c r="C11" s="108">
        <v>2</v>
      </c>
      <c r="D11" s="108">
        <v>4</v>
      </c>
      <c r="E11" s="109">
        <v>3.1</v>
      </c>
      <c r="F11" s="108">
        <v>2.1</v>
      </c>
      <c r="G11" s="109"/>
      <c r="H11" s="104">
        <f t="shared" si="0"/>
        <v>52.080000000000005</v>
      </c>
    </row>
    <row r="12" spans="1:8" s="110" customFormat="1" ht="26.25" customHeight="1">
      <c r="A12" s="107"/>
      <c r="B12" s="102" t="s">
        <v>40</v>
      </c>
      <c r="C12" s="108">
        <v>2</v>
      </c>
      <c r="D12" s="108">
        <v>4</v>
      </c>
      <c r="E12" s="109">
        <v>3.65</v>
      </c>
      <c r="F12" s="108">
        <v>2.1</v>
      </c>
      <c r="G12" s="109"/>
      <c r="H12" s="104">
        <f t="shared" si="0"/>
        <v>61.32</v>
      </c>
    </row>
    <row r="13" spans="1:8" s="110" customFormat="1" ht="22.5" customHeight="1">
      <c r="A13" s="107"/>
      <c r="B13" s="102" t="s">
        <v>41</v>
      </c>
      <c r="C13" s="108">
        <v>2</v>
      </c>
      <c r="D13" s="108">
        <v>4</v>
      </c>
      <c r="E13" s="109">
        <v>3</v>
      </c>
      <c r="F13" s="108">
        <v>3.6</v>
      </c>
      <c r="G13" s="109"/>
      <c r="H13" s="104">
        <f t="shared" si="0"/>
        <v>86.4</v>
      </c>
    </row>
    <row r="14" spans="1:8" ht="23.25" customHeight="1">
      <c r="A14" s="99"/>
      <c r="B14" s="111"/>
      <c r="C14" s="111"/>
      <c r="D14" s="111"/>
      <c r="E14" s="111"/>
      <c r="F14" s="111"/>
      <c r="G14" s="111"/>
      <c r="H14" s="106">
        <f>SUM(H8:H13)</f>
        <v>394.46000000000004</v>
      </c>
    </row>
    <row r="15" spans="1:8" ht="116.25" customHeight="1">
      <c r="A15" s="99">
        <v>3</v>
      </c>
      <c r="B15" s="236" t="s">
        <v>22</v>
      </c>
      <c r="C15" s="236"/>
      <c r="D15" s="236"/>
      <c r="E15" s="236"/>
      <c r="F15" s="236"/>
      <c r="G15" s="236"/>
      <c r="H15" s="106"/>
    </row>
    <row r="16" spans="1:8" ht="21.95" customHeight="1">
      <c r="A16" s="99"/>
      <c r="B16" s="112" t="s">
        <v>76</v>
      </c>
      <c r="C16" s="111">
        <v>2</v>
      </c>
      <c r="D16" s="111">
        <v>4</v>
      </c>
      <c r="E16" s="111">
        <v>1.26</v>
      </c>
      <c r="F16" s="111">
        <v>1.26</v>
      </c>
      <c r="G16" s="111">
        <v>0.45</v>
      </c>
      <c r="H16" s="104">
        <f t="shared" ref="H16" si="1">G16*F16*E16*D16*C16</f>
        <v>5.7153600000000004</v>
      </c>
    </row>
    <row r="17" spans="1:12" ht="21.95" customHeight="1">
      <c r="A17" s="99"/>
      <c r="B17" s="112"/>
      <c r="C17" s="111"/>
      <c r="D17" s="111"/>
      <c r="E17" s="111"/>
      <c r="F17" s="111"/>
      <c r="G17" s="111"/>
      <c r="H17" s="106">
        <f>SUM(H16:H16)</f>
        <v>5.7153600000000004</v>
      </c>
    </row>
    <row r="18" spans="1:12" ht="58.5" customHeight="1">
      <c r="A18" s="99">
        <v>4</v>
      </c>
      <c r="B18" s="237" t="s">
        <v>75</v>
      </c>
      <c r="C18" s="238"/>
      <c r="D18" s="238"/>
      <c r="E18" s="238"/>
      <c r="F18" s="238"/>
      <c r="G18" s="239"/>
      <c r="H18" s="106"/>
    </row>
    <row r="19" spans="1:12" ht="21.95" customHeight="1">
      <c r="A19" s="99"/>
      <c r="B19" s="112" t="s">
        <v>76</v>
      </c>
      <c r="C19" s="111">
        <v>2</v>
      </c>
      <c r="D19" s="111">
        <v>4</v>
      </c>
      <c r="E19" s="111">
        <v>1.26</v>
      </c>
      <c r="F19" s="111">
        <v>1.26</v>
      </c>
      <c r="G19" s="111">
        <v>0.1</v>
      </c>
      <c r="H19" s="104">
        <f>G19*F19*E19*D19*C19</f>
        <v>1.2700800000000001</v>
      </c>
    </row>
    <row r="20" spans="1:12" ht="21.95" customHeight="1">
      <c r="A20" s="99"/>
      <c r="B20" s="112"/>
      <c r="C20" s="111"/>
      <c r="D20" s="111"/>
      <c r="E20" s="111"/>
      <c r="F20" s="111"/>
      <c r="G20" s="111"/>
      <c r="H20" s="106">
        <f>SUM(H19)</f>
        <v>1.2700800000000001</v>
      </c>
    </row>
    <row r="21" spans="1:12" ht="78" customHeight="1">
      <c r="A21" s="99">
        <v>5</v>
      </c>
      <c r="B21" s="237" t="s">
        <v>77</v>
      </c>
      <c r="C21" s="238"/>
      <c r="D21" s="238"/>
      <c r="E21" s="238"/>
      <c r="F21" s="238"/>
      <c r="G21" s="239"/>
      <c r="H21" s="106"/>
    </row>
    <row r="22" spans="1:12" ht="21.95" customHeight="1">
      <c r="A22" s="99"/>
      <c r="B22" s="112" t="s">
        <v>78</v>
      </c>
      <c r="C22" s="111">
        <v>2</v>
      </c>
      <c r="D22" s="111">
        <v>4</v>
      </c>
      <c r="E22" s="111">
        <v>3.32</v>
      </c>
      <c r="F22" s="111">
        <v>0.23</v>
      </c>
      <c r="G22" s="111">
        <v>0.6</v>
      </c>
      <c r="H22" s="104">
        <f>G22*F22*E22*D22*C22</f>
        <v>3.6652800000000001</v>
      </c>
    </row>
    <row r="23" spans="1:12" ht="21.95" customHeight="1">
      <c r="A23" s="99"/>
      <c r="B23" s="112"/>
      <c r="C23" s="111"/>
      <c r="D23" s="111"/>
      <c r="E23" s="111"/>
      <c r="F23" s="111"/>
      <c r="G23" s="111"/>
      <c r="H23" s="106">
        <f>SUM(H22)</f>
        <v>3.6652800000000001</v>
      </c>
    </row>
    <row r="24" spans="1:12" ht="66.75" customHeight="1">
      <c r="A24" s="99">
        <v>6</v>
      </c>
      <c r="B24" s="237" t="s">
        <v>42</v>
      </c>
      <c r="C24" s="238"/>
      <c r="D24" s="238"/>
      <c r="E24" s="238"/>
      <c r="F24" s="238"/>
      <c r="G24" s="239"/>
      <c r="H24" s="106"/>
    </row>
    <row r="25" spans="1:12" ht="21.95" customHeight="1">
      <c r="A25" s="99"/>
      <c r="B25" s="112" t="s">
        <v>43</v>
      </c>
      <c r="C25" s="111">
        <v>2</v>
      </c>
      <c r="D25" s="111">
        <v>8</v>
      </c>
      <c r="E25" s="111">
        <v>0.3</v>
      </c>
      <c r="F25" s="111">
        <v>0.3</v>
      </c>
      <c r="G25" s="111">
        <v>2</v>
      </c>
      <c r="H25" s="104">
        <f>G25*F25*E25*D25*C25</f>
        <v>2.88</v>
      </c>
    </row>
    <row r="26" spans="1:12" ht="21.95" customHeight="1">
      <c r="A26" s="99"/>
      <c r="B26" s="112"/>
      <c r="C26" s="111"/>
      <c r="D26" s="111"/>
      <c r="E26" s="111"/>
      <c r="F26" s="111"/>
      <c r="G26" s="111"/>
      <c r="H26" s="106">
        <f>SUM(H25)</f>
        <v>2.88</v>
      </c>
    </row>
    <row r="27" spans="1:12" ht="63" customHeight="1">
      <c r="A27" s="99">
        <v>7</v>
      </c>
      <c r="B27" s="246" t="s">
        <v>8</v>
      </c>
      <c r="C27" s="246"/>
      <c r="D27" s="246"/>
      <c r="E27" s="246"/>
      <c r="F27" s="246"/>
      <c r="G27" s="246"/>
      <c r="H27" s="100"/>
      <c r="L27" s="101">
        <f>30*3.28</f>
        <v>98.399999999999991</v>
      </c>
    </row>
    <row r="28" spans="1:12" ht="23.25" customHeight="1">
      <c r="A28" s="99"/>
      <c r="B28" s="113" t="s">
        <v>44</v>
      </c>
      <c r="C28" s="113">
        <v>2</v>
      </c>
      <c r="D28" s="113">
        <v>6</v>
      </c>
      <c r="E28" s="113">
        <v>3</v>
      </c>
      <c r="F28" s="113"/>
      <c r="G28" s="113">
        <v>1.5</v>
      </c>
      <c r="H28" s="104">
        <f>G28*E28*D28*C28</f>
        <v>54</v>
      </c>
    </row>
    <row r="29" spans="1:12" ht="23.25" customHeight="1">
      <c r="A29" s="99"/>
      <c r="B29" s="113" t="s">
        <v>45</v>
      </c>
      <c r="C29" s="113">
        <v>2</v>
      </c>
      <c r="D29" s="113">
        <v>6</v>
      </c>
      <c r="E29" s="113">
        <v>2.5</v>
      </c>
      <c r="F29" s="113"/>
      <c r="G29" s="113">
        <v>1.8</v>
      </c>
      <c r="H29" s="104">
        <f t="shared" ref="H29:H32" si="2">G29*E29*D29*C29</f>
        <v>54</v>
      </c>
    </row>
    <row r="30" spans="1:12" ht="23.25" customHeight="1">
      <c r="A30" s="99"/>
      <c r="B30" s="113" t="s">
        <v>46</v>
      </c>
      <c r="C30" s="113">
        <v>2</v>
      </c>
      <c r="D30" s="113">
        <v>8</v>
      </c>
      <c r="E30" s="113">
        <v>1.2</v>
      </c>
      <c r="F30" s="113"/>
      <c r="G30" s="113">
        <v>2</v>
      </c>
      <c r="H30" s="104">
        <f t="shared" si="2"/>
        <v>38.4</v>
      </c>
    </row>
    <row r="31" spans="1:12" ht="23.25" customHeight="1">
      <c r="A31" s="99"/>
      <c r="B31" s="113" t="s">
        <v>173</v>
      </c>
      <c r="C31" s="113">
        <v>2</v>
      </c>
      <c r="D31" s="113">
        <v>4</v>
      </c>
      <c r="E31" s="113">
        <v>2.4</v>
      </c>
      <c r="F31" s="113"/>
      <c r="G31" s="113">
        <v>0.6</v>
      </c>
      <c r="H31" s="104">
        <f t="shared" si="2"/>
        <v>11.52</v>
      </c>
    </row>
    <row r="32" spans="1:12" ht="23.25" customHeight="1">
      <c r="A32" s="99"/>
      <c r="B32" s="113" t="s">
        <v>174</v>
      </c>
      <c r="C32" s="113">
        <v>2</v>
      </c>
      <c r="D32" s="113">
        <v>4</v>
      </c>
      <c r="E32" s="113">
        <v>4.24</v>
      </c>
      <c r="F32" s="113"/>
      <c r="G32" s="113">
        <v>0.6</v>
      </c>
      <c r="H32" s="104">
        <f t="shared" si="2"/>
        <v>20.352</v>
      </c>
    </row>
    <row r="33" spans="1:8" ht="23.25" customHeight="1">
      <c r="A33" s="99"/>
      <c r="B33" s="113"/>
      <c r="C33" s="113"/>
      <c r="D33" s="113"/>
      <c r="E33" s="113"/>
      <c r="F33" s="113"/>
      <c r="G33" s="113"/>
      <c r="H33" s="106">
        <f>SUM(H28:H32)</f>
        <v>178.27200000000002</v>
      </c>
    </row>
    <row r="34" spans="1:8" ht="194.25" customHeight="1">
      <c r="A34" s="99">
        <v>8</v>
      </c>
      <c r="B34" s="243" t="s">
        <v>47</v>
      </c>
      <c r="C34" s="244"/>
      <c r="D34" s="244"/>
      <c r="E34" s="244"/>
      <c r="F34" s="244"/>
      <c r="G34" s="245"/>
      <c r="H34" s="106"/>
    </row>
    <row r="35" spans="1:8" ht="23.25" customHeight="1">
      <c r="A35" s="99"/>
      <c r="B35" s="113" t="s">
        <v>48</v>
      </c>
      <c r="C35" s="113">
        <v>2</v>
      </c>
      <c r="D35" s="113">
        <v>4</v>
      </c>
      <c r="E35" s="113"/>
      <c r="F35" s="113"/>
      <c r="G35" s="113"/>
      <c r="H35" s="104">
        <v>8</v>
      </c>
    </row>
    <row r="36" spans="1:8" ht="23.25" customHeight="1">
      <c r="A36" s="99"/>
      <c r="B36" s="113"/>
      <c r="C36" s="113"/>
      <c r="D36" s="113"/>
      <c r="E36" s="113"/>
      <c r="F36" s="113"/>
      <c r="G36" s="113"/>
      <c r="H36" s="106">
        <f>SUM(H35)</f>
        <v>8</v>
      </c>
    </row>
    <row r="37" spans="1:8" ht="47.25" customHeight="1">
      <c r="A37" s="99">
        <v>9</v>
      </c>
      <c r="B37" s="237" t="s">
        <v>489</v>
      </c>
      <c r="C37" s="238"/>
      <c r="D37" s="238"/>
      <c r="E37" s="238"/>
      <c r="F37" s="238"/>
      <c r="G37" s="239"/>
      <c r="H37" s="106"/>
    </row>
    <row r="38" spans="1:8" ht="23.25" customHeight="1">
      <c r="A38" s="99"/>
      <c r="B38" s="113" t="s">
        <v>49</v>
      </c>
      <c r="C38" s="113">
        <v>2</v>
      </c>
      <c r="D38" s="113">
        <v>4</v>
      </c>
      <c r="E38" s="113"/>
      <c r="F38" s="113"/>
      <c r="G38" s="113"/>
      <c r="H38" s="104">
        <f>8</f>
        <v>8</v>
      </c>
    </row>
    <row r="39" spans="1:8" ht="23.25" customHeight="1">
      <c r="A39" s="99"/>
      <c r="B39" s="113" t="s">
        <v>50</v>
      </c>
      <c r="C39" s="113">
        <v>2</v>
      </c>
      <c r="D39" s="113">
        <v>4</v>
      </c>
      <c r="E39" s="113"/>
      <c r="F39" s="113"/>
      <c r="G39" s="113"/>
      <c r="H39" s="104">
        <v>8</v>
      </c>
    </row>
    <row r="40" spans="1:8" ht="23.25" customHeight="1">
      <c r="A40" s="99"/>
      <c r="B40" s="113" t="s">
        <v>51</v>
      </c>
      <c r="C40" s="113">
        <v>2</v>
      </c>
      <c r="D40" s="113">
        <v>2</v>
      </c>
      <c r="E40" s="113"/>
      <c r="F40" s="113"/>
      <c r="G40" s="113"/>
      <c r="H40" s="104">
        <v>4</v>
      </c>
    </row>
    <row r="41" spans="1:8" ht="23.25" customHeight="1">
      <c r="A41" s="99"/>
      <c r="B41" s="113" t="s">
        <v>52</v>
      </c>
      <c r="C41" s="113">
        <v>2</v>
      </c>
      <c r="D41" s="113">
        <v>4</v>
      </c>
      <c r="E41" s="113"/>
      <c r="F41" s="113"/>
      <c r="G41" s="113"/>
      <c r="H41" s="104">
        <v>8</v>
      </c>
    </row>
    <row r="42" spans="1:8" ht="23.25" customHeight="1">
      <c r="A42" s="99"/>
      <c r="B42" s="113"/>
      <c r="C42" s="113"/>
      <c r="D42" s="113"/>
      <c r="E42" s="113"/>
      <c r="F42" s="113"/>
      <c r="G42" s="113"/>
      <c r="H42" s="106">
        <f>SUM(H38:H41)</f>
        <v>28</v>
      </c>
    </row>
    <row r="43" spans="1:8" ht="100.5" customHeight="1">
      <c r="A43" s="99">
        <v>10</v>
      </c>
      <c r="B43" s="264" t="s">
        <v>53</v>
      </c>
      <c r="C43" s="265"/>
      <c r="D43" s="265"/>
      <c r="E43" s="265"/>
      <c r="F43" s="265"/>
      <c r="G43" s="266"/>
      <c r="H43" s="106"/>
    </row>
    <row r="44" spans="1:8" ht="23.25" customHeight="1">
      <c r="A44" s="99"/>
      <c r="B44" s="113" t="s">
        <v>54</v>
      </c>
      <c r="C44" s="113">
        <v>2</v>
      </c>
      <c r="D44" s="113">
        <v>4</v>
      </c>
      <c r="E44" s="113"/>
      <c r="F44" s="113"/>
      <c r="G44" s="113"/>
      <c r="H44" s="104">
        <v>8</v>
      </c>
    </row>
    <row r="45" spans="1:8" ht="23.25" customHeight="1">
      <c r="A45" s="99"/>
      <c r="B45" s="113"/>
      <c r="C45" s="113"/>
      <c r="D45" s="113"/>
      <c r="E45" s="113"/>
      <c r="F45" s="113"/>
      <c r="G45" s="113"/>
      <c r="H45" s="106">
        <f>SUM(H44)</f>
        <v>8</v>
      </c>
    </row>
    <row r="46" spans="1:8" ht="47.25" customHeight="1">
      <c r="A46" s="99">
        <v>11</v>
      </c>
      <c r="B46" s="237" t="s">
        <v>55</v>
      </c>
      <c r="C46" s="238"/>
      <c r="D46" s="238"/>
      <c r="E46" s="238"/>
      <c r="F46" s="238"/>
      <c r="G46" s="239"/>
      <c r="H46" s="106"/>
    </row>
    <row r="47" spans="1:8" ht="21.95" customHeight="1">
      <c r="A47" s="99"/>
      <c r="B47" s="114" t="s">
        <v>56</v>
      </c>
      <c r="C47" s="114">
        <v>2</v>
      </c>
      <c r="D47" s="114">
        <v>8</v>
      </c>
      <c r="E47" s="114">
        <v>1</v>
      </c>
      <c r="F47" s="114"/>
      <c r="G47" s="114">
        <v>2</v>
      </c>
      <c r="H47" s="109">
        <f>G47*E47*D47*C47</f>
        <v>32</v>
      </c>
    </row>
    <row r="48" spans="1:8" ht="21.95" customHeight="1">
      <c r="A48" s="99"/>
      <c r="B48" s="114" t="s">
        <v>57</v>
      </c>
      <c r="C48" s="114">
        <v>2</v>
      </c>
      <c r="D48" s="114">
        <v>4</v>
      </c>
      <c r="E48" s="114">
        <v>1</v>
      </c>
      <c r="F48" s="114"/>
      <c r="G48" s="114">
        <v>1.5</v>
      </c>
      <c r="H48" s="109">
        <f t="shared" ref="H48:H49" si="3">G48*E48*D48*C48</f>
        <v>12</v>
      </c>
    </row>
    <row r="49" spans="1:8" ht="21.95" customHeight="1">
      <c r="A49" s="99"/>
      <c r="B49" s="114" t="s">
        <v>58</v>
      </c>
      <c r="C49" s="114">
        <v>1</v>
      </c>
      <c r="D49" s="114">
        <v>2</v>
      </c>
      <c r="E49" s="114">
        <v>1.5</v>
      </c>
      <c r="F49" s="114"/>
      <c r="G49" s="114">
        <v>3.5</v>
      </c>
      <c r="H49" s="109">
        <f t="shared" si="3"/>
        <v>10.5</v>
      </c>
    </row>
    <row r="50" spans="1:8" ht="21.95" customHeight="1">
      <c r="A50" s="99"/>
      <c r="B50" s="114" t="s">
        <v>59</v>
      </c>
      <c r="C50" s="114">
        <v>2</v>
      </c>
      <c r="D50" s="114">
        <v>4</v>
      </c>
      <c r="E50" s="114">
        <v>31</v>
      </c>
      <c r="F50" s="114">
        <v>0.3</v>
      </c>
      <c r="G50" s="114"/>
      <c r="H50" s="109">
        <f>F50*E50*D50*C50</f>
        <v>74.399999999999991</v>
      </c>
    </row>
    <row r="51" spans="1:8" ht="21.95" customHeight="1">
      <c r="A51" s="99"/>
      <c r="B51" s="114"/>
      <c r="C51" s="114"/>
      <c r="D51" s="114"/>
      <c r="E51" s="114"/>
      <c r="F51" s="114"/>
      <c r="G51" s="114"/>
      <c r="H51" s="109">
        <f>SUM(H47:H50)</f>
        <v>128.89999999999998</v>
      </c>
    </row>
    <row r="52" spans="1:8" ht="21.95" customHeight="1">
      <c r="A52" s="99"/>
      <c r="B52" s="113" t="s">
        <v>487</v>
      </c>
      <c r="C52" s="113"/>
      <c r="D52" s="113"/>
      <c r="E52" s="113"/>
      <c r="F52" s="267" t="s">
        <v>60</v>
      </c>
      <c r="G52" s="268"/>
      <c r="H52" s="106">
        <v>2578</v>
      </c>
    </row>
    <row r="53" spans="1:8" ht="163.5" customHeight="1">
      <c r="A53" s="99">
        <v>12</v>
      </c>
      <c r="B53" s="237" t="s">
        <v>61</v>
      </c>
      <c r="C53" s="238"/>
      <c r="D53" s="238"/>
      <c r="E53" s="238"/>
      <c r="F53" s="238"/>
      <c r="G53" s="239"/>
      <c r="H53" s="106"/>
    </row>
    <row r="54" spans="1:8" ht="30" customHeight="1">
      <c r="A54" s="99"/>
      <c r="B54" s="113" t="s">
        <v>62</v>
      </c>
      <c r="C54" s="113">
        <v>1</v>
      </c>
      <c r="D54" s="113">
        <v>2</v>
      </c>
      <c r="E54" s="113"/>
      <c r="F54" s="111"/>
      <c r="G54" s="111"/>
      <c r="H54" s="104">
        <v>2</v>
      </c>
    </row>
    <row r="55" spans="1:8" ht="21.95" customHeight="1">
      <c r="A55" s="99"/>
      <c r="B55" s="113"/>
      <c r="C55" s="113"/>
      <c r="D55" s="113"/>
      <c r="E55" s="113"/>
      <c r="F55" s="111"/>
      <c r="G55" s="111"/>
      <c r="H55" s="106">
        <f>SUM(H54)</f>
        <v>2</v>
      </c>
    </row>
    <row r="56" spans="1:8" ht="141.75" customHeight="1">
      <c r="A56" s="115">
        <v>13</v>
      </c>
      <c r="B56" s="243" t="s">
        <v>63</v>
      </c>
      <c r="C56" s="244"/>
      <c r="D56" s="244"/>
      <c r="E56" s="244"/>
      <c r="F56" s="244"/>
      <c r="G56" s="245"/>
      <c r="H56" s="116"/>
    </row>
    <row r="57" spans="1:8" ht="21.95" customHeight="1">
      <c r="A57" s="117"/>
      <c r="B57" s="243" t="s">
        <v>64</v>
      </c>
      <c r="C57" s="244"/>
      <c r="D57" s="244"/>
      <c r="E57" s="244"/>
      <c r="F57" s="244"/>
      <c r="G57" s="245"/>
      <c r="H57" s="116"/>
    </row>
    <row r="58" spans="1:8" ht="21.95" customHeight="1">
      <c r="A58" s="117"/>
      <c r="B58" s="118" t="s">
        <v>66</v>
      </c>
      <c r="C58" s="119">
        <v>1</v>
      </c>
      <c r="D58" s="119">
        <v>2</v>
      </c>
      <c r="E58" s="119">
        <v>20</v>
      </c>
      <c r="F58" s="119"/>
      <c r="G58" s="119"/>
      <c r="H58" s="120">
        <f>E58*D58*C58</f>
        <v>40</v>
      </c>
    </row>
    <row r="59" spans="1:8" ht="21.95" customHeight="1">
      <c r="A59" s="117"/>
      <c r="B59" s="243" t="s">
        <v>65</v>
      </c>
      <c r="C59" s="244"/>
      <c r="D59" s="244"/>
      <c r="E59" s="244"/>
      <c r="F59" s="244"/>
      <c r="G59" s="245"/>
      <c r="H59" s="116"/>
    </row>
    <row r="60" spans="1:8" ht="21.95" customHeight="1">
      <c r="A60" s="117"/>
      <c r="B60" s="118" t="s">
        <v>67</v>
      </c>
      <c r="C60" s="119">
        <v>2</v>
      </c>
      <c r="D60" s="119">
        <v>1</v>
      </c>
      <c r="E60" s="121">
        <v>32</v>
      </c>
      <c r="F60" s="119"/>
      <c r="G60" s="119"/>
      <c r="H60" s="122">
        <f>E60*D60*C60</f>
        <v>64</v>
      </c>
    </row>
    <row r="61" spans="1:8" ht="21.95" customHeight="1">
      <c r="A61" s="99"/>
      <c r="B61" s="113" t="s">
        <v>68</v>
      </c>
      <c r="C61" s="113">
        <v>2</v>
      </c>
      <c r="D61" s="113">
        <v>4</v>
      </c>
      <c r="E61" s="113">
        <v>3</v>
      </c>
      <c r="F61" s="111"/>
      <c r="G61" s="111"/>
      <c r="H61" s="122">
        <f t="shared" ref="H61:H62" si="4">E61*D61*C61</f>
        <v>24</v>
      </c>
    </row>
    <row r="62" spans="1:8" ht="21.95" customHeight="1">
      <c r="A62" s="99"/>
      <c r="B62" s="113" t="s">
        <v>69</v>
      </c>
      <c r="C62" s="113">
        <v>2</v>
      </c>
      <c r="D62" s="113">
        <v>4</v>
      </c>
      <c r="E62" s="113">
        <v>3</v>
      </c>
      <c r="F62" s="111"/>
      <c r="G62" s="111"/>
      <c r="H62" s="122">
        <f t="shared" si="4"/>
        <v>24</v>
      </c>
    </row>
    <row r="63" spans="1:8" ht="21.95" customHeight="1">
      <c r="A63" s="99"/>
      <c r="B63" s="113"/>
      <c r="C63" s="113"/>
      <c r="D63" s="113"/>
      <c r="E63" s="113"/>
      <c r="F63" s="111"/>
      <c r="G63" s="111"/>
      <c r="H63" s="106">
        <f>SUM(H60:H62)</f>
        <v>112</v>
      </c>
    </row>
    <row r="64" spans="1:8" ht="81.75" customHeight="1">
      <c r="A64" s="99">
        <v>14</v>
      </c>
      <c r="B64" s="258" t="s">
        <v>70</v>
      </c>
      <c r="C64" s="259"/>
      <c r="D64" s="259"/>
      <c r="E64" s="259"/>
      <c r="F64" s="259"/>
      <c r="G64" s="259"/>
      <c r="H64" s="260"/>
    </row>
    <row r="65" spans="1:8" ht="21.95" customHeight="1">
      <c r="A65" s="99"/>
      <c r="B65" s="261" t="s">
        <v>71</v>
      </c>
      <c r="C65" s="261"/>
      <c r="D65" s="261"/>
      <c r="E65" s="261"/>
      <c r="F65" s="261"/>
      <c r="G65" s="261"/>
      <c r="H65" s="120"/>
    </row>
    <row r="66" spans="1:8" ht="21.95" customHeight="1">
      <c r="A66" s="99"/>
      <c r="B66" s="123" t="s">
        <v>73</v>
      </c>
      <c r="C66" s="124">
        <v>2</v>
      </c>
      <c r="D66" s="124">
        <v>1</v>
      </c>
      <c r="E66" s="124">
        <v>36</v>
      </c>
      <c r="F66" s="124"/>
      <c r="G66" s="124"/>
      <c r="H66" s="122">
        <f>E66*D66*C66</f>
        <v>72</v>
      </c>
    </row>
    <row r="67" spans="1:8" ht="21.95" customHeight="1">
      <c r="A67" s="99"/>
      <c r="B67" s="116" t="s">
        <v>74</v>
      </c>
      <c r="C67" s="122">
        <v>2</v>
      </c>
      <c r="D67" s="122">
        <v>4</v>
      </c>
      <c r="E67" s="122">
        <v>2.5</v>
      </c>
      <c r="F67" s="122"/>
      <c r="G67" s="122"/>
      <c r="H67" s="122">
        <f>E67*D67*C67</f>
        <v>20</v>
      </c>
    </row>
    <row r="68" spans="1:8" ht="21.95" customHeight="1">
      <c r="A68" s="99"/>
      <c r="B68" s="116"/>
      <c r="C68" s="125"/>
      <c r="D68" s="125"/>
      <c r="E68" s="125"/>
      <c r="F68" s="262" t="s">
        <v>72</v>
      </c>
      <c r="G68" s="263"/>
      <c r="H68" s="120">
        <f>SUM(H66:H67)</f>
        <v>92</v>
      </c>
    </row>
    <row r="69" spans="1:8" ht="92.25" customHeight="1">
      <c r="A69" s="99">
        <v>15</v>
      </c>
      <c r="B69" s="257" t="s">
        <v>490</v>
      </c>
      <c r="C69" s="257"/>
      <c r="D69" s="257"/>
      <c r="E69" s="257"/>
      <c r="F69" s="257"/>
      <c r="G69" s="257"/>
      <c r="H69" s="100"/>
    </row>
    <row r="70" spans="1:8" s="110" customFormat="1" ht="21.75" customHeight="1">
      <c r="A70" s="107"/>
      <c r="B70" s="126" t="s">
        <v>9</v>
      </c>
      <c r="C70" s="108">
        <v>2</v>
      </c>
      <c r="D70" s="108">
        <v>8</v>
      </c>
      <c r="E70" s="109">
        <v>1.2</v>
      </c>
      <c r="F70" s="109"/>
      <c r="G70" s="109">
        <v>1.35</v>
      </c>
      <c r="H70" s="104">
        <f>G70*E70*D70*C70</f>
        <v>25.92</v>
      </c>
    </row>
    <row r="71" spans="1:8" ht="20.25" customHeight="1">
      <c r="A71" s="99"/>
      <c r="B71" s="102"/>
      <c r="C71" s="102"/>
      <c r="D71" s="102"/>
      <c r="E71" s="102"/>
      <c r="F71" s="102"/>
      <c r="G71" s="102"/>
      <c r="H71" s="106">
        <f>SUM(H70:H70)</f>
        <v>25.92</v>
      </c>
    </row>
    <row r="72" spans="1:8" s="129" customFormat="1" ht="66" customHeight="1">
      <c r="A72" s="127">
        <v>16</v>
      </c>
      <c r="B72" s="269" t="s">
        <v>10</v>
      </c>
      <c r="C72" s="269"/>
      <c r="D72" s="269"/>
      <c r="E72" s="269"/>
      <c r="F72" s="269"/>
      <c r="G72" s="269"/>
      <c r="H72" s="128"/>
    </row>
    <row r="73" spans="1:8" ht="15" customHeight="1">
      <c r="A73" s="99"/>
      <c r="B73" s="113" t="s">
        <v>44</v>
      </c>
      <c r="C73" s="113">
        <v>2</v>
      </c>
      <c r="D73" s="113">
        <v>6</v>
      </c>
      <c r="E73" s="113">
        <v>3</v>
      </c>
      <c r="F73" s="113"/>
      <c r="G73" s="113">
        <v>1.5</v>
      </c>
      <c r="H73" s="104">
        <f>G73*E73*D73*C73</f>
        <v>54</v>
      </c>
    </row>
    <row r="74" spans="1:8" ht="15" customHeight="1">
      <c r="A74" s="99"/>
      <c r="B74" s="113" t="s">
        <v>45</v>
      </c>
      <c r="C74" s="113">
        <v>2</v>
      </c>
      <c r="D74" s="113">
        <v>6</v>
      </c>
      <c r="E74" s="113">
        <v>2.5</v>
      </c>
      <c r="F74" s="113"/>
      <c r="G74" s="113">
        <v>1.8</v>
      </c>
      <c r="H74" s="104">
        <f t="shared" ref="H74:H75" si="5">G74*E74*D74*C74</f>
        <v>54</v>
      </c>
    </row>
    <row r="75" spans="1:8" ht="15" customHeight="1">
      <c r="A75" s="99"/>
      <c r="B75" s="113" t="s">
        <v>46</v>
      </c>
      <c r="C75" s="113">
        <v>2</v>
      </c>
      <c r="D75" s="113">
        <v>8</v>
      </c>
      <c r="E75" s="113">
        <v>1.2</v>
      </c>
      <c r="F75" s="113"/>
      <c r="G75" s="113">
        <v>2</v>
      </c>
      <c r="H75" s="104">
        <f t="shared" si="5"/>
        <v>38.4</v>
      </c>
    </row>
    <row r="76" spans="1:8" s="110" customFormat="1" ht="15" customHeight="1">
      <c r="A76" s="131"/>
      <c r="B76" s="132" t="s">
        <v>11</v>
      </c>
      <c r="C76" s="108">
        <v>1</v>
      </c>
      <c r="D76" s="108">
        <v>2</v>
      </c>
      <c r="E76" s="109">
        <v>51.8</v>
      </c>
      <c r="F76" s="109"/>
      <c r="G76" s="109">
        <v>2.8</v>
      </c>
      <c r="H76" s="104">
        <f>G76*E76*D76*C76</f>
        <v>290.08</v>
      </c>
    </row>
    <row r="77" spans="1:8" s="110" customFormat="1" ht="15" customHeight="1">
      <c r="A77" s="131"/>
      <c r="B77" s="126" t="s">
        <v>79</v>
      </c>
      <c r="C77" s="108">
        <v>-2</v>
      </c>
      <c r="D77" s="108">
        <v>8</v>
      </c>
      <c r="E77" s="109">
        <v>1</v>
      </c>
      <c r="F77" s="109"/>
      <c r="G77" s="109">
        <v>2</v>
      </c>
      <c r="H77" s="104">
        <f t="shared" ref="H77:H78" si="6">G77*E77*D77*C77</f>
        <v>-32</v>
      </c>
    </row>
    <row r="78" spans="1:8" s="110" customFormat="1" ht="15" customHeight="1">
      <c r="A78" s="131"/>
      <c r="B78" s="126" t="s">
        <v>80</v>
      </c>
      <c r="C78" s="108">
        <v>-2</v>
      </c>
      <c r="D78" s="108">
        <v>8</v>
      </c>
      <c r="E78" s="109">
        <v>1.2</v>
      </c>
      <c r="F78" s="109"/>
      <c r="G78" s="109">
        <v>1.2</v>
      </c>
      <c r="H78" s="104">
        <f t="shared" si="6"/>
        <v>-23.04</v>
      </c>
    </row>
    <row r="79" spans="1:8" ht="15" customHeight="1">
      <c r="A79" s="99"/>
      <c r="B79" s="113"/>
      <c r="C79" s="113"/>
      <c r="D79" s="113"/>
      <c r="E79" s="113"/>
      <c r="F79" s="113"/>
      <c r="G79" s="113"/>
      <c r="H79" s="106">
        <f>SUM(H73:H78)</f>
        <v>381.44</v>
      </c>
    </row>
    <row r="80" spans="1:8" ht="105.75" customHeight="1">
      <c r="A80" s="99">
        <v>17</v>
      </c>
      <c r="B80" s="257" t="s">
        <v>486</v>
      </c>
      <c r="C80" s="257"/>
      <c r="D80" s="257"/>
      <c r="E80" s="257"/>
      <c r="F80" s="257"/>
      <c r="G80" s="257"/>
      <c r="H80" s="130"/>
    </row>
    <row r="81" spans="1:8" s="134" customFormat="1" ht="15" customHeight="1">
      <c r="A81" s="133"/>
      <c r="B81" s="138" t="s">
        <v>83</v>
      </c>
      <c r="C81" s="138">
        <v>2</v>
      </c>
      <c r="D81" s="138">
        <v>4</v>
      </c>
      <c r="E81" s="139">
        <v>1</v>
      </c>
      <c r="F81" s="139">
        <v>2</v>
      </c>
      <c r="G81" s="139">
        <v>2</v>
      </c>
      <c r="H81" s="140">
        <f>G81*F81*E81*D81*C81</f>
        <v>32</v>
      </c>
    </row>
    <row r="82" spans="1:8" s="134" customFormat="1" ht="15" customHeight="1">
      <c r="A82" s="133"/>
      <c r="B82" s="138" t="s">
        <v>59</v>
      </c>
      <c r="C82" s="138">
        <v>2</v>
      </c>
      <c r="D82" s="138">
        <v>3</v>
      </c>
      <c r="E82" s="139">
        <v>32</v>
      </c>
      <c r="F82" s="139"/>
      <c r="G82" s="139">
        <v>0.3</v>
      </c>
      <c r="H82" s="140">
        <f>G82*E82*D82*C82</f>
        <v>57.599999999999994</v>
      </c>
    </row>
    <row r="83" spans="1:8" s="134" customFormat="1" ht="15" customHeight="1">
      <c r="A83" s="133"/>
      <c r="B83" s="138" t="s">
        <v>84</v>
      </c>
      <c r="C83" s="138">
        <v>1</v>
      </c>
      <c r="D83" s="138">
        <v>2</v>
      </c>
      <c r="E83" s="139">
        <v>2</v>
      </c>
      <c r="F83" s="139"/>
      <c r="G83" s="139">
        <v>3.5</v>
      </c>
      <c r="H83" s="140">
        <f>G83*E83*D83*C83</f>
        <v>14</v>
      </c>
    </row>
    <row r="84" spans="1:8" s="134" customFormat="1" ht="15" customHeight="1">
      <c r="A84" s="133"/>
      <c r="B84" s="141"/>
      <c r="C84" s="142"/>
      <c r="D84" s="142"/>
      <c r="E84" s="142"/>
      <c r="F84" s="138"/>
      <c r="G84" s="142"/>
      <c r="H84" s="143">
        <f>SUM(H81:H83)</f>
        <v>103.6</v>
      </c>
    </row>
    <row r="85" spans="1:8" ht="135" customHeight="1">
      <c r="A85" s="99">
        <f>+A80+1</f>
        <v>18</v>
      </c>
      <c r="B85" s="236" t="s">
        <v>104</v>
      </c>
      <c r="C85" s="236"/>
      <c r="D85" s="236"/>
      <c r="E85" s="236"/>
      <c r="F85" s="236"/>
      <c r="G85" s="236"/>
      <c r="H85" s="144"/>
    </row>
    <row r="86" spans="1:8" ht="15" customHeight="1">
      <c r="A86" s="99"/>
      <c r="B86" s="145" t="s">
        <v>105</v>
      </c>
      <c r="C86" s="146">
        <v>2</v>
      </c>
      <c r="D86" s="146">
        <v>4</v>
      </c>
      <c r="E86" s="146">
        <v>1</v>
      </c>
      <c r="F86" s="146"/>
      <c r="G86" s="146"/>
      <c r="H86" s="104">
        <v>8</v>
      </c>
    </row>
    <row r="87" spans="1:8" ht="15" customHeight="1">
      <c r="A87" s="99"/>
      <c r="B87" s="147" t="s">
        <v>106</v>
      </c>
      <c r="C87" s="146">
        <v>2</v>
      </c>
      <c r="D87" s="146">
        <v>4</v>
      </c>
      <c r="E87" s="146">
        <v>2</v>
      </c>
      <c r="F87" s="146"/>
      <c r="G87" s="146"/>
      <c r="H87" s="104">
        <f>E87*D87*C87</f>
        <v>16</v>
      </c>
    </row>
    <row r="88" spans="1:8" ht="15" customHeight="1">
      <c r="A88" s="99"/>
      <c r="B88" s="147"/>
      <c r="C88" s="146"/>
      <c r="D88" s="146"/>
      <c r="E88" s="146"/>
      <c r="F88" s="146"/>
      <c r="G88" s="146"/>
      <c r="H88" s="106">
        <f>SUM(H86:H87)</f>
        <v>24</v>
      </c>
    </row>
    <row r="89" spans="1:8" ht="174" customHeight="1">
      <c r="A89" s="99">
        <f>+A85+1</f>
        <v>19</v>
      </c>
      <c r="B89" s="236" t="s">
        <v>89</v>
      </c>
      <c r="C89" s="236"/>
      <c r="D89" s="236"/>
      <c r="E89" s="236"/>
      <c r="F89" s="236"/>
      <c r="G89" s="236"/>
      <c r="H89" s="144"/>
    </row>
    <row r="90" spans="1:8" ht="15" customHeight="1">
      <c r="A90" s="99"/>
      <c r="B90" s="145" t="s">
        <v>85</v>
      </c>
      <c r="C90" s="146">
        <v>2</v>
      </c>
      <c r="D90" s="146">
        <v>4</v>
      </c>
      <c r="E90" s="146"/>
      <c r="F90" s="146"/>
      <c r="G90" s="146"/>
      <c r="H90" s="104">
        <v>8</v>
      </c>
    </row>
    <row r="91" spans="1:8" ht="15" customHeight="1">
      <c r="A91" s="99"/>
      <c r="B91" s="145" t="s">
        <v>86</v>
      </c>
      <c r="C91" s="146">
        <v>2</v>
      </c>
      <c r="D91" s="146">
        <v>4</v>
      </c>
      <c r="E91" s="146"/>
      <c r="F91" s="146"/>
      <c r="G91" s="146"/>
      <c r="H91" s="104">
        <v>8</v>
      </c>
    </row>
    <row r="92" spans="1:8" ht="15" customHeight="1">
      <c r="A92" s="99"/>
      <c r="B92" s="145" t="s">
        <v>81</v>
      </c>
      <c r="C92" s="146">
        <v>2</v>
      </c>
      <c r="D92" s="146">
        <v>4</v>
      </c>
      <c r="E92" s="146"/>
      <c r="F92" s="146"/>
      <c r="G92" s="146"/>
      <c r="H92" s="104">
        <v>8</v>
      </c>
    </row>
    <row r="93" spans="1:8" ht="15" customHeight="1">
      <c r="A93" s="99"/>
      <c r="B93" s="145" t="s">
        <v>87</v>
      </c>
      <c r="C93" s="146">
        <v>2</v>
      </c>
      <c r="D93" s="146">
        <v>4</v>
      </c>
      <c r="E93" s="146"/>
      <c r="F93" s="146"/>
      <c r="G93" s="146"/>
      <c r="H93" s="104">
        <v>8</v>
      </c>
    </row>
    <row r="94" spans="1:8" ht="15" customHeight="1">
      <c r="A94" s="99"/>
      <c r="B94" s="145" t="s">
        <v>88</v>
      </c>
      <c r="C94" s="146">
        <v>2</v>
      </c>
      <c r="D94" s="146">
        <v>4</v>
      </c>
      <c r="E94" s="146"/>
      <c r="F94" s="146"/>
      <c r="G94" s="146"/>
      <c r="H94" s="104">
        <v>8</v>
      </c>
    </row>
    <row r="95" spans="1:8" ht="15" customHeight="1">
      <c r="A95" s="99"/>
      <c r="B95" s="145" t="s">
        <v>95</v>
      </c>
      <c r="C95" s="146">
        <v>2</v>
      </c>
      <c r="D95" s="146">
        <v>4</v>
      </c>
      <c r="E95" s="146"/>
      <c r="F95" s="146"/>
      <c r="G95" s="146"/>
      <c r="H95" s="104">
        <v>8</v>
      </c>
    </row>
    <row r="96" spans="1:8" ht="15" customHeight="1">
      <c r="A96" s="99"/>
      <c r="B96" s="147"/>
      <c r="C96" s="146"/>
      <c r="D96" s="146"/>
      <c r="E96" s="146"/>
      <c r="F96" s="146"/>
      <c r="G96" s="146"/>
      <c r="H96" s="106">
        <f>SUM(H90:H95)</f>
        <v>48</v>
      </c>
    </row>
    <row r="97" spans="1:8" ht="121.5" customHeight="1">
      <c r="A97" s="99">
        <v>20</v>
      </c>
      <c r="B97" s="236" t="s">
        <v>15</v>
      </c>
      <c r="C97" s="236"/>
      <c r="D97" s="236"/>
      <c r="E97" s="236"/>
      <c r="F97" s="236"/>
      <c r="G97" s="236"/>
      <c r="H97" s="144"/>
    </row>
    <row r="98" spans="1:8" ht="15" customHeight="1">
      <c r="A98" s="99"/>
      <c r="B98" s="145" t="s">
        <v>90</v>
      </c>
      <c r="C98" s="146">
        <v>2</v>
      </c>
      <c r="D98" s="146">
        <v>4</v>
      </c>
      <c r="E98" s="146"/>
      <c r="F98" s="146"/>
      <c r="G98" s="146"/>
      <c r="H98" s="104">
        <v>8</v>
      </c>
    </row>
    <row r="99" spans="1:8" ht="15" customHeight="1">
      <c r="A99" s="99"/>
      <c r="B99" s="145" t="s">
        <v>91</v>
      </c>
      <c r="C99" s="146">
        <v>2</v>
      </c>
      <c r="D99" s="146">
        <v>4</v>
      </c>
      <c r="E99" s="146"/>
      <c r="F99" s="146"/>
      <c r="G99" s="146"/>
      <c r="H99" s="104">
        <v>8</v>
      </c>
    </row>
    <row r="100" spans="1:8" ht="15" customHeight="1">
      <c r="A100" s="99"/>
      <c r="B100" s="147" t="s">
        <v>92</v>
      </c>
      <c r="C100" s="146">
        <v>2</v>
      </c>
      <c r="D100" s="146">
        <v>4</v>
      </c>
      <c r="E100" s="146"/>
      <c r="F100" s="146"/>
      <c r="G100" s="146"/>
      <c r="H100" s="104">
        <v>8</v>
      </c>
    </row>
    <row r="101" spans="1:8" ht="15" customHeight="1">
      <c r="A101" s="99"/>
      <c r="B101" s="147"/>
      <c r="C101" s="146"/>
      <c r="D101" s="146"/>
      <c r="E101" s="146"/>
      <c r="F101" s="146"/>
      <c r="G101" s="146"/>
      <c r="H101" s="106">
        <f>SUM(H98:H100)</f>
        <v>24</v>
      </c>
    </row>
    <row r="102" spans="1:8" ht="101.25" customHeight="1">
      <c r="A102" s="99">
        <f>+A97+1</f>
        <v>21</v>
      </c>
      <c r="B102" s="236" t="s">
        <v>16</v>
      </c>
      <c r="C102" s="236"/>
      <c r="D102" s="236"/>
      <c r="E102" s="236"/>
      <c r="F102" s="236"/>
      <c r="G102" s="236"/>
      <c r="H102" s="144"/>
    </row>
    <row r="103" spans="1:8" ht="15" customHeight="1">
      <c r="A103" s="99"/>
      <c r="B103" s="145" t="s">
        <v>93</v>
      </c>
      <c r="C103" s="146">
        <v>2</v>
      </c>
      <c r="D103" s="146">
        <v>4</v>
      </c>
      <c r="E103" s="146"/>
      <c r="F103" s="146"/>
      <c r="G103" s="146"/>
      <c r="H103" s="104">
        <v>8</v>
      </c>
    </row>
    <row r="104" spans="1:8" ht="15" customHeight="1">
      <c r="A104" s="99"/>
      <c r="B104" s="147" t="s">
        <v>91</v>
      </c>
      <c r="C104" s="146">
        <v>2</v>
      </c>
      <c r="D104" s="146">
        <v>4</v>
      </c>
      <c r="E104" s="146"/>
      <c r="F104" s="146"/>
      <c r="G104" s="146"/>
      <c r="H104" s="104">
        <v>8</v>
      </c>
    </row>
    <row r="105" spans="1:8" ht="15" customHeight="1">
      <c r="A105" s="99"/>
      <c r="B105" s="147"/>
      <c r="C105" s="146"/>
      <c r="D105" s="146"/>
      <c r="E105" s="146"/>
      <c r="F105" s="146"/>
      <c r="G105" s="146"/>
      <c r="H105" s="106">
        <f>SUM(H103:H104)</f>
        <v>16</v>
      </c>
    </row>
    <row r="106" spans="1:8" ht="73.5" customHeight="1">
      <c r="A106" s="99">
        <v>22</v>
      </c>
      <c r="B106" s="236" t="s">
        <v>17</v>
      </c>
      <c r="C106" s="236"/>
      <c r="D106" s="236"/>
      <c r="E106" s="236"/>
      <c r="F106" s="236"/>
      <c r="G106" s="236"/>
      <c r="H106" s="144"/>
    </row>
    <row r="107" spans="1:8" ht="15" customHeight="1">
      <c r="A107" s="99"/>
      <c r="B107" s="145" t="s">
        <v>94</v>
      </c>
      <c r="C107" s="146">
        <v>2</v>
      </c>
      <c r="D107" s="146">
        <v>4</v>
      </c>
      <c r="E107" s="109">
        <v>12</v>
      </c>
      <c r="F107" s="146"/>
      <c r="G107" s="146"/>
      <c r="H107" s="104">
        <f>E107*D107*C107</f>
        <v>96</v>
      </c>
    </row>
    <row r="108" spans="1:8" ht="15" customHeight="1">
      <c r="A108" s="99"/>
      <c r="B108" s="147"/>
      <c r="C108" s="146"/>
      <c r="D108" s="146"/>
      <c r="E108" s="146"/>
      <c r="F108" s="146"/>
      <c r="G108" s="146"/>
      <c r="H108" s="106">
        <f>SUM(H107:H107)</f>
        <v>96</v>
      </c>
    </row>
    <row r="109" spans="1:8" ht="89.25" customHeight="1">
      <c r="A109" s="99">
        <v>23</v>
      </c>
      <c r="B109" s="236" t="s">
        <v>18</v>
      </c>
      <c r="C109" s="236"/>
      <c r="D109" s="236"/>
      <c r="E109" s="236"/>
      <c r="F109" s="236"/>
      <c r="G109" s="236"/>
      <c r="H109" s="148"/>
    </row>
    <row r="110" spans="1:8" ht="15" customHeight="1">
      <c r="A110" s="99"/>
      <c r="B110" s="145" t="s">
        <v>90</v>
      </c>
      <c r="C110" s="146">
        <v>2</v>
      </c>
      <c r="D110" s="146">
        <v>4</v>
      </c>
      <c r="E110" s="146"/>
      <c r="F110" s="146"/>
      <c r="G110" s="146"/>
      <c r="H110" s="104">
        <v>8</v>
      </c>
    </row>
    <row r="111" spans="1:8" ht="15" customHeight="1">
      <c r="A111" s="99"/>
      <c r="B111" s="145" t="s">
        <v>91</v>
      </c>
      <c r="C111" s="146">
        <v>2</v>
      </c>
      <c r="D111" s="146">
        <v>4</v>
      </c>
      <c r="E111" s="146"/>
      <c r="F111" s="146"/>
      <c r="G111" s="146"/>
      <c r="H111" s="104">
        <v>8</v>
      </c>
    </row>
    <row r="112" spans="1:8" ht="15" customHeight="1">
      <c r="A112" s="99"/>
      <c r="B112" s="147" t="s">
        <v>92</v>
      </c>
      <c r="C112" s="146">
        <v>2</v>
      </c>
      <c r="D112" s="146">
        <v>4</v>
      </c>
      <c r="E112" s="146"/>
      <c r="F112" s="146"/>
      <c r="G112" s="146"/>
      <c r="H112" s="106">
        <v>8</v>
      </c>
    </row>
    <row r="113" spans="1:18" ht="15" customHeight="1">
      <c r="A113" s="99"/>
      <c r="B113" s="147"/>
      <c r="C113" s="146"/>
      <c r="D113" s="146"/>
      <c r="E113" s="146"/>
      <c r="F113" s="146"/>
      <c r="G113" s="146"/>
      <c r="H113" s="106">
        <f>SUM(H110:H112)</f>
        <v>24</v>
      </c>
    </row>
    <row r="114" spans="1:18" ht="48.75" customHeight="1">
      <c r="A114" s="99">
        <v>24</v>
      </c>
      <c r="B114" s="270" t="s">
        <v>19</v>
      </c>
      <c r="C114" s="271"/>
      <c r="D114" s="271"/>
      <c r="E114" s="271"/>
      <c r="F114" s="271"/>
      <c r="G114" s="271"/>
      <c r="H114" s="272"/>
    </row>
    <row r="115" spans="1:18" ht="15" customHeight="1">
      <c r="A115" s="99"/>
      <c r="B115" s="145" t="s">
        <v>90</v>
      </c>
      <c r="C115" s="146">
        <v>2</v>
      </c>
      <c r="D115" s="146">
        <v>4</v>
      </c>
      <c r="E115" s="146"/>
      <c r="F115" s="146"/>
      <c r="G115" s="146"/>
      <c r="H115" s="104">
        <v>8</v>
      </c>
    </row>
    <row r="116" spans="1:18" ht="15" customHeight="1">
      <c r="A116" s="99"/>
      <c r="B116" s="145" t="s">
        <v>91</v>
      </c>
      <c r="C116" s="146">
        <v>2</v>
      </c>
      <c r="D116" s="146">
        <v>4</v>
      </c>
      <c r="E116" s="146"/>
      <c r="F116" s="146"/>
      <c r="G116" s="146"/>
      <c r="H116" s="104">
        <v>8</v>
      </c>
    </row>
    <row r="117" spans="1:18" ht="15" customHeight="1">
      <c r="A117" s="99"/>
      <c r="B117" s="147" t="s">
        <v>92</v>
      </c>
      <c r="C117" s="146">
        <v>2</v>
      </c>
      <c r="D117" s="146">
        <v>4</v>
      </c>
      <c r="E117" s="146"/>
      <c r="F117" s="146"/>
      <c r="G117" s="146"/>
      <c r="H117" s="106">
        <v>8</v>
      </c>
    </row>
    <row r="118" spans="1:18" ht="15" customHeight="1">
      <c r="A118" s="99"/>
      <c r="B118" s="147"/>
      <c r="C118" s="146"/>
      <c r="D118" s="146"/>
      <c r="E118" s="146"/>
      <c r="F118" s="146"/>
      <c r="G118" s="146"/>
      <c r="H118" s="106">
        <f>SUM(H115:H117)</f>
        <v>24</v>
      </c>
    </row>
    <row r="119" spans="1:18" ht="64.5" customHeight="1">
      <c r="A119" s="99">
        <v>25</v>
      </c>
      <c r="B119" s="237" t="s">
        <v>408</v>
      </c>
      <c r="C119" s="238"/>
      <c r="D119" s="238"/>
      <c r="E119" s="238"/>
      <c r="F119" s="238"/>
      <c r="G119" s="239"/>
      <c r="H119" s="148"/>
      <c r="L119" s="101">
        <f>9.25-0.76</f>
        <v>8.49</v>
      </c>
      <c r="N119" s="101">
        <f>24.85-0.76</f>
        <v>24.09</v>
      </c>
    </row>
    <row r="120" spans="1:18" ht="15" customHeight="1">
      <c r="A120" s="99"/>
      <c r="B120" s="102" t="s">
        <v>36</v>
      </c>
      <c r="C120" s="105">
        <v>2</v>
      </c>
      <c r="D120" s="105">
        <v>4</v>
      </c>
      <c r="E120" s="103">
        <v>3.7</v>
      </c>
      <c r="F120" s="105">
        <v>1.2</v>
      </c>
      <c r="G120" s="103"/>
      <c r="H120" s="104">
        <f>F120*E120*D120*C120</f>
        <v>35.520000000000003</v>
      </c>
      <c r="K120" s="101" t="e">
        <f>F120+#REF!</f>
        <v>#REF!</v>
      </c>
      <c r="M120" s="101">
        <f>6.38-0.38-0.38</f>
        <v>5.62</v>
      </c>
      <c r="R120" s="101">
        <f>5.75+25.3</f>
        <v>31.05</v>
      </c>
    </row>
    <row r="121" spans="1:18" ht="15" customHeight="1">
      <c r="A121" s="99"/>
      <c r="B121" s="102" t="s">
        <v>37</v>
      </c>
      <c r="C121" s="105">
        <v>2</v>
      </c>
      <c r="D121" s="105">
        <v>4</v>
      </c>
      <c r="E121" s="103">
        <v>3.65</v>
      </c>
      <c r="F121" s="105">
        <v>2.4</v>
      </c>
      <c r="G121" s="103"/>
      <c r="H121" s="104">
        <f t="shared" ref="H121:H124" si="7">F121*E121*D121*C121</f>
        <v>70.08</v>
      </c>
    </row>
    <row r="122" spans="1:18" ht="15" customHeight="1">
      <c r="A122" s="99"/>
      <c r="B122" s="102" t="s">
        <v>38</v>
      </c>
      <c r="C122" s="108">
        <v>2</v>
      </c>
      <c r="D122" s="108">
        <v>4</v>
      </c>
      <c r="E122" s="109">
        <v>3.05</v>
      </c>
      <c r="F122" s="108">
        <v>3.65</v>
      </c>
      <c r="G122" s="109"/>
      <c r="H122" s="104">
        <f t="shared" si="7"/>
        <v>89.059999999999988</v>
      </c>
    </row>
    <row r="123" spans="1:18" ht="15" customHeight="1">
      <c r="A123" s="99"/>
      <c r="B123" s="102" t="s">
        <v>39</v>
      </c>
      <c r="C123" s="108">
        <v>2</v>
      </c>
      <c r="D123" s="108">
        <v>4</v>
      </c>
      <c r="E123" s="109">
        <v>3.1</v>
      </c>
      <c r="F123" s="108">
        <v>2.1</v>
      </c>
      <c r="G123" s="109"/>
      <c r="H123" s="104">
        <f t="shared" si="7"/>
        <v>52.080000000000005</v>
      </c>
    </row>
    <row r="124" spans="1:18" ht="15" customHeight="1">
      <c r="A124" s="99"/>
      <c r="B124" s="102" t="s">
        <v>40</v>
      </c>
      <c r="C124" s="108">
        <v>2</v>
      </c>
      <c r="D124" s="108">
        <v>4</v>
      </c>
      <c r="E124" s="109">
        <v>3.65</v>
      </c>
      <c r="F124" s="108">
        <v>2.1</v>
      </c>
      <c r="G124" s="109"/>
      <c r="H124" s="104">
        <f t="shared" si="7"/>
        <v>61.32</v>
      </c>
    </row>
    <row r="125" spans="1:18" ht="15" customHeight="1">
      <c r="A125" s="99"/>
      <c r="B125" s="111"/>
      <c r="C125" s="111"/>
      <c r="D125" s="111"/>
      <c r="E125" s="111"/>
      <c r="F125" s="111"/>
      <c r="G125" s="111"/>
      <c r="H125" s="106">
        <f>SUM(H120:H124)</f>
        <v>308.06</v>
      </c>
    </row>
    <row r="126" spans="1:18" ht="54.75" customHeight="1">
      <c r="A126" s="99">
        <f>+A119+1</f>
        <v>26</v>
      </c>
      <c r="B126" s="236" t="s">
        <v>20</v>
      </c>
      <c r="C126" s="236"/>
      <c r="D126" s="236"/>
      <c r="E126" s="236"/>
      <c r="F126" s="236"/>
      <c r="G126" s="236"/>
      <c r="H126" s="144"/>
    </row>
    <row r="127" spans="1:18" ht="15" customHeight="1">
      <c r="A127" s="99"/>
      <c r="B127" s="147" t="s">
        <v>14</v>
      </c>
      <c r="C127" s="146">
        <v>2</v>
      </c>
      <c r="D127" s="146">
        <v>4</v>
      </c>
      <c r="E127" s="146"/>
      <c r="F127" s="146"/>
      <c r="G127" s="146"/>
      <c r="H127" s="104">
        <v>8</v>
      </c>
    </row>
    <row r="128" spans="1:18" ht="15" customHeight="1">
      <c r="A128" s="99"/>
      <c r="B128" s="147"/>
      <c r="C128" s="146"/>
      <c r="D128" s="146"/>
      <c r="E128" s="146"/>
      <c r="F128" s="146"/>
      <c r="G128" s="146"/>
      <c r="H128" s="106">
        <f>SUM(H127)</f>
        <v>8</v>
      </c>
    </row>
    <row r="129" spans="1:8" ht="95.25" customHeight="1">
      <c r="A129" s="99">
        <f>+A126+1</f>
        <v>27</v>
      </c>
      <c r="B129" s="236" t="s">
        <v>21</v>
      </c>
      <c r="C129" s="236"/>
      <c r="D129" s="236"/>
      <c r="E129" s="236"/>
      <c r="F129" s="236"/>
      <c r="G129" s="236"/>
      <c r="H129" s="148"/>
    </row>
    <row r="130" spans="1:8" ht="15" customHeight="1">
      <c r="A130" s="99"/>
      <c r="B130" s="145" t="s">
        <v>85</v>
      </c>
      <c r="C130" s="146">
        <v>2</v>
      </c>
      <c r="D130" s="146">
        <v>4</v>
      </c>
      <c r="E130" s="146"/>
      <c r="F130" s="146"/>
      <c r="G130" s="146"/>
      <c r="H130" s="104">
        <v>8</v>
      </c>
    </row>
    <row r="131" spans="1:8" ht="15" customHeight="1">
      <c r="A131" s="99"/>
      <c r="B131" s="145" t="s">
        <v>86</v>
      </c>
      <c r="C131" s="146">
        <v>2</v>
      </c>
      <c r="D131" s="146">
        <v>4</v>
      </c>
      <c r="E131" s="146"/>
      <c r="F131" s="146"/>
      <c r="G131" s="146"/>
      <c r="H131" s="104">
        <v>8</v>
      </c>
    </row>
    <row r="132" spans="1:8" ht="15" customHeight="1">
      <c r="A132" s="99"/>
      <c r="B132" s="145" t="s">
        <v>81</v>
      </c>
      <c r="C132" s="146">
        <v>2</v>
      </c>
      <c r="D132" s="146">
        <v>4</v>
      </c>
      <c r="E132" s="146"/>
      <c r="F132" s="146"/>
      <c r="G132" s="146"/>
      <c r="H132" s="104">
        <v>8</v>
      </c>
    </row>
    <row r="133" spans="1:8" ht="15" customHeight="1">
      <c r="A133" s="99"/>
      <c r="B133" s="145" t="s">
        <v>87</v>
      </c>
      <c r="C133" s="146">
        <v>2</v>
      </c>
      <c r="D133" s="146">
        <v>4</v>
      </c>
      <c r="E133" s="146"/>
      <c r="F133" s="146"/>
      <c r="G133" s="146"/>
      <c r="H133" s="104">
        <v>8</v>
      </c>
    </row>
    <row r="134" spans="1:8" ht="15" customHeight="1">
      <c r="A134" s="99"/>
      <c r="B134" s="145" t="s">
        <v>88</v>
      </c>
      <c r="C134" s="146">
        <v>2</v>
      </c>
      <c r="D134" s="146">
        <v>4</v>
      </c>
      <c r="E134" s="146"/>
      <c r="F134" s="146"/>
      <c r="G134" s="146"/>
      <c r="H134" s="104">
        <v>8</v>
      </c>
    </row>
    <row r="135" spans="1:8" ht="20.25" customHeight="1">
      <c r="A135" s="99"/>
      <c r="B135" s="147"/>
      <c r="C135" s="146"/>
      <c r="D135" s="146"/>
      <c r="E135" s="146"/>
      <c r="F135" s="146"/>
      <c r="G135" s="146"/>
      <c r="H135" s="106">
        <f>SUM(H130:H134)</f>
        <v>40</v>
      </c>
    </row>
    <row r="136" spans="1:8" s="94" customFormat="1" ht="69" customHeight="1">
      <c r="A136" s="99">
        <v>28</v>
      </c>
      <c r="B136" s="237" t="s">
        <v>491</v>
      </c>
      <c r="C136" s="238"/>
      <c r="D136" s="238"/>
      <c r="E136" s="238"/>
      <c r="F136" s="238"/>
      <c r="G136" s="239"/>
      <c r="H136" s="149"/>
    </row>
    <row r="137" spans="1:8" s="94" customFormat="1" ht="21" customHeight="1">
      <c r="A137" s="150"/>
      <c r="B137" s="135" t="s">
        <v>96</v>
      </c>
      <c r="C137" s="136">
        <v>1</v>
      </c>
      <c r="D137" s="136">
        <v>2</v>
      </c>
      <c r="E137" s="137">
        <v>30</v>
      </c>
      <c r="F137" s="137"/>
      <c r="G137" s="137"/>
      <c r="H137" s="104">
        <v>60</v>
      </c>
    </row>
    <row r="138" spans="1:8" s="94" customFormat="1">
      <c r="A138" s="150"/>
      <c r="B138" s="135"/>
      <c r="C138" s="136"/>
      <c r="D138" s="136"/>
      <c r="E138" s="137"/>
      <c r="F138" s="137"/>
      <c r="G138" s="137"/>
      <c r="H138" s="106">
        <f>SUM(H137)</f>
        <v>60</v>
      </c>
    </row>
    <row r="139" spans="1:8" ht="65.25" customHeight="1">
      <c r="A139" s="151">
        <v>29</v>
      </c>
      <c r="B139" s="273" t="s">
        <v>492</v>
      </c>
      <c r="C139" s="274"/>
      <c r="D139" s="274"/>
      <c r="E139" s="274"/>
      <c r="F139" s="274"/>
      <c r="G139" s="275"/>
      <c r="H139" s="152"/>
    </row>
    <row r="140" spans="1:8" ht="25.5" customHeight="1">
      <c r="A140" s="151"/>
      <c r="B140" s="152" t="s">
        <v>380</v>
      </c>
      <c r="C140" s="153">
        <v>1</v>
      </c>
      <c r="D140" s="153">
        <v>2</v>
      </c>
      <c r="E140" s="153"/>
      <c r="F140" s="153"/>
      <c r="G140" s="153"/>
      <c r="H140" s="153">
        <v>2</v>
      </c>
    </row>
    <row r="141" spans="1:8" ht="25.5" customHeight="1">
      <c r="A141" s="151"/>
      <c r="B141" s="152"/>
      <c r="C141" s="153"/>
      <c r="D141" s="153"/>
      <c r="E141" s="153"/>
      <c r="F141" s="153"/>
      <c r="G141" s="153"/>
      <c r="H141" s="154">
        <f>SUM(H140)</f>
        <v>2</v>
      </c>
    </row>
    <row r="142" spans="1:8" ht="36.75" customHeight="1">
      <c r="A142" s="151">
        <v>30</v>
      </c>
      <c r="B142" s="242" t="s">
        <v>381</v>
      </c>
      <c r="C142" s="242"/>
      <c r="D142" s="242"/>
      <c r="E142" s="242"/>
      <c r="F142" s="242"/>
      <c r="G142" s="242"/>
      <c r="H142" s="152"/>
    </row>
    <row r="143" spans="1:8">
      <c r="A143" s="151"/>
      <c r="B143" s="155" t="s">
        <v>382</v>
      </c>
      <c r="C143" s="153">
        <v>1</v>
      </c>
      <c r="D143" s="153">
        <v>2</v>
      </c>
      <c r="E143" s="153">
        <v>3</v>
      </c>
      <c r="F143" s="153"/>
      <c r="G143" s="153"/>
      <c r="H143" s="153">
        <v>6</v>
      </c>
    </row>
    <row r="144" spans="1:8">
      <c r="A144" s="151"/>
      <c r="B144" s="156"/>
      <c r="C144" s="152"/>
      <c r="D144" s="152"/>
      <c r="E144" s="152"/>
      <c r="F144" s="152"/>
      <c r="G144" s="152"/>
      <c r="H144" s="154">
        <v>6</v>
      </c>
    </row>
    <row r="145" spans="1:8" ht="24" customHeight="1">
      <c r="A145" s="151">
        <v>31</v>
      </c>
      <c r="B145" s="240" t="s">
        <v>415</v>
      </c>
      <c r="C145" s="240"/>
      <c r="D145" s="240"/>
      <c r="E145" s="240"/>
      <c r="F145" s="240"/>
      <c r="G145" s="240"/>
      <c r="H145" s="59"/>
    </row>
    <row r="146" spans="1:8">
      <c r="A146" s="151"/>
      <c r="B146" s="93" t="s">
        <v>102</v>
      </c>
      <c r="C146" s="60">
        <v>2</v>
      </c>
      <c r="D146" s="60">
        <v>1</v>
      </c>
      <c r="E146" s="60">
        <v>1</v>
      </c>
      <c r="F146" s="61"/>
      <c r="G146" s="61"/>
      <c r="H146" s="59">
        <f>E146*D146*C146</f>
        <v>2</v>
      </c>
    </row>
    <row r="147" spans="1:8">
      <c r="A147" s="151"/>
      <c r="B147" s="93"/>
      <c r="C147" s="60"/>
      <c r="D147" s="60"/>
      <c r="E147" s="60"/>
      <c r="F147" s="241" t="s">
        <v>416</v>
      </c>
      <c r="G147" s="241"/>
      <c r="H147" s="62">
        <f>SUM(H146:H146)</f>
        <v>2</v>
      </c>
    </row>
    <row r="148" spans="1:8" ht="39" customHeight="1">
      <c r="A148" s="99">
        <v>32</v>
      </c>
      <c r="B148" s="253" t="s">
        <v>488</v>
      </c>
      <c r="C148" s="253"/>
      <c r="D148" s="253"/>
      <c r="E148" s="253"/>
      <c r="F148" s="253"/>
      <c r="G148" s="253"/>
      <c r="H148" s="100"/>
    </row>
    <row r="149" spans="1:8" ht="27" customHeight="1">
      <c r="A149" s="99"/>
      <c r="B149" s="102" t="s">
        <v>34</v>
      </c>
      <c r="C149" s="103">
        <v>1</v>
      </c>
      <c r="D149" s="103">
        <v>2</v>
      </c>
      <c r="E149" s="103">
        <v>29</v>
      </c>
      <c r="F149" s="103">
        <v>8</v>
      </c>
      <c r="G149" s="103"/>
      <c r="H149" s="104">
        <f>F149*E149*D149*C149</f>
        <v>464</v>
      </c>
    </row>
    <row r="150" spans="1:8" ht="19.5" customHeight="1">
      <c r="A150" s="99"/>
      <c r="B150" s="102"/>
      <c r="C150" s="105"/>
      <c r="D150" s="105"/>
      <c r="E150" s="105"/>
      <c r="F150" s="105"/>
      <c r="G150" s="105"/>
      <c r="H150" s="106">
        <f>SUM(H149:H149)</f>
        <v>464</v>
      </c>
    </row>
  </sheetData>
  <mergeCells count="41">
    <mergeCell ref="B72:G72"/>
    <mergeCell ref="B148:G148"/>
    <mergeCell ref="B56:G56"/>
    <mergeCell ref="B57:G57"/>
    <mergeCell ref="B59:G59"/>
    <mergeCell ref="B126:G126"/>
    <mergeCell ref="B80:G80"/>
    <mergeCell ref="B85:G85"/>
    <mergeCell ref="B89:G89"/>
    <mergeCell ref="B97:G97"/>
    <mergeCell ref="B102:G102"/>
    <mergeCell ref="B106:G106"/>
    <mergeCell ref="B109:G109"/>
    <mergeCell ref="B114:H114"/>
    <mergeCell ref="B119:G119"/>
    <mergeCell ref="B139:G139"/>
    <mergeCell ref="B69:G69"/>
    <mergeCell ref="B64:H64"/>
    <mergeCell ref="B65:G65"/>
    <mergeCell ref="F68:G68"/>
    <mergeCell ref="B37:G37"/>
    <mergeCell ref="B43:G43"/>
    <mergeCell ref="B46:G46"/>
    <mergeCell ref="F52:G52"/>
    <mergeCell ref="B53:G53"/>
    <mergeCell ref="A1:H1"/>
    <mergeCell ref="A2:H2"/>
    <mergeCell ref="B4:G4"/>
    <mergeCell ref="C3:D3"/>
    <mergeCell ref="B7:G7"/>
    <mergeCell ref="B15:G15"/>
    <mergeCell ref="B24:G24"/>
    <mergeCell ref="B34:G34"/>
    <mergeCell ref="B18:G18"/>
    <mergeCell ref="B21:G21"/>
    <mergeCell ref="B27:G27"/>
    <mergeCell ref="B129:G129"/>
    <mergeCell ref="B136:G136"/>
    <mergeCell ref="B145:G145"/>
    <mergeCell ref="F147:G147"/>
    <mergeCell ref="B142:G142"/>
  </mergeCells>
  <pageMargins left="0.70866141732283472" right="0.70866141732283472" top="0.74803149606299213" bottom="0.55118110236220474"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sheetPr>
    <tabColor rgb="FF00B050"/>
  </sheetPr>
  <dimension ref="A1:J3977"/>
  <sheetViews>
    <sheetView view="pageBreakPreview" topLeftCell="A8" zoomScale="82" zoomScaleSheetLayoutView="82" workbookViewId="0">
      <selection activeCell="K8" sqref="K8"/>
    </sheetView>
  </sheetViews>
  <sheetFormatPr defaultRowHeight="12.75"/>
  <cols>
    <col min="1" max="1" width="9.28515625" style="17" customWidth="1"/>
    <col min="2" max="2" width="69.28515625" style="6" customWidth="1"/>
    <col min="3" max="3" width="14.28515625" style="9" customWidth="1"/>
    <col min="4" max="4" width="10.42578125" style="10" customWidth="1"/>
    <col min="5" max="5" width="14.42578125" style="10" customWidth="1"/>
    <col min="6" max="6" width="17.85546875" style="9" customWidth="1"/>
    <col min="7" max="7" width="14.42578125" style="1" customWidth="1"/>
    <col min="8" max="8" width="16.5703125" style="1" customWidth="1"/>
    <col min="9" max="9" width="15" style="1" customWidth="1"/>
    <col min="10" max="10" width="17.140625" style="1" customWidth="1"/>
    <col min="11" max="18" width="9.140625" style="1"/>
    <col min="19" max="19" width="13" style="1" customWidth="1"/>
    <col min="20" max="20" width="9.140625" style="1"/>
    <col min="21" max="21" width="16.140625" style="1" customWidth="1"/>
    <col min="22" max="22" width="9.140625" style="1"/>
    <col min="23" max="24" width="12.85546875" style="1" customWidth="1"/>
    <col min="25" max="25" width="14.28515625" style="1" customWidth="1"/>
    <col min="26" max="28" width="9.140625" style="1"/>
    <col min="29" max="29" width="16.28515625" style="1" customWidth="1"/>
    <col min="30" max="30" width="9.140625" style="1"/>
    <col min="31" max="32" width="12.85546875" style="1" customWidth="1"/>
    <col min="33" max="33" width="16.140625" style="1" customWidth="1"/>
    <col min="34" max="35" width="9.140625" style="1"/>
    <col min="36" max="36" width="12.5703125" style="1" customWidth="1"/>
    <col min="37" max="247" width="9.140625" style="1"/>
    <col min="248" max="248" width="7" style="1" customWidth="1"/>
    <col min="249" max="249" width="12" style="1" customWidth="1"/>
    <col min="250" max="250" width="69.28515625" style="1" customWidth="1"/>
    <col min="251" max="251" width="12.7109375" style="1" customWidth="1"/>
    <col min="252" max="252" width="8.28515625" style="1" customWidth="1"/>
    <col min="253" max="253" width="17.85546875" style="1" customWidth="1"/>
    <col min="254" max="254" width="24.42578125" style="1" customWidth="1"/>
    <col min="255" max="255" width="10.7109375" style="1" customWidth="1"/>
    <col min="256" max="256" width="13.7109375" style="1" customWidth="1"/>
    <col min="257" max="257" width="22" style="1" customWidth="1"/>
    <col min="258" max="258" width="13.85546875" style="1" customWidth="1"/>
    <col min="259" max="259" width="9.140625" style="1"/>
    <col min="260" max="260" width="14.42578125" style="1" customWidth="1"/>
    <col min="261" max="261" width="9.28515625" style="1" customWidth="1"/>
    <col min="262" max="262" width="14.42578125" style="1" customWidth="1"/>
    <col min="263" max="263" width="10.140625" style="1" customWidth="1"/>
    <col min="264" max="264" width="15" style="1" customWidth="1"/>
    <col min="265" max="265" width="9.140625" style="1"/>
    <col min="266" max="266" width="14.85546875" style="1" customWidth="1"/>
    <col min="267" max="274" width="9.140625" style="1"/>
    <col min="275" max="275" width="13" style="1" customWidth="1"/>
    <col min="276" max="276" width="9.140625" style="1"/>
    <col min="277" max="277" width="16.140625" style="1" customWidth="1"/>
    <col min="278" max="278" width="9.140625" style="1"/>
    <col min="279" max="280" width="12.85546875" style="1" customWidth="1"/>
    <col min="281" max="281" width="14.28515625" style="1" customWidth="1"/>
    <col min="282" max="284" width="9.140625" style="1"/>
    <col min="285" max="285" width="16.28515625" style="1" customWidth="1"/>
    <col min="286" max="286" width="9.140625" style="1"/>
    <col min="287" max="288" width="12.85546875" style="1" customWidth="1"/>
    <col min="289" max="289" width="16.140625" style="1" customWidth="1"/>
    <col min="290" max="291" width="9.140625" style="1"/>
    <col min="292" max="292" width="12.5703125" style="1" customWidth="1"/>
    <col min="293" max="503" width="9.140625" style="1"/>
    <col min="504" max="504" width="7" style="1" customWidth="1"/>
    <col min="505" max="505" width="12" style="1" customWidth="1"/>
    <col min="506" max="506" width="69.28515625" style="1" customWidth="1"/>
    <col min="507" max="507" width="12.7109375" style="1" customWidth="1"/>
    <col min="508" max="508" width="8.28515625" style="1" customWidth="1"/>
    <col min="509" max="509" width="17.85546875" style="1" customWidth="1"/>
    <col min="510" max="510" width="24.42578125" style="1" customWidth="1"/>
    <col min="511" max="511" width="10.7109375" style="1" customWidth="1"/>
    <col min="512" max="512" width="13.7109375" style="1" customWidth="1"/>
    <col min="513" max="513" width="22" style="1" customWidth="1"/>
    <col min="514" max="514" width="13.85546875" style="1" customWidth="1"/>
    <col min="515" max="515" width="9.140625" style="1"/>
    <col min="516" max="516" width="14.42578125" style="1" customWidth="1"/>
    <col min="517" max="517" width="9.28515625" style="1" customWidth="1"/>
    <col min="518" max="518" width="14.42578125" style="1" customWidth="1"/>
    <col min="519" max="519" width="10.140625" style="1" customWidth="1"/>
    <col min="520" max="520" width="15" style="1" customWidth="1"/>
    <col min="521" max="521" width="9.140625" style="1"/>
    <col min="522" max="522" width="14.85546875" style="1" customWidth="1"/>
    <col min="523" max="530" width="9.140625" style="1"/>
    <col min="531" max="531" width="13" style="1" customWidth="1"/>
    <col min="532" max="532" width="9.140625" style="1"/>
    <col min="533" max="533" width="16.140625" style="1" customWidth="1"/>
    <col min="534" max="534" width="9.140625" style="1"/>
    <col min="535" max="536" width="12.85546875" style="1" customWidth="1"/>
    <col min="537" max="537" width="14.28515625" style="1" customWidth="1"/>
    <col min="538" max="540" width="9.140625" style="1"/>
    <col min="541" max="541" width="16.28515625" style="1" customWidth="1"/>
    <col min="542" max="542" width="9.140625" style="1"/>
    <col min="543" max="544" width="12.85546875" style="1" customWidth="1"/>
    <col min="545" max="545" width="16.140625" style="1" customWidth="1"/>
    <col min="546" max="547" width="9.140625" style="1"/>
    <col min="548" max="548" width="12.5703125" style="1" customWidth="1"/>
    <col min="549" max="759" width="9.140625" style="1"/>
    <col min="760" max="760" width="7" style="1" customWidth="1"/>
    <col min="761" max="761" width="12" style="1" customWidth="1"/>
    <col min="762" max="762" width="69.28515625" style="1" customWidth="1"/>
    <col min="763" max="763" width="12.7109375" style="1" customWidth="1"/>
    <col min="764" max="764" width="8.28515625" style="1" customWidth="1"/>
    <col min="765" max="765" width="17.85546875" style="1" customWidth="1"/>
    <col min="766" max="766" width="24.42578125" style="1" customWidth="1"/>
    <col min="767" max="767" width="10.7109375" style="1" customWidth="1"/>
    <col min="768" max="768" width="13.7109375" style="1" customWidth="1"/>
    <col min="769" max="769" width="22" style="1" customWidth="1"/>
    <col min="770" max="770" width="13.85546875" style="1" customWidth="1"/>
    <col min="771" max="771" width="9.140625" style="1"/>
    <col min="772" max="772" width="14.42578125" style="1" customWidth="1"/>
    <col min="773" max="773" width="9.28515625" style="1" customWidth="1"/>
    <col min="774" max="774" width="14.42578125" style="1" customWidth="1"/>
    <col min="775" max="775" width="10.140625" style="1" customWidth="1"/>
    <col min="776" max="776" width="15" style="1" customWidth="1"/>
    <col min="777" max="777" width="9.140625" style="1"/>
    <col min="778" max="778" width="14.85546875" style="1" customWidth="1"/>
    <col min="779" max="786" width="9.140625" style="1"/>
    <col min="787" max="787" width="13" style="1" customWidth="1"/>
    <col min="788" max="788" width="9.140625" style="1"/>
    <col min="789" max="789" width="16.140625" style="1" customWidth="1"/>
    <col min="790" max="790" width="9.140625" style="1"/>
    <col min="791" max="792" width="12.85546875" style="1" customWidth="1"/>
    <col min="793" max="793" width="14.28515625" style="1" customWidth="1"/>
    <col min="794" max="796" width="9.140625" style="1"/>
    <col min="797" max="797" width="16.28515625" style="1" customWidth="1"/>
    <col min="798" max="798" width="9.140625" style="1"/>
    <col min="799" max="800" width="12.85546875" style="1" customWidth="1"/>
    <col min="801" max="801" width="16.140625" style="1" customWidth="1"/>
    <col min="802" max="803" width="9.140625" style="1"/>
    <col min="804" max="804" width="12.5703125" style="1" customWidth="1"/>
    <col min="805" max="1015" width="9.140625" style="1"/>
    <col min="1016" max="1016" width="7" style="1" customWidth="1"/>
    <col min="1017" max="1017" width="12" style="1" customWidth="1"/>
    <col min="1018" max="1018" width="69.28515625" style="1" customWidth="1"/>
    <col min="1019" max="1019" width="12.7109375" style="1" customWidth="1"/>
    <col min="1020" max="1020" width="8.28515625" style="1" customWidth="1"/>
    <col min="1021" max="1021" width="17.85546875" style="1" customWidth="1"/>
    <col min="1022" max="1022" width="24.42578125" style="1" customWidth="1"/>
    <col min="1023" max="1023" width="10.7109375" style="1" customWidth="1"/>
    <col min="1024" max="1024" width="13.7109375" style="1" customWidth="1"/>
    <col min="1025" max="1025" width="22" style="1" customWidth="1"/>
    <col min="1026" max="1026" width="13.85546875" style="1" customWidth="1"/>
    <col min="1027" max="1027" width="9.140625" style="1"/>
    <col min="1028" max="1028" width="14.42578125" style="1" customWidth="1"/>
    <col min="1029" max="1029" width="9.28515625" style="1" customWidth="1"/>
    <col min="1030" max="1030" width="14.42578125" style="1" customWidth="1"/>
    <col min="1031" max="1031" width="10.140625" style="1" customWidth="1"/>
    <col min="1032" max="1032" width="15" style="1" customWidth="1"/>
    <col min="1033" max="1033" width="9.140625" style="1"/>
    <col min="1034" max="1034" width="14.85546875" style="1" customWidth="1"/>
    <col min="1035" max="1042" width="9.140625" style="1"/>
    <col min="1043" max="1043" width="13" style="1" customWidth="1"/>
    <col min="1044" max="1044" width="9.140625" style="1"/>
    <col min="1045" max="1045" width="16.140625" style="1" customWidth="1"/>
    <col min="1046" max="1046" width="9.140625" style="1"/>
    <col min="1047" max="1048" width="12.85546875" style="1" customWidth="1"/>
    <col min="1049" max="1049" width="14.28515625" style="1" customWidth="1"/>
    <col min="1050" max="1052" width="9.140625" style="1"/>
    <col min="1053" max="1053" width="16.28515625" style="1" customWidth="1"/>
    <col min="1054" max="1054" width="9.140625" style="1"/>
    <col min="1055" max="1056" width="12.85546875" style="1" customWidth="1"/>
    <col min="1057" max="1057" width="16.140625" style="1" customWidth="1"/>
    <col min="1058" max="1059" width="9.140625" style="1"/>
    <col min="1060" max="1060" width="12.5703125" style="1" customWidth="1"/>
    <col min="1061" max="1271" width="9.140625" style="1"/>
    <col min="1272" max="1272" width="7" style="1" customWidth="1"/>
    <col min="1273" max="1273" width="12" style="1" customWidth="1"/>
    <col min="1274" max="1274" width="69.28515625" style="1" customWidth="1"/>
    <col min="1275" max="1275" width="12.7109375" style="1" customWidth="1"/>
    <col min="1276" max="1276" width="8.28515625" style="1" customWidth="1"/>
    <col min="1277" max="1277" width="17.85546875" style="1" customWidth="1"/>
    <col min="1278" max="1278" width="24.42578125" style="1" customWidth="1"/>
    <col min="1279" max="1279" width="10.7109375" style="1" customWidth="1"/>
    <col min="1280" max="1280" width="13.7109375" style="1" customWidth="1"/>
    <col min="1281" max="1281" width="22" style="1" customWidth="1"/>
    <col min="1282" max="1282" width="13.85546875" style="1" customWidth="1"/>
    <col min="1283" max="1283" width="9.140625" style="1"/>
    <col min="1284" max="1284" width="14.42578125" style="1" customWidth="1"/>
    <col min="1285" max="1285" width="9.28515625" style="1" customWidth="1"/>
    <col min="1286" max="1286" width="14.42578125" style="1" customWidth="1"/>
    <col min="1287" max="1287" width="10.140625" style="1" customWidth="1"/>
    <col min="1288" max="1288" width="15" style="1" customWidth="1"/>
    <col min="1289" max="1289" width="9.140625" style="1"/>
    <col min="1290" max="1290" width="14.85546875" style="1" customWidth="1"/>
    <col min="1291" max="1298" width="9.140625" style="1"/>
    <col min="1299" max="1299" width="13" style="1" customWidth="1"/>
    <col min="1300" max="1300" width="9.140625" style="1"/>
    <col min="1301" max="1301" width="16.140625" style="1" customWidth="1"/>
    <col min="1302" max="1302" width="9.140625" style="1"/>
    <col min="1303" max="1304" width="12.85546875" style="1" customWidth="1"/>
    <col min="1305" max="1305" width="14.28515625" style="1" customWidth="1"/>
    <col min="1306" max="1308" width="9.140625" style="1"/>
    <col min="1309" max="1309" width="16.28515625" style="1" customWidth="1"/>
    <col min="1310" max="1310" width="9.140625" style="1"/>
    <col min="1311" max="1312" width="12.85546875" style="1" customWidth="1"/>
    <col min="1313" max="1313" width="16.140625" style="1" customWidth="1"/>
    <col min="1314" max="1315" width="9.140625" style="1"/>
    <col min="1316" max="1316" width="12.5703125" style="1" customWidth="1"/>
    <col min="1317" max="1527" width="9.140625" style="1"/>
    <col min="1528" max="1528" width="7" style="1" customWidth="1"/>
    <col min="1529" max="1529" width="12" style="1" customWidth="1"/>
    <col min="1530" max="1530" width="69.28515625" style="1" customWidth="1"/>
    <col min="1531" max="1531" width="12.7109375" style="1" customWidth="1"/>
    <col min="1532" max="1532" width="8.28515625" style="1" customWidth="1"/>
    <col min="1533" max="1533" width="17.85546875" style="1" customWidth="1"/>
    <col min="1534" max="1534" width="24.42578125" style="1" customWidth="1"/>
    <col min="1535" max="1535" width="10.7109375" style="1" customWidth="1"/>
    <col min="1536" max="1536" width="13.7109375" style="1" customWidth="1"/>
    <col min="1537" max="1537" width="22" style="1" customWidth="1"/>
    <col min="1538" max="1538" width="13.85546875" style="1" customWidth="1"/>
    <col min="1539" max="1539" width="9.140625" style="1"/>
    <col min="1540" max="1540" width="14.42578125" style="1" customWidth="1"/>
    <col min="1541" max="1541" width="9.28515625" style="1" customWidth="1"/>
    <col min="1542" max="1542" width="14.42578125" style="1" customWidth="1"/>
    <col min="1543" max="1543" width="10.140625" style="1" customWidth="1"/>
    <col min="1544" max="1544" width="15" style="1" customWidth="1"/>
    <col min="1545" max="1545" width="9.140625" style="1"/>
    <col min="1546" max="1546" width="14.85546875" style="1" customWidth="1"/>
    <col min="1547" max="1554" width="9.140625" style="1"/>
    <col min="1555" max="1555" width="13" style="1" customWidth="1"/>
    <col min="1556" max="1556" width="9.140625" style="1"/>
    <col min="1557" max="1557" width="16.140625" style="1" customWidth="1"/>
    <col min="1558" max="1558" width="9.140625" style="1"/>
    <col min="1559" max="1560" width="12.85546875" style="1" customWidth="1"/>
    <col min="1561" max="1561" width="14.28515625" style="1" customWidth="1"/>
    <col min="1562" max="1564" width="9.140625" style="1"/>
    <col min="1565" max="1565" width="16.28515625" style="1" customWidth="1"/>
    <col min="1566" max="1566" width="9.140625" style="1"/>
    <col min="1567" max="1568" width="12.85546875" style="1" customWidth="1"/>
    <col min="1569" max="1569" width="16.140625" style="1" customWidth="1"/>
    <col min="1570" max="1571" width="9.140625" style="1"/>
    <col min="1572" max="1572" width="12.5703125" style="1" customWidth="1"/>
    <col min="1573" max="1783" width="9.140625" style="1"/>
    <col min="1784" max="1784" width="7" style="1" customWidth="1"/>
    <col min="1785" max="1785" width="12" style="1" customWidth="1"/>
    <col min="1786" max="1786" width="69.28515625" style="1" customWidth="1"/>
    <col min="1787" max="1787" width="12.7109375" style="1" customWidth="1"/>
    <col min="1788" max="1788" width="8.28515625" style="1" customWidth="1"/>
    <col min="1789" max="1789" width="17.85546875" style="1" customWidth="1"/>
    <col min="1790" max="1790" width="24.42578125" style="1" customWidth="1"/>
    <col min="1791" max="1791" width="10.7109375" style="1" customWidth="1"/>
    <col min="1792" max="1792" width="13.7109375" style="1" customWidth="1"/>
    <col min="1793" max="1793" width="22" style="1" customWidth="1"/>
    <col min="1794" max="1794" width="13.85546875" style="1" customWidth="1"/>
    <col min="1795" max="1795" width="9.140625" style="1"/>
    <col min="1796" max="1796" width="14.42578125" style="1" customWidth="1"/>
    <col min="1797" max="1797" width="9.28515625" style="1" customWidth="1"/>
    <col min="1798" max="1798" width="14.42578125" style="1" customWidth="1"/>
    <col min="1799" max="1799" width="10.140625" style="1" customWidth="1"/>
    <col min="1800" max="1800" width="15" style="1" customWidth="1"/>
    <col min="1801" max="1801" width="9.140625" style="1"/>
    <col min="1802" max="1802" width="14.85546875" style="1" customWidth="1"/>
    <col min="1803" max="1810" width="9.140625" style="1"/>
    <col min="1811" max="1811" width="13" style="1" customWidth="1"/>
    <col min="1812" max="1812" width="9.140625" style="1"/>
    <col min="1813" max="1813" width="16.140625" style="1" customWidth="1"/>
    <col min="1814" max="1814" width="9.140625" style="1"/>
    <col min="1815" max="1816" width="12.85546875" style="1" customWidth="1"/>
    <col min="1817" max="1817" width="14.28515625" style="1" customWidth="1"/>
    <col min="1818" max="1820" width="9.140625" style="1"/>
    <col min="1821" max="1821" width="16.28515625" style="1" customWidth="1"/>
    <col min="1822" max="1822" width="9.140625" style="1"/>
    <col min="1823" max="1824" width="12.85546875" style="1" customWidth="1"/>
    <col min="1825" max="1825" width="16.140625" style="1" customWidth="1"/>
    <col min="1826" max="1827" width="9.140625" style="1"/>
    <col min="1828" max="1828" width="12.5703125" style="1" customWidth="1"/>
    <col min="1829" max="2039" width="9.140625" style="1"/>
    <col min="2040" max="2040" width="7" style="1" customWidth="1"/>
    <col min="2041" max="2041" width="12" style="1" customWidth="1"/>
    <col min="2042" max="2042" width="69.28515625" style="1" customWidth="1"/>
    <col min="2043" max="2043" width="12.7109375" style="1" customWidth="1"/>
    <col min="2044" max="2044" width="8.28515625" style="1" customWidth="1"/>
    <col min="2045" max="2045" width="17.85546875" style="1" customWidth="1"/>
    <col min="2046" max="2046" width="24.42578125" style="1" customWidth="1"/>
    <col min="2047" max="2047" width="10.7109375" style="1" customWidth="1"/>
    <col min="2048" max="2048" width="13.7109375" style="1" customWidth="1"/>
    <col min="2049" max="2049" width="22" style="1" customWidth="1"/>
    <col min="2050" max="2050" width="13.85546875" style="1" customWidth="1"/>
    <col min="2051" max="2051" width="9.140625" style="1"/>
    <col min="2052" max="2052" width="14.42578125" style="1" customWidth="1"/>
    <col min="2053" max="2053" width="9.28515625" style="1" customWidth="1"/>
    <col min="2054" max="2054" width="14.42578125" style="1" customWidth="1"/>
    <col min="2055" max="2055" width="10.140625" style="1" customWidth="1"/>
    <col min="2056" max="2056" width="15" style="1" customWidth="1"/>
    <col min="2057" max="2057" width="9.140625" style="1"/>
    <col min="2058" max="2058" width="14.85546875" style="1" customWidth="1"/>
    <col min="2059" max="2066" width="9.140625" style="1"/>
    <col min="2067" max="2067" width="13" style="1" customWidth="1"/>
    <col min="2068" max="2068" width="9.140625" style="1"/>
    <col min="2069" max="2069" width="16.140625" style="1" customWidth="1"/>
    <col min="2070" max="2070" width="9.140625" style="1"/>
    <col min="2071" max="2072" width="12.85546875" style="1" customWidth="1"/>
    <col min="2073" max="2073" width="14.28515625" style="1" customWidth="1"/>
    <col min="2074" max="2076" width="9.140625" style="1"/>
    <col min="2077" max="2077" width="16.28515625" style="1" customWidth="1"/>
    <col min="2078" max="2078" width="9.140625" style="1"/>
    <col min="2079" max="2080" width="12.85546875" style="1" customWidth="1"/>
    <col min="2081" max="2081" width="16.140625" style="1" customWidth="1"/>
    <col min="2082" max="2083" width="9.140625" style="1"/>
    <col min="2084" max="2084" width="12.5703125" style="1" customWidth="1"/>
    <col min="2085" max="2295" width="9.140625" style="1"/>
    <col min="2296" max="2296" width="7" style="1" customWidth="1"/>
    <col min="2297" max="2297" width="12" style="1" customWidth="1"/>
    <col min="2298" max="2298" width="69.28515625" style="1" customWidth="1"/>
    <col min="2299" max="2299" width="12.7109375" style="1" customWidth="1"/>
    <col min="2300" max="2300" width="8.28515625" style="1" customWidth="1"/>
    <col min="2301" max="2301" width="17.85546875" style="1" customWidth="1"/>
    <col min="2302" max="2302" width="24.42578125" style="1" customWidth="1"/>
    <col min="2303" max="2303" width="10.7109375" style="1" customWidth="1"/>
    <col min="2304" max="2304" width="13.7109375" style="1" customWidth="1"/>
    <col min="2305" max="2305" width="22" style="1" customWidth="1"/>
    <col min="2306" max="2306" width="13.85546875" style="1" customWidth="1"/>
    <col min="2307" max="2307" width="9.140625" style="1"/>
    <col min="2308" max="2308" width="14.42578125" style="1" customWidth="1"/>
    <col min="2309" max="2309" width="9.28515625" style="1" customWidth="1"/>
    <col min="2310" max="2310" width="14.42578125" style="1" customWidth="1"/>
    <col min="2311" max="2311" width="10.140625" style="1" customWidth="1"/>
    <col min="2312" max="2312" width="15" style="1" customWidth="1"/>
    <col min="2313" max="2313" width="9.140625" style="1"/>
    <col min="2314" max="2314" width="14.85546875" style="1" customWidth="1"/>
    <col min="2315" max="2322" width="9.140625" style="1"/>
    <col min="2323" max="2323" width="13" style="1" customWidth="1"/>
    <col min="2324" max="2324" width="9.140625" style="1"/>
    <col min="2325" max="2325" width="16.140625" style="1" customWidth="1"/>
    <col min="2326" max="2326" width="9.140625" style="1"/>
    <col min="2327" max="2328" width="12.85546875" style="1" customWidth="1"/>
    <col min="2329" max="2329" width="14.28515625" style="1" customWidth="1"/>
    <col min="2330" max="2332" width="9.140625" style="1"/>
    <col min="2333" max="2333" width="16.28515625" style="1" customWidth="1"/>
    <col min="2334" max="2334" width="9.140625" style="1"/>
    <col min="2335" max="2336" width="12.85546875" style="1" customWidth="1"/>
    <col min="2337" max="2337" width="16.140625" style="1" customWidth="1"/>
    <col min="2338" max="2339" width="9.140625" style="1"/>
    <col min="2340" max="2340" width="12.5703125" style="1" customWidth="1"/>
    <col min="2341" max="2551" width="9.140625" style="1"/>
    <col min="2552" max="2552" width="7" style="1" customWidth="1"/>
    <col min="2553" max="2553" width="12" style="1" customWidth="1"/>
    <col min="2554" max="2554" width="69.28515625" style="1" customWidth="1"/>
    <col min="2555" max="2555" width="12.7109375" style="1" customWidth="1"/>
    <col min="2556" max="2556" width="8.28515625" style="1" customWidth="1"/>
    <col min="2557" max="2557" width="17.85546875" style="1" customWidth="1"/>
    <col min="2558" max="2558" width="24.42578125" style="1" customWidth="1"/>
    <col min="2559" max="2559" width="10.7109375" style="1" customWidth="1"/>
    <col min="2560" max="2560" width="13.7109375" style="1" customWidth="1"/>
    <col min="2561" max="2561" width="22" style="1" customWidth="1"/>
    <col min="2562" max="2562" width="13.85546875" style="1" customWidth="1"/>
    <col min="2563" max="2563" width="9.140625" style="1"/>
    <col min="2564" max="2564" width="14.42578125" style="1" customWidth="1"/>
    <col min="2565" max="2565" width="9.28515625" style="1" customWidth="1"/>
    <col min="2566" max="2566" width="14.42578125" style="1" customWidth="1"/>
    <col min="2567" max="2567" width="10.140625" style="1" customWidth="1"/>
    <col min="2568" max="2568" width="15" style="1" customWidth="1"/>
    <col min="2569" max="2569" width="9.140625" style="1"/>
    <col min="2570" max="2570" width="14.85546875" style="1" customWidth="1"/>
    <col min="2571" max="2578" width="9.140625" style="1"/>
    <col min="2579" max="2579" width="13" style="1" customWidth="1"/>
    <col min="2580" max="2580" width="9.140625" style="1"/>
    <col min="2581" max="2581" width="16.140625" style="1" customWidth="1"/>
    <col min="2582" max="2582" width="9.140625" style="1"/>
    <col min="2583" max="2584" width="12.85546875" style="1" customWidth="1"/>
    <col min="2585" max="2585" width="14.28515625" style="1" customWidth="1"/>
    <col min="2586" max="2588" width="9.140625" style="1"/>
    <col min="2589" max="2589" width="16.28515625" style="1" customWidth="1"/>
    <col min="2590" max="2590" width="9.140625" style="1"/>
    <col min="2591" max="2592" width="12.85546875" style="1" customWidth="1"/>
    <col min="2593" max="2593" width="16.140625" style="1" customWidth="1"/>
    <col min="2594" max="2595" width="9.140625" style="1"/>
    <col min="2596" max="2596" width="12.5703125" style="1" customWidth="1"/>
    <col min="2597" max="2807" width="9.140625" style="1"/>
    <col min="2808" max="2808" width="7" style="1" customWidth="1"/>
    <col min="2809" max="2809" width="12" style="1" customWidth="1"/>
    <col min="2810" max="2810" width="69.28515625" style="1" customWidth="1"/>
    <col min="2811" max="2811" width="12.7109375" style="1" customWidth="1"/>
    <col min="2812" max="2812" width="8.28515625" style="1" customWidth="1"/>
    <col min="2813" max="2813" width="17.85546875" style="1" customWidth="1"/>
    <col min="2814" max="2814" width="24.42578125" style="1" customWidth="1"/>
    <col min="2815" max="2815" width="10.7109375" style="1" customWidth="1"/>
    <col min="2816" max="2816" width="13.7109375" style="1" customWidth="1"/>
    <col min="2817" max="2817" width="22" style="1" customWidth="1"/>
    <col min="2818" max="2818" width="13.85546875" style="1" customWidth="1"/>
    <col min="2819" max="2819" width="9.140625" style="1"/>
    <col min="2820" max="2820" width="14.42578125" style="1" customWidth="1"/>
    <col min="2821" max="2821" width="9.28515625" style="1" customWidth="1"/>
    <col min="2822" max="2822" width="14.42578125" style="1" customWidth="1"/>
    <col min="2823" max="2823" width="10.140625" style="1" customWidth="1"/>
    <col min="2824" max="2824" width="15" style="1" customWidth="1"/>
    <col min="2825" max="2825" width="9.140625" style="1"/>
    <col min="2826" max="2826" width="14.85546875" style="1" customWidth="1"/>
    <col min="2827" max="2834" width="9.140625" style="1"/>
    <col min="2835" max="2835" width="13" style="1" customWidth="1"/>
    <col min="2836" max="2836" width="9.140625" style="1"/>
    <col min="2837" max="2837" width="16.140625" style="1" customWidth="1"/>
    <col min="2838" max="2838" width="9.140625" style="1"/>
    <col min="2839" max="2840" width="12.85546875" style="1" customWidth="1"/>
    <col min="2841" max="2841" width="14.28515625" style="1" customWidth="1"/>
    <col min="2842" max="2844" width="9.140625" style="1"/>
    <col min="2845" max="2845" width="16.28515625" style="1" customWidth="1"/>
    <col min="2846" max="2846" width="9.140625" style="1"/>
    <col min="2847" max="2848" width="12.85546875" style="1" customWidth="1"/>
    <col min="2849" max="2849" width="16.140625" style="1" customWidth="1"/>
    <col min="2850" max="2851" width="9.140625" style="1"/>
    <col min="2852" max="2852" width="12.5703125" style="1" customWidth="1"/>
    <col min="2853" max="3063" width="9.140625" style="1"/>
    <col min="3064" max="3064" width="7" style="1" customWidth="1"/>
    <col min="3065" max="3065" width="12" style="1" customWidth="1"/>
    <col min="3066" max="3066" width="69.28515625" style="1" customWidth="1"/>
    <col min="3067" max="3067" width="12.7109375" style="1" customWidth="1"/>
    <col min="3068" max="3068" width="8.28515625" style="1" customWidth="1"/>
    <col min="3069" max="3069" width="17.85546875" style="1" customWidth="1"/>
    <col min="3070" max="3070" width="24.42578125" style="1" customWidth="1"/>
    <col min="3071" max="3071" width="10.7109375" style="1" customWidth="1"/>
    <col min="3072" max="3072" width="13.7109375" style="1" customWidth="1"/>
    <col min="3073" max="3073" width="22" style="1" customWidth="1"/>
    <col min="3074" max="3074" width="13.85546875" style="1" customWidth="1"/>
    <col min="3075" max="3075" width="9.140625" style="1"/>
    <col min="3076" max="3076" width="14.42578125" style="1" customWidth="1"/>
    <col min="3077" max="3077" width="9.28515625" style="1" customWidth="1"/>
    <col min="3078" max="3078" width="14.42578125" style="1" customWidth="1"/>
    <col min="3079" max="3079" width="10.140625" style="1" customWidth="1"/>
    <col min="3080" max="3080" width="15" style="1" customWidth="1"/>
    <col min="3081" max="3081" width="9.140625" style="1"/>
    <col min="3082" max="3082" width="14.85546875" style="1" customWidth="1"/>
    <col min="3083" max="3090" width="9.140625" style="1"/>
    <col min="3091" max="3091" width="13" style="1" customWidth="1"/>
    <col min="3092" max="3092" width="9.140625" style="1"/>
    <col min="3093" max="3093" width="16.140625" style="1" customWidth="1"/>
    <col min="3094" max="3094" width="9.140625" style="1"/>
    <col min="3095" max="3096" width="12.85546875" style="1" customWidth="1"/>
    <col min="3097" max="3097" width="14.28515625" style="1" customWidth="1"/>
    <col min="3098" max="3100" width="9.140625" style="1"/>
    <col min="3101" max="3101" width="16.28515625" style="1" customWidth="1"/>
    <col min="3102" max="3102" width="9.140625" style="1"/>
    <col min="3103" max="3104" width="12.85546875" style="1" customWidth="1"/>
    <col min="3105" max="3105" width="16.140625" style="1" customWidth="1"/>
    <col min="3106" max="3107" width="9.140625" style="1"/>
    <col min="3108" max="3108" width="12.5703125" style="1" customWidth="1"/>
    <col min="3109" max="3319" width="9.140625" style="1"/>
    <col min="3320" max="3320" width="7" style="1" customWidth="1"/>
    <col min="3321" max="3321" width="12" style="1" customWidth="1"/>
    <col min="3322" max="3322" width="69.28515625" style="1" customWidth="1"/>
    <col min="3323" max="3323" width="12.7109375" style="1" customWidth="1"/>
    <col min="3324" max="3324" width="8.28515625" style="1" customWidth="1"/>
    <col min="3325" max="3325" width="17.85546875" style="1" customWidth="1"/>
    <col min="3326" max="3326" width="24.42578125" style="1" customWidth="1"/>
    <col min="3327" max="3327" width="10.7109375" style="1" customWidth="1"/>
    <col min="3328" max="3328" width="13.7109375" style="1" customWidth="1"/>
    <col min="3329" max="3329" width="22" style="1" customWidth="1"/>
    <col min="3330" max="3330" width="13.85546875" style="1" customWidth="1"/>
    <col min="3331" max="3331" width="9.140625" style="1"/>
    <col min="3332" max="3332" width="14.42578125" style="1" customWidth="1"/>
    <col min="3333" max="3333" width="9.28515625" style="1" customWidth="1"/>
    <col min="3334" max="3334" width="14.42578125" style="1" customWidth="1"/>
    <col min="3335" max="3335" width="10.140625" style="1" customWidth="1"/>
    <col min="3336" max="3336" width="15" style="1" customWidth="1"/>
    <col min="3337" max="3337" width="9.140625" style="1"/>
    <col min="3338" max="3338" width="14.85546875" style="1" customWidth="1"/>
    <col min="3339" max="3346" width="9.140625" style="1"/>
    <col min="3347" max="3347" width="13" style="1" customWidth="1"/>
    <col min="3348" max="3348" width="9.140625" style="1"/>
    <col min="3349" max="3349" width="16.140625" style="1" customWidth="1"/>
    <col min="3350" max="3350" width="9.140625" style="1"/>
    <col min="3351" max="3352" width="12.85546875" style="1" customWidth="1"/>
    <col min="3353" max="3353" width="14.28515625" style="1" customWidth="1"/>
    <col min="3354" max="3356" width="9.140625" style="1"/>
    <col min="3357" max="3357" width="16.28515625" style="1" customWidth="1"/>
    <col min="3358" max="3358" width="9.140625" style="1"/>
    <col min="3359" max="3360" width="12.85546875" style="1" customWidth="1"/>
    <col min="3361" max="3361" width="16.140625" style="1" customWidth="1"/>
    <col min="3362" max="3363" width="9.140625" style="1"/>
    <col min="3364" max="3364" width="12.5703125" style="1" customWidth="1"/>
    <col min="3365" max="3575" width="9.140625" style="1"/>
    <col min="3576" max="3576" width="7" style="1" customWidth="1"/>
    <col min="3577" max="3577" width="12" style="1" customWidth="1"/>
    <col min="3578" max="3578" width="69.28515625" style="1" customWidth="1"/>
    <col min="3579" max="3579" width="12.7109375" style="1" customWidth="1"/>
    <col min="3580" max="3580" width="8.28515625" style="1" customWidth="1"/>
    <col min="3581" max="3581" width="17.85546875" style="1" customWidth="1"/>
    <col min="3582" max="3582" width="24.42578125" style="1" customWidth="1"/>
    <col min="3583" max="3583" width="10.7109375" style="1" customWidth="1"/>
    <col min="3584" max="3584" width="13.7109375" style="1" customWidth="1"/>
    <col min="3585" max="3585" width="22" style="1" customWidth="1"/>
    <col min="3586" max="3586" width="13.85546875" style="1" customWidth="1"/>
    <col min="3587" max="3587" width="9.140625" style="1"/>
    <col min="3588" max="3588" width="14.42578125" style="1" customWidth="1"/>
    <col min="3589" max="3589" width="9.28515625" style="1" customWidth="1"/>
    <col min="3590" max="3590" width="14.42578125" style="1" customWidth="1"/>
    <col min="3591" max="3591" width="10.140625" style="1" customWidth="1"/>
    <col min="3592" max="3592" width="15" style="1" customWidth="1"/>
    <col min="3593" max="3593" width="9.140625" style="1"/>
    <col min="3594" max="3594" width="14.85546875" style="1" customWidth="1"/>
    <col min="3595" max="3602" width="9.140625" style="1"/>
    <col min="3603" max="3603" width="13" style="1" customWidth="1"/>
    <col min="3604" max="3604" width="9.140625" style="1"/>
    <col min="3605" max="3605" width="16.140625" style="1" customWidth="1"/>
    <col min="3606" max="3606" width="9.140625" style="1"/>
    <col min="3607" max="3608" width="12.85546875" style="1" customWidth="1"/>
    <col min="3609" max="3609" width="14.28515625" style="1" customWidth="1"/>
    <col min="3610" max="3612" width="9.140625" style="1"/>
    <col min="3613" max="3613" width="16.28515625" style="1" customWidth="1"/>
    <col min="3614" max="3614" width="9.140625" style="1"/>
    <col min="3615" max="3616" width="12.85546875" style="1" customWidth="1"/>
    <col min="3617" max="3617" width="16.140625" style="1" customWidth="1"/>
    <col min="3618" max="3619" width="9.140625" style="1"/>
    <col min="3620" max="3620" width="12.5703125" style="1" customWidth="1"/>
    <col min="3621" max="3831" width="9.140625" style="1"/>
    <col min="3832" max="3832" width="7" style="1" customWidth="1"/>
    <col min="3833" max="3833" width="12" style="1" customWidth="1"/>
    <col min="3834" max="3834" width="69.28515625" style="1" customWidth="1"/>
    <col min="3835" max="3835" width="12.7109375" style="1" customWidth="1"/>
    <col min="3836" max="3836" width="8.28515625" style="1" customWidth="1"/>
    <col min="3837" max="3837" width="17.85546875" style="1" customWidth="1"/>
    <col min="3838" max="3838" width="24.42578125" style="1" customWidth="1"/>
    <col min="3839" max="3839" width="10.7109375" style="1" customWidth="1"/>
    <col min="3840" max="3840" width="13.7109375" style="1" customWidth="1"/>
    <col min="3841" max="3841" width="22" style="1" customWidth="1"/>
    <col min="3842" max="3842" width="13.85546875" style="1" customWidth="1"/>
    <col min="3843" max="3843" width="9.140625" style="1"/>
    <col min="3844" max="3844" width="14.42578125" style="1" customWidth="1"/>
    <col min="3845" max="3845" width="9.28515625" style="1" customWidth="1"/>
    <col min="3846" max="3846" width="14.42578125" style="1" customWidth="1"/>
    <col min="3847" max="3847" width="10.140625" style="1" customWidth="1"/>
    <col min="3848" max="3848" width="15" style="1" customWidth="1"/>
    <col min="3849" max="3849" width="9.140625" style="1"/>
    <col min="3850" max="3850" width="14.85546875" style="1" customWidth="1"/>
    <col min="3851" max="3858" width="9.140625" style="1"/>
    <col min="3859" max="3859" width="13" style="1" customWidth="1"/>
    <col min="3860" max="3860" width="9.140625" style="1"/>
    <col min="3861" max="3861" width="16.140625" style="1" customWidth="1"/>
    <col min="3862" max="3862" width="9.140625" style="1"/>
    <col min="3863" max="3864" width="12.85546875" style="1" customWidth="1"/>
    <col min="3865" max="3865" width="14.28515625" style="1" customWidth="1"/>
    <col min="3866" max="3868" width="9.140625" style="1"/>
    <col min="3869" max="3869" width="16.28515625" style="1" customWidth="1"/>
    <col min="3870" max="3870" width="9.140625" style="1"/>
    <col min="3871" max="3872" width="12.85546875" style="1" customWidth="1"/>
    <col min="3873" max="3873" width="16.140625" style="1" customWidth="1"/>
    <col min="3874" max="3875" width="9.140625" style="1"/>
    <col min="3876" max="3876" width="12.5703125" style="1" customWidth="1"/>
    <col min="3877" max="4087" width="9.140625" style="1"/>
    <col min="4088" max="4088" width="7" style="1" customWidth="1"/>
    <col min="4089" max="4089" width="12" style="1" customWidth="1"/>
    <col min="4090" max="4090" width="69.28515625" style="1" customWidth="1"/>
    <col min="4091" max="4091" width="12.7109375" style="1" customWidth="1"/>
    <col min="4092" max="4092" width="8.28515625" style="1" customWidth="1"/>
    <col min="4093" max="4093" width="17.85546875" style="1" customWidth="1"/>
    <col min="4094" max="4094" width="24.42578125" style="1" customWidth="1"/>
    <col min="4095" max="4095" width="10.7109375" style="1" customWidth="1"/>
    <col min="4096" max="4096" width="13.7109375" style="1" customWidth="1"/>
    <col min="4097" max="4097" width="22" style="1" customWidth="1"/>
    <col min="4098" max="4098" width="13.85546875" style="1" customWidth="1"/>
    <col min="4099" max="4099" width="9.140625" style="1"/>
    <col min="4100" max="4100" width="14.42578125" style="1" customWidth="1"/>
    <col min="4101" max="4101" width="9.28515625" style="1" customWidth="1"/>
    <col min="4102" max="4102" width="14.42578125" style="1" customWidth="1"/>
    <col min="4103" max="4103" width="10.140625" style="1" customWidth="1"/>
    <col min="4104" max="4104" width="15" style="1" customWidth="1"/>
    <col min="4105" max="4105" width="9.140625" style="1"/>
    <col min="4106" max="4106" width="14.85546875" style="1" customWidth="1"/>
    <col min="4107" max="4114" width="9.140625" style="1"/>
    <col min="4115" max="4115" width="13" style="1" customWidth="1"/>
    <col min="4116" max="4116" width="9.140625" style="1"/>
    <col min="4117" max="4117" width="16.140625" style="1" customWidth="1"/>
    <col min="4118" max="4118" width="9.140625" style="1"/>
    <col min="4119" max="4120" width="12.85546875" style="1" customWidth="1"/>
    <col min="4121" max="4121" width="14.28515625" style="1" customWidth="1"/>
    <col min="4122" max="4124" width="9.140625" style="1"/>
    <col min="4125" max="4125" width="16.28515625" style="1" customWidth="1"/>
    <col min="4126" max="4126" width="9.140625" style="1"/>
    <col min="4127" max="4128" width="12.85546875" style="1" customWidth="1"/>
    <col min="4129" max="4129" width="16.140625" style="1" customWidth="1"/>
    <col min="4130" max="4131" width="9.140625" style="1"/>
    <col min="4132" max="4132" width="12.5703125" style="1" customWidth="1"/>
    <col min="4133" max="4343" width="9.140625" style="1"/>
    <col min="4344" max="4344" width="7" style="1" customWidth="1"/>
    <col min="4345" max="4345" width="12" style="1" customWidth="1"/>
    <col min="4346" max="4346" width="69.28515625" style="1" customWidth="1"/>
    <col min="4347" max="4347" width="12.7109375" style="1" customWidth="1"/>
    <col min="4348" max="4348" width="8.28515625" style="1" customWidth="1"/>
    <col min="4349" max="4349" width="17.85546875" style="1" customWidth="1"/>
    <col min="4350" max="4350" width="24.42578125" style="1" customWidth="1"/>
    <col min="4351" max="4351" width="10.7109375" style="1" customWidth="1"/>
    <col min="4352" max="4352" width="13.7109375" style="1" customWidth="1"/>
    <col min="4353" max="4353" width="22" style="1" customWidth="1"/>
    <col min="4354" max="4354" width="13.85546875" style="1" customWidth="1"/>
    <col min="4355" max="4355" width="9.140625" style="1"/>
    <col min="4356" max="4356" width="14.42578125" style="1" customWidth="1"/>
    <col min="4357" max="4357" width="9.28515625" style="1" customWidth="1"/>
    <col min="4358" max="4358" width="14.42578125" style="1" customWidth="1"/>
    <col min="4359" max="4359" width="10.140625" style="1" customWidth="1"/>
    <col min="4360" max="4360" width="15" style="1" customWidth="1"/>
    <col min="4361" max="4361" width="9.140625" style="1"/>
    <col min="4362" max="4362" width="14.85546875" style="1" customWidth="1"/>
    <col min="4363" max="4370" width="9.140625" style="1"/>
    <col min="4371" max="4371" width="13" style="1" customWidth="1"/>
    <col min="4372" max="4372" width="9.140625" style="1"/>
    <col min="4373" max="4373" width="16.140625" style="1" customWidth="1"/>
    <col min="4374" max="4374" width="9.140625" style="1"/>
    <col min="4375" max="4376" width="12.85546875" style="1" customWidth="1"/>
    <col min="4377" max="4377" width="14.28515625" style="1" customWidth="1"/>
    <col min="4378" max="4380" width="9.140625" style="1"/>
    <col min="4381" max="4381" width="16.28515625" style="1" customWidth="1"/>
    <col min="4382" max="4382" width="9.140625" style="1"/>
    <col min="4383" max="4384" width="12.85546875" style="1" customWidth="1"/>
    <col min="4385" max="4385" width="16.140625" style="1" customWidth="1"/>
    <col min="4386" max="4387" width="9.140625" style="1"/>
    <col min="4388" max="4388" width="12.5703125" style="1" customWidth="1"/>
    <col min="4389" max="4599" width="9.140625" style="1"/>
    <col min="4600" max="4600" width="7" style="1" customWidth="1"/>
    <col min="4601" max="4601" width="12" style="1" customWidth="1"/>
    <col min="4602" max="4602" width="69.28515625" style="1" customWidth="1"/>
    <col min="4603" max="4603" width="12.7109375" style="1" customWidth="1"/>
    <col min="4604" max="4604" width="8.28515625" style="1" customWidth="1"/>
    <col min="4605" max="4605" width="17.85546875" style="1" customWidth="1"/>
    <col min="4606" max="4606" width="24.42578125" style="1" customWidth="1"/>
    <col min="4607" max="4607" width="10.7109375" style="1" customWidth="1"/>
    <col min="4608" max="4608" width="13.7109375" style="1" customWidth="1"/>
    <col min="4609" max="4609" width="22" style="1" customWidth="1"/>
    <col min="4610" max="4610" width="13.85546875" style="1" customWidth="1"/>
    <col min="4611" max="4611" width="9.140625" style="1"/>
    <col min="4612" max="4612" width="14.42578125" style="1" customWidth="1"/>
    <col min="4613" max="4613" width="9.28515625" style="1" customWidth="1"/>
    <col min="4614" max="4614" width="14.42578125" style="1" customWidth="1"/>
    <col min="4615" max="4615" width="10.140625" style="1" customWidth="1"/>
    <col min="4616" max="4616" width="15" style="1" customWidth="1"/>
    <col min="4617" max="4617" width="9.140625" style="1"/>
    <col min="4618" max="4618" width="14.85546875" style="1" customWidth="1"/>
    <col min="4619" max="4626" width="9.140625" style="1"/>
    <col min="4627" max="4627" width="13" style="1" customWidth="1"/>
    <col min="4628" max="4628" width="9.140625" style="1"/>
    <col min="4629" max="4629" width="16.140625" style="1" customWidth="1"/>
    <col min="4630" max="4630" width="9.140625" style="1"/>
    <col min="4631" max="4632" width="12.85546875" style="1" customWidth="1"/>
    <col min="4633" max="4633" width="14.28515625" style="1" customWidth="1"/>
    <col min="4634" max="4636" width="9.140625" style="1"/>
    <col min="4637" max="4637" width="16.28515625" style="1" customWidth="1"/>
    <col min="4638" max="4638" width="9.140625" style="1"/>
    <col min="4639" max="4640" width="12.85546875" style="1" customWidth="1"/>
    <col min="4641" max="4641" width="16.140625" style="1" customWidth="1"/>
    <col min="4642" max="4643" width="9.140625" style="1"/>
    <col min="4644" max="4644" width="12.5703125" style="1" customWidth="1"/>
    <col min="4645" max="4855" width="9.140625" style="1"/>
    <col min="4856" max="4856" width="7" style="1" customWidth="1"/>
    <col min="4857" max="4857" width="12" style="1" customWidth="1"/>
    <col min="4858" max="4858" width="69.28515625" style="1" customWidth="1"/>
    <col min="4859" max="4859" width="12.7109375" style="1" customWidth="1"/>
    <col min="4860" max="4860" width="8.28515625" style="1" customWidth="1"/>
    <col min="4861" max="4861" width="17.85546875" style="1" customWidth="1"/>
    <col min="4862" max="4862" width="24.42578125" style="1" customWidth="1"/>
    <col min="4863" max="4863" width="10.7109375" style="1" customWidth="1"/>
    <col min="4864" max="4864" width="13.7109375" style="1" customWidth="1"/>
    <col min="4865" max="4865" width="22" style="1" customWidth="1"/>
    <col min="4866" max="4866" width="13.85546875" style="1" customWidth="1"/>
    <col min="4867" max="4867" width="9.140625" style="1"/>
    <col min="4868" max="4868" width="14.42578125" style="1" customWidth="1"/>
    <col min="4869" max="4869" width="9.28515625" style="1" customWidth="1"/>
    <col min="4870" max="4870" width="14.42578125" style="1" customWidth="1"/>
    <col min="4871" max="4871" width="10.140625" style="1" customWidth="1"/>
    <col min="4872" max="4872" width="15" style="1" customWidth="1"/>
    <col min="4873" max="4873" width="9.140625" style="1"/>
    <col min="4874" max="4874" width="14.85546875" style="1" customWidth="1"/>
    <col min="4875" max="4882" width="9.140625" style="1"/>
    <col min="4883" max="4883" width="13" style="1" customWidth="1"/>
    <col min="4884" max="4884" width="9.140625" style="1"/>
    <col min="4885" max="4885" width="16.140625" style="1" customWidth="1"/>
    <col min="4886" max="4886" width="9.140625" style="1"/>
    <col min="4887" max="4888" width="12.85546875" style="1" customWidth="1"/>
    <col min="4889" max="4889" width="14.28515625" style="1" customWidth="1"/>
    <col min="4890" max="4892" width="9.140625" style="1"/>
    <col min="4893" max="4893" width="16.28515625" style="1" customWidth="1"/>
    <col min="4894" max="4894" width="9.140625" style="1"/>
    <col min="4895" max="4896" width="12.85546875" style="1" customWidth="1"/>
    <col min="4897" max="4897" width="16.140625" style="1" customWidth="1"/>
    <col min="4898" max="4899" width="9.140625" style="1"/>
    <col min="4900" max="4900" width="12.5703125" style="1" customWidth="1"/>
    <col min="4901" max="5111" width="9.140625" style="1"/>
    <col min="5112" max="5112" width="7" style="1" customWidth="1"/>
    <col min="5113" max="5113" width="12" style="1" customWidth="1"/>
    <col min="5114" max="5114" width="69.28515625" style="1" customWidth="1"/>
    <col min="5115" max="5115" width="12.7109375" style="1" customWidth="1"/>
    <col min="5116" max="5116" width="8.28515625" style="1" customWidth="1"/>
    <col min="5117" max="5117" width="17.85546875" style="1" customWidth="1"/>
    <col min="5118" max="5118" width="24.42578125" style="1" customWidth="1"/>
    <col min="5119" max="5119" width="10.7109375" style="1" customWidth="1"/>
    <col min="5120" max="5120" width="13.7109375" style="1" customWidth="1"/>
    <col min="5121" max="5121" width="22" style="1" customWidth="1"/>
    <col min="5122" max="5122" width="13.85546875" style="1" customWidth="1"/>
    <col min="5123" max="5123" width="9.140625" style="1"/>
    <col min="5124" max="5124" width="14.42578125" style="1" customWidth="1"/>
    <col min="5125" max="5125" width="9.28515625" style="1" customWidth="1"/>
    <col min="5126" max="5126" width="14.42578125" style="1" customWidth="1"/>
    <col min="5127" max="5127" width="10.140625" style="1" customWidth="1"/>
    <col min="5128" max="5128" width="15" style="1" customWidth="1"/>
    <col min="5129" max="5129" width="9.140625" style="1"/>
    <col min="5130" max="5130" width="14.85546875" style="1" customWidth="1"/>
    <col min="5131" max="5138" width="9.140625" style="1"/>
    <col min="5139" max="5139" width="13" style="1" customWidth="1"/>
    <col min="5140" max="5140" width="9.140625" style="1"/>
    <col min="5141" max="5141" width="16.140625" style="1" customWidth="1"/>
    <col min="5142" max="5142" width="9.140625" style="1"/>
    <col min="5143" max="5144" width="12.85546875" style="1" customWidth="1"/>
    <col min="5145" max="5145" width="14.28515625" style="1" customWidth="1"/>
    <col min="5146" max="5148" width="9.140625" style="1"/>
    <col min="5149" max="5149" width="16.28515625" style="1" customWidth="1"/>
    <col min="5150" max="5150" width="9.140625" style="1"/>
    <col min="5151" max="5152" width="12.85546875" style="1" customWidth="1"/>
    <col min="5153" max="5153" width="16.140625" style="1" customWidth="1"/>
    <col min="5154" max="5155" width="9.140625" style="1"/>
    <col min="5156" max="5156" width="12.5703125" style="1" customWidth="1"/>
    <col min="5157" max="5367" width="9.140625" style="1"/>
    <col min="5368" max="5368" width="7" style="1" customWidth="1"/>
    <col min="5369" max="5369" width="12" style="1" customWidth="1"/>
    <col min="5370" max="5370" width="69.28515625" style="1" customWidth="1"/>
    <col min="5371" max="5371" width="12.7109375" style="1" customWidth="1"/>
    <col min="5372" max="5372" width="8.28515625" style="1" customWidth="1"/>
    <col min="5373" max="5373" width="17.85546875" style="1" customWidth="1"/>
    <col min="5374" max="5374" width="24.42578125" style="1" customWidth="1"/>
    <col min="5375" max="5375" width="10.7109375" style="1" customWidth="1"/>
    <col min="5376" max="5376" width="13.7109375" style="1" customWidth="1"/>
    <col min="5377" max="5377" width="22" style="1" customWidth="1"/>
    <col min="5378" max="5378" width="13.85546875" style="1" customWidth="1"/>
    <col min="5379" max="5379" width="9.140625" style="1"/>
    <col min="5380" max="5380" width="14.42578125" style="1" customWidth="1"/>
    <col min="5381" max="5381" width="9.28515625" style="1" customWidth="1"/>
    <col min="5382" max="5382" width="14.42578125" style="1" customWidth="1"/>
    <col min="5383" max="5383" width="10.140625" style="1" customWidth="1"/>
    <col min="5384" max="5384" width="15" style="1" customWidth="1"/>
    <col min="5385" max="5385" width="9.140625" style="1"/>
    <col min="5386" max="5386" width="14.85546875" style="1" customWidth="1"/>
    <col min="5387" max="5394" width="9.140625" style="1"/>
    <col min="5395" max="5395" width="13" style="1" customWidth="1"/>
    <col min="5396" max="5396" width="9.140625" style="1"/>
    <col min="5397" max="5397" width="16.140625" style="1" customWidth="1"/>
    <col min="5398" max="5398" width="9.140625" style="1"/>
    <col min="5399" max="5400" width="12.85546875" style="1" customWidth="1"/>
    <col min="5401" max="5401" width="14.28515625" style="1" customWidth="1"/>
    <col min="5402" max="5404" width="9.140625" style="1"/>
    <col min="5405" max="5405" width="16.28515625" style="1" customWidth="1"/>
    <col min="5406" max="5406" width="9.140625" style="1"/>
    <col min="5407" max="5408" width="12.85546875" style="1" customWidth="1"/>
    <col min="5409" max="5409" width="16.140625" style="1" customWidth="1"/>
    <col min="5410" max="5411" width="9.140625" style="1"/>
    <col min="5412" max="5412" width="12.5703125" style="1" customWidth="1"/>
    <col min="5413" max="5623" width="9.140625" style="1"/>
    <col min="5624" max="5624" width="7" style="1" customWidth="1"/>
    <col min="5625" max="5625" width="12" style="1" customWidth="1"/>
    <col min="5626" max="5626" width="69.28515625" style="1" customWidth="1"/>
    <col min="5627" max="5627" width="12.7109375" style="1" customWidth="1"/>
    <col min="5628" max="5628" width="8.28515625" style="1" customWidth="1"/>
    <col min="5629" max="5629" width="17.85546875" style="1" customWidth="1"/>
    <col min="5630" max="5630" width="24.42578125" style="1" customWidth="1"/>
    <col min="5631" max="5631" width="10.7109375" style="1" customWidth="1"/>
    <col min="5632" max="5632" width="13.7109375" style="1" customWidth="1"/>
    <col min="5633" max="5633" width="22" style="1" customWidth="1"/>
    <col min="5634" max="5634" width="13.85546875" style="1" customWidth="1"/>
    <col min="5635" max="5635" width="9.140625" style="1"/>
    <col min="5636" max="5636" width="14.42578125" style="1" customWidth="1"/>
    <col min="5637" max="5637" width="9.28515625" style="1" customWidth="1"/>
    <col min="5638" max="5638" width="14.42578125" style="1" customWidth="1"/>
    <col min="5639" max="5639" width="10.140625" style="1" customWidth="1"/>
    <col min="5640" max="5640" width="15" style="1" customWidth="1"/>
    <col min="5641" max="5641" width="9.140625" style="1"/>
    <col min="5642" max="5642" width="14.85546875" style="1" customWidth="1"/>
    <col min="5643" max="5650" width="9.140625" style="1"/>
    <col min="5651" max="5651" width="13" style="1" customWidth="1"/>
    <col min="5652" max="5652" width="9.140625" style="1"/>
    <col min="5653" max="5653" width="16.140625" style="1" customWidth="1"/>
    <col min="5654" max="5654" width="9.140625" style="1"/>
    <col min="5655" max="5656" width="12.85546875" style="1" customWidth="1"/>
    <col min="5657" max="5657" width="14.28515625" style="1" customWidth="1"/>
    <col min="5658" max="5660" width="9.140625" style="1"/>
    <col min="5661" max="5661" width="16.28515625" style="1" customWidth="1"/>
    <col min="5662" max="5662" width="9.140625" style="1"/>
    <col min="5663" max="5664" width="12.85546875" style="1" customWidth="1"/>
    <col min="5665" max="5665" width="16.140625" style="1" customWidth="1"/>
    <col min="5666" max="5667" width="9.140625" style="1"/>
    <col min="5668" max="5668" width="12.5703125" style="1" customWidth="1"/>
    <col min="5669" max="5879" width="9.140625" style="1"/>
    <col min="5880" max="5880" width="7" style="1" customWidth="1"/>
    <col min="5881" max="5881" width="12" style="1" customWidth="1"/>
    <col min="5882" max="5882" width="69.28515625" style="1" customWidth="1"/>
    <col min="5883" max="5883" width="12.7109375" style="1" customWidth="1"/>
    <col min="5884" max="5884" width="8.28515625" style="1" customWidth="1"/>
    <col min="5885" max="5885" width="17.85546875" style="1" customWidth="1"/>
    <col min="5886" max="5886" width="24.42578125" style="1" customWidth="1"/>
    <col min="5887" max="5887" width="10.7109375" style="1" customWidth="1"/>
    <col min="5888" max="5888" width="13.7109375" style="1" customWidth="1"/>
    <col min="5889" max="5889" width="22" style="1" customWidth="1"/>
    <col min="5890" max="5890" width="13.85546875" style="1" customWidth="1"/>
    <col min="5891" max="5891" width="9.140625" style="1"/>
    <col min="5892" max="5892" width="14.42578125" style="1" customWidth="1"/>
    <col min="5893" max="5893" width="9.28515625" style="1" customWidth="1"/>
    <col min="5894" max="5894" width="14.42578125" style="1" customWidth="1"/>
    <col min="5895" max="5895" width="10.140625" style="1" customWidth="1"/>
    <col min="5896" max="5896" width="15" style="1" customWidth="1"/>
    <col min="5897" max="5897" width="9.140625" style="1"/>
    <col min="5898" max="5898" width="14.85546875" style="1" customWidth="1"/>
    <col min="5899" max="5906" width="9.140625" style="1"/>
    <col min="5907" max="5907" width="13" style="1" customWidth="1"/>
    <col min="5908" max="5908" width="9.140625" style="1"/>
    <col min="5909" max="5909" width="16.140625" style="1" customWidth="1"/>
    <col min="5910" max="5910" width="9.140625" style="1"/>
    <col min="5911" max="5912" width="12.85546875" style="1" customWidth="1"/>
    <col min="5913" max="5913" width="14.28515625" style="1" customWidth="1"/>
    <col min="5914" max="5916" width="9.140625" style="1"/>
    <col min="5917" max="5917" width="16.28515625" style="1" customWidth="1"/>
    <col min="5918" max="5918" width="9.140625" style="1"/>
    <col min="5919" max="5920" width="12.85546875" style="1" customWidth="1"/>
    <col min="5921" max="5921" width="16.140625" style="1" customWidth="1"/>
    <col min="5922" max="5923" width="9.140625" style="1"/>
    <col min="5924" max="5924" width="12.5703125" style="1" customWidth="1"/>
    <col min="5925" max="6135" width="9.140625" style="1"/>
    <col min="6136" max="6136" width="7" style="1" customWidth="1"/>
    <col min="6137" max="6137" width="12" style="1" customWidth="1"/>
    <col min="6138" max="6138" width="69.28515625" style="1" customWidth="1"/>
    <col min="6139" max="6139" width="12.7109375" style="1" customWidth="1"/>
    <col min="6140" max="6140" width="8.28515625" style="1" customWidth="1"/>
    <col min="6141" max="6141" width="17.85546875" style="1" customWidth="1"/>
    <col min="6142" max="6142" width="24.42578125" style="1" customWidth="1"/>
    <col min="6143" max="6143" width="10.7109375" style="1" customWidth="1"/>
    <col min="6144" max="6144" width="13.7109375" style="1" customWidth="1"/>
    <col min="6145" max="6145" width="22" style="1" customWidth="1"/>
    <col min="6146" max="6146" width="13.85546875" style="1" customWidth="1"/>
    <col min="6147" max="6147" width="9.140625" style="1"/>
    <col min="6148" max="6148" width="14.42578125" style="1" customWidth="1"/>
    <col min="6149" max="6149" width="9.28515625" style="1" customWidth="1"/>
    <col min="6150" max="6150" width="14.42578125" style="1" customWidth="1"/>
    <col min="6151" max="6151" width="10.140625" style="1" customWidth="1"/>
    <col min="6152" max="6152" width="15" style="1" customWidth="1"/>
    <col min="6153" max="6153" width="9.140625" style="1"/>
    <col min="6154" max="6154" width="14.85546875" style="1" customWidth="1"/>
    <col min="6155" max="6162" width="9.140625" style="1"/>
    <col min="6163" max="6163" width="13" style="1" customWidth="1"/>
    <col min="6164" max="6164" width="9.140625" style="1"/>
    <col min="6165" max="6165" width="16.140625" style="1" customWidth="1"/>
    <col min="6166" max="6166" width="9.140625" style="1"/>
    <col min="6167" max="6168" width="12.85546875" style="1" customWidth="1"/>
    <col min="6169" max="6169" width="14.28515625" style="1" customWidth="1"/>
    <col min="6170" max="6172" width="9.140625" style="1"/>
    <col min="6173" max="6173" width="16.28515625" style="1" customWidth="1"/>
    <col min="6174" max="6174" width="9.140625" style="1"/>
    <col min="6175" max="6176" width="12.85546875" style="1" customWidth="1"/>
    <col min="6177" max="6177" width="16.140625" style="1" customWidth="1"/>
    <col min="6178" max="6179" width="9.140625" style="1"/>
    <col min="6180" max="6180" width="12.5703125" style="1" customWidth="1"/>
    <col min="6181" max="6391" width="9.140625" style="1"/>
    <col min="6392" max="6392" width="7" style="1" customWidth="1"/>
    <col min="6393" max="6393" width="12" style="1" customWidth="1"/>
    <col min="6394" max="6394" width="69.28515625" style="1" customWidth="1"/>
    <col min="6395" max="6395" width="12.7109375" style="1" customWidth="1"/>
    <col min="6396" max="6396" width="8.28515625" style="1" customWidth="1"/>
    <col min="6397" max="6397" width="17.85546875" style="1" customWidth="1"/>
    <col min="6398" max="6398" width="24.42578125" style="1" customWidth="1"/>
    <col min="6399" max="6399" width="10.7109375" style="1" customWidth="1"/>
    <col min="6400" max="6400" width="13.7109375" style="1" customWidth="1"/>
    <col min="6401" max="6401" width="22" style="1" customWidth="1"/>
    <col min="6402" max="6402" width="13.85546875" style="1" customWidth="1"/>
    <col min="6403" max="6403" width="9.140625" style="1"/>
    <col min="6404" max="6404" width="14.42578125" style="1" customWidth="1"/>
    <col min="6405" max="6405" width="9.28515625" style="1" customWidth="1"/>
    <col min="6406" max="6406" width="14.42578125" style="1" customWidth="1"/>
    <col min="6407" max="6407" width="10.140625" style="1" customWidth="1"/>
    <col min="6408" max="6408" width="15" style="1" customWidth="1"/>
    <col min="6409" max="6409" width="9.140625" style="1"/>
    <col min="6410" max="6410" width="14.85546875" style="1" customWidth="1"/>
    <col min="6411" max="6418" width="9.140625" style="1"/>
    <col min="6419" max="6419" width="13" style="1" customWidth="1"/>
    <col min="6420" max="6420" width="9.140625" style="1"/>
    <col min="6421" max="6421" width="16.140625" style="1" customWidth="1"/>
    <col min="6422" max="6422" width="9.140625" style="1"/>
    <col min="6423" max="6424" width="12.85546875" style="1" customWidth="1"/>
    <col min="6425" max="6425" width="14.28515625" style="1" customWidth="1"/>
    <col min="6426" max="6428" width="9.140625" style="1"/>
    <col min="6429" max="6429" width="16.28515625" style="1" customWidth="1"/>
    <col min="6430" max="6430" width="9.140625" style="1"/>
    <col min="6431" max="6432" width="12.85546875" style="1" customWidth="1"/>
    <col min="6433" max="6433" width="16.140625" style="1" customWidth="1"/>
    <col min="6434" max="6435" width="9.140625" style="1"/>
    <col min="6436" max="6436" width="12.5703125" style="1" customWidth="1"/>
    <col min="6437" max="6647" width="9.140625" style="1"/>
    <col min="6648" max="6648" width="7" style="1" customWidth="1"/>
    <col min="6649" max="6649" width="12" style="1" customWidth="1"/>
    <col min="6650" max="6650" width="69.28515625" style="1" customWidth="1"/>
    <col min="6651" max="6651" width="12.7109375" style="1" customWidth="1"/>
    <col min="6652" max="6652" width="8.28515625" style="1" customWidth="1"/>
    <col min="6653" max="6653" width="17.85546875" style="1" customWidth="1"/>
    <col min="6654" max="6654" width="24.42578125" style="1" customWidth="1"/>
    <col min="6655" max="6655" width="10.7109375" style="1" customWidth="1"/>
    <col min="6656" max="6656" width="13.7109375" style="1" customWidth="1"/>
    <col min="6657" max="6657" width="22" style="1" customWidth="1"/>
    <col min="6658" max="6658" width="13.85546875" style="1" customWidth="1"/>
    <col min="6659" max="6659" width="9.140625" style="1"/>
    <col min="6660" max="6660" width="14.42578125" style="1" customWidth="1"/>
    <col min="6661" max="6661" width="9.28515625" style="1" customWidth="1"/>
    <col min="6662" max="6662" width="14.42578125" style="1" customWidth="1"/>
    <col min="6663" max="6663" width="10.140625" style="1" customWidth="1"/>
    <col min="6664" max="6664" width="15" style="1" customWidth="1"/>
    <col min="6665" max="6665" width="9.140625" style="1"/>
    <col min="6666" max="6666" width="14.85546875" style="1" customWidth="1"/>
    <col min="6667" max="6674" width="9.140625" style="1"/>
    <col min="6675" max="6675" width="13" style="1" customWidth="1"/>
    <col min="6676" max="6676" width="9.140625" style="1"/>
    <col min="6677" max="6677" width="16.140625" style="1" customWidth="1"/>
    <col min="6678" max="6678" width="9.140625" style="1"/>
    <col min="6679" max="6680" width="12.85546875" style="1" customWidth="1"/>
    <col min="6681" max="6681" width="14.28515625" style="1" customWidth="1"/>
    <col min="6682" max="6684" width="9.140625" style="1"/>
    <col min="6685" max="6685" width="16.28515625" style="1" customWidth="1"/>
    <col min="6686" max="6686" width="9.140625" style="1"/>
    <col min="6687" max="6688" width="12.85546875" style="1" customWidth="1"/>
    <col min="6689" max="6689" width="16.140625" style="1" customWidth="1"/>
    <col min="6690" max="6691" width="9.140625" style="1"/>
    <col min="6692" max="6692" width="12.5703125" style="1" customWidth="1"/>
    <col min="6693" max="6903" width="9.140625" style="1"/>
    <col min="6904" max="6904" width="7" style="1" customWidth="1"/>
    <col min="6905" max="6905" width="12" style="1" customWidth="1"/>
    <col min="6906" max="6906" width="69.28515625" style="1" customWidth="1"/>
    <col min="6907" max="6907" width="12.7109375" style="1" customWidth="1"/>
    <col min="6908" max="6908" width="8.28515625" style="1" customWidth="1"/>
    <col min="6909" max="6909" width="17.85546875" style="1" customWidth="1"/>
    <col min="6910" max="6910" width="24.42578125" style="1" customWidth="1"/>
    <col min="6911" max="6911" width="10.7109375" style="1" customWidth="1"/>
    <col min="6912" max="6912" width="13.7109375" style="1" customWidth="1"/>
    <col min="6913" max="6913" width="22" style="1" customWidth="1"/>
    <col min="6914" max="6914" width="13.85546875" style="1" customWidth="1"/>
    <col min="6915" max="6915" width="9.140625" style="1"/>
    <col min="6916" max="6916" width="14.42578125" style="1" customWidth="1"/>
    <col min="6917" max="6917" width="9.28515625" style="1" customWidth="1"/>
    <col min="6918" max="6918" width="14.42578125" style="1" customWidth="1"/>
    <col min="6919" max="6919" width="10.140625" style="1" customWidth="1"/>
    <col min="6920" max="6920" width="15" style="1" customWidth="1"/>
    <col min="6921" max="6921" width="9.140625" style="1"/>
    <col min="6922" max="6922" width="14.85546875" style="1" customWidth="1"/>
    <col min="6923" max="6930" width="9.140625" style="1"/>
    <col min="6931" max="6931" width="13" style="1" customWidth="1"/>
    <col min="6932" max="6932" width="9.140625" style="1"/>
    <col min="6933" max="6933" width="16.140625" style="1" customWidth="1"/>
    <col min="6934" max="6934" width="9.140625" style="1"/>
    <col min="6935" max="6936" width="12.85546875" style="1" customWidth="1"/>
    <col min="6937" max="6937" width="14.28515625" style="1" customWidth="1"/>
    <col min="6938" max="6940" width="9.140625" style="1"/>
    <col min="6941" max="6941" width="16.28515625" style="1" customWidth="1"/>
    <col min="6942" max="6942" width="9.140625" style="1"/>
    <col min="6943" max="6944" width="12.85546875" style="1" customWidth="1"/>
    <col min="6945" max="6945" width="16.140625" style="1" customWidth="1"/>
    <col min="6946" max="6947" width="9.140625" style="1"/>
    <col min="6948" max="6948" width="12.5703125" style="1" customWidth="1"/>
    <col min="6949" max="7159" width="9.140625" style="1"/>
    <col min="7160" max="7160" width="7" style="1" customWidth="1"/>
    <col min="7161" max="7161" width="12" style="1" customWidth="1"/>
    <col min="7162" max="7162" width="69.28515625" style="1" customWidth="1"/>
    <col min="7163" max="7163" width="12.7109375" style="1" customWidth="1"/>
    <col min="7164" max="7164" width="8.28515625" style="1" customWidth="1"/>
    <col min="7165" max="7165" width="17.85546875" style="1" customWidth="1"/>
    <col min="7166" max="7166" width="24.42578125" style="1" customWidth="1"/>
    <col min="7167" max="7167" width="10.7109375" style="1" customWidth="1"/>
    <col min="7168" max="7168" width="13.7109375" style="1" customWidth="1"/>
    <col min="7169" max="7169" width="22" style="1" customWidth="1"/>
    <col min="7170" max="7170" width="13.85546875" style="1" customWidth="1"/>
    <col min="7171" max="7171" width="9.140625" style="1"/>
    <col min="7172" max="7172" width="14.42578125" style="1" customWidth="1"/>
    <col min="7173" max="7173" width="9.28515625" style="1" customWidth="1"/>
    <col min="7174" max="7174" width="14.42578125" style="1" customWidth="1"/>
    <col min="7175" max="7175" width="10.140625" style="1" customWidth="1"/>
    <col min="7176" max="7176" width="15" style="1" customWidth="1"/>
    <col min="7177" max="7177" width="9.140625" style="1"/>
    <col min="7178" max="7178" width="14.85546875" style="1" customWidth="1"/>
    <col min="7179" max="7186" width="9.140625" style="1"/>
    <col min="7187" max="7187" width="13" style="1" customWidth="1"/>
    <col min="7188" max="7188" width="9.140625" style="1"/>
    <col min="7189" max="7189" width="16.140625" style="1" customWidth="1"/>
    <col min="7190" max="7190" width="9.140625" style="1"/>
    <col min="7191" max="7192" width="12.85546875" style="1" customWidth="1"/>
    <col min="7193" max="7193" width="14.28515625" style="1" customWidth="1"/>
    <col min="7194" max="7196" width="9.140625" style="1"/>
    <col min="7197" max="7197" width="16.28515625" style="1" customWidth="1"/>
    <col min="7198" max="7198" width="9.140625" style="1"/>
    <col min="7199" max="7200" width="12.85546875" style="1" customWidth="1"/>
    <col min="7201" max="7201" width="16.140625" style="1" customWidth="1"/>
    <col min="7202" max="7203" width="9.140625" style="1"/>
    <col min="7204" max="7204" width="12.5703125" style="1" customWidth="1"/>
    <col min="7205" max="7415" width="9.140625" style="1"/>
    <col min="7416" max="7416" width="7" style="1" customWidth="1"/>
    <col min="7417" max="7417" width="12" style="1" customWidth="1"/>
    <col min="7418" max="7418" width="69.28515625" style="1" customWidth="1"/>
    <col min="7419" max="7419" width="12.7109375" style="1" customWidth="1"/>
    <col min="7420" max="7420" width="8.28515625" style="1" customWidth="1"/>
    <col min="7421" max="7421" width="17.85546875" style="1" customWidth="1"/>
    <col min="7422" max="7422" width="24.42578125" style="1" customWidth="1"/>
    <col min="7423" max="7423" width="10.7109375" style="1" customWidth="1"/>
    <col min="7424" max="7424" width="13.7109375" style="1" customWidth="1"/>
    <col min="7425" max="7425" width="22" style="1" customWidth="1"/>
    <col min="7426" max="7426" width="13.85546875" style="1" customWidth="1"/>
    <col min="7427" max="7427" width="9.140625" style="1"/>
    <col min="7428" max="7428" width="14.42578125" style="1" customWidth="1"/>
    <col min="7429" max="7429" width="9.28515625" style="1" customWidth="1"/>
    <col min="7430" max="7430" width="14.42578125" style="1" customWidth="1"/>
    <col min="7431" max="7431" width="10.140625" style="1" customWidth="1"/>
    <col min="7432" max="7432" width="15" style="1" customWidth="1"/>
    <col min="7433" max="7433" width="9.140625" style="1"/>
    <col min="7434" max="7434" width="14.85546875" style="1" customWidth="1"/>
    <col min="7435" max="7442" width="9.140625" style="1"/>
    <col min="7443" max="7443" width="13" style="1" customWidth="1"/>
    <col min="7444" max="7444" width="9.140625" style="1"/>
    <col min="7445" max="7445" width="16.140625" style="1" customWidth="1"/>
    <col min="7446" max="7446" width="9.140625" style="1"/>
    <col min="7447" max="7448" width="12.85546875" style="1" customWidth="1"/>
    <col min="7449" max="7449" width="14.28515625" style="1" customWidth="1"/>
    <col min="7450" max="7452" width="9.140625" style="1"/>
    <col min="7453" max="7453" width="16.28515625" style="1" customWidth="1"/>
    <col min="7454" max="7454" width="9.140625" style="1"/>
    <col min="7455" max="7456" width="12.85546875" style="1" customWidth="1"/>
    <col min="7457" max="7457" width="16.140625" style="1" customWidth="1"/>
    <col min="7458" max="7459" width="9.140625" style="1"/>
    <col min="7460" max="7460" width="12.5703125" style="1" customWidth="1"/>
    <col min="7461" max="7671" width="9.140625" style="1"/>
    <col min="7672" max="7672" width="7" style="1" customWidth="1"/>
    <col min="7673" max="7673" width="12" style="1" customWidth="1"/>
    <col min="7674" max="7674" width="69.28515625" style="1" customWidth="1"/>
    <col min="7675" max="7675" width="12.7109375" style="1" customWidth="1"/>
    <col min="7676" max="7676" width="8.28515625" style="1" customWidth="1"/>
    <col min="7677" max="7677" width="17.85546875" style="1" customWidth="1"/>
    <col min="7678" max="7678" width="24.42578125" style="1" customWidth="1"/>
    <col min="7679" max="7679" width="10.7109375" style="1" customWidth="1"/>
    <col min="7680" max="7680" width="13.7109375" style="1" customWidth="1"/>
    <col min="7681" max="7681" width="22" style="1" customWidth="1"/>
    <col min="7682" max="7682" width="13.85546875" style="1" customWidth="1"/>
    <col min="7683" max="7683" width="9.140625" style="1"/>
    <col min="7684" max="7684" width="14.42578125" style="1" customWidth="1"/>
    <col min="7685" max="7685" width="9.28515625" style="1" customWidth="1"/>
    <col min="7686" max="7686" width="14.42578125" style="1" customWidth="1"/>
    <col min="7687" max="7687" width="10.140625" style="1" customWidth="1"/>
    <col min="7688" max="7688" width="15" style="1" customWidth="1"/>
    <col min="7689" max="7689" width="9.140625" style="1"/>
    <col min="7690" max="7690" width="14.85546875" style="1" customWidth="1"/>
    <col min="7691" max="7698" width="9.140625" style="1"/>
    <col min="7699" max="7699" width="13" style="1" customWidth="1"/>
    <col min="7700" max="7700" width="9.140625" style="1"/>
    <col min="7701" max="7701" width="16.140625" style="1" customWidth="1"/>
    <col min="7702" max="7702" width="9.140625" style="1"/>
    <col min="7703" max="7704" width="12.85546875" style="1" customWidth="1"/>
    <col min="7705" max="7705" width="14.28515625" style="1" customWidth="1"/>
    <col min="7706" max="7708" width="9.140625" style="1"/>
    <col min="7709" max="7709" width="16.28515625" style="1" customWidth="1"/>
    <col min="7710" max="7710" width="9.140625" style="1"/>
    <col min="7711" max="7712" width="12.85546875" style="1" customWidth="1"/>
    <col min="7713" max="7713" width="16.140625" style="1" customWidth="1"/>
    <col min="7714" max="7715" width="9.140625" style="1"/>
    <col min="7716" max="7716" width="12.5703125" style="1" customWidth="1"/>
    <col min="7717" max="7927" width="9.140625" style="1"/>
    <col min="7928" max="7928" width="7" style="1" customWidth="1"/>
    <col min="7929" max="7929" width="12" style="1" customWidth="1"/>
    <col min="7930" max="7930" width="69.28515625" style="1" customWidth="1"/>
    <col min="7931" max="7931" width="12.7109375" style="1" customWidth="1"/>
    <col min="7932" max="7932" width="8.28515625" style="1" customWidth="1"/>
    <col min="7933" max="7933" width="17.85546875" style="1" customWidth="1"/>
    <col min="7934" max="7934" width="24.42578125" style="1" customWidth="1"/>
    <col min="7935" max="7935" width="10.7109375" style="1" customWidth="1"/>
    <col min="7936" max="7936" width="13.7109375" style="1" customWidth="1"/>
    <col min="7937" max="7937" width="22" style="1" customWidth="1"/>
    <col min="7938" max="7938" width="13.85546875" style="1" customWidth="1"/>
    <col min="7939" max="7939" width="9.140625" style="1"/>
    <col min="7940" max="7940" width="14.42578125" style="1" customWidth="1"/>
    <col min="7941" max="7941" width="9.28515625" style="1" customWidth="1"/>
    <col min="7942" max="7942" width="14.42578125" style="1" customWidth="1"/>
    <col min="7943" max="7943" width="10.140625" style="1" customWidth="1"/>
    <col min="7944" max="7944" width="15" style="1" customWidth="1"/>
    <col min="7945" max="7945" width="9.140625" style="1"/>
    <col min="7946" max="7946" width="14.85546875" style="1" customWidth="1"/>
    <col min="7947" max="7954" width="9.140625" style="1"/>
    <col min="7955" max="7955" width="13" style="1" customWidth="1"/>
    <col min="7956" max="7956" width="9.140625" style="1"/>
    <col min="7957" max="7957" width="16.140625" style="1" customWidth="1"/>
    <col min="7958" max="7958" width="9.140625" style="1"/>
    <col min="7959" max="7960" width="12.85546875" style="1" customWidth="1"/>
    <col min="7961" max="7961" width="14.28515625" style="1" customWidth="1"/>
    <col min="7962" max="7964" width="9.140625" style="1"/>
    <col min="7965" max="7965" width="16.28515625" style="1" customWidth="1"/>
    <col min="7966" max="7966" width="9.140625" style="1"/>
    <col min="7967" max="7968" width="12.85546875" style="1" customWidth="1"/>
    <col min="7969" max="7969" width="16.140625" style="1" customWidth="1"/>
    <col min="7970" max="7971" width="9.140625" style="1"/>
    <col min="7972" max="7972" width="12.5703125" style="1" customWidth="1"/>
    <col min="7973" max="8183" width="9.140625" style="1"/>
    <col min="8184" max="8184" width="7" style="1" customWidth="1"/>
    <col min="8185" max="8185" width="12" style="1" customWidth="1"/>
    <col min="8186" max="8186" width="69.28515625" style="1" customWidth="1"/>
    <col min="8187" max="8187" width="12.7109375" style="1" customWidth="1"/>
    <col min="8188" max="8188" width="8.28515625" style="1" customWidth="1"/>
    <col min="8189" max="8189" width="17.85546875" style="1" customWidth="1"/>
    <col min="8190" max="8190" width="24.42578125" style="1" customWidth="1"/>
    <col min="8191" max="8191" width="10.7109375" style="1" customWidth="1"/>
    <col min="8192" max="8192" width="13.7109375" style="1" customWidth="1"/>
    <col min="8193" max="8193" width="22" style="1" customWidth="1"/>
    <col min="8194" max="8194" width="13.85546875" style="1" customWidth="1"/>
    <col min="8195" max="8195" width="9.140625" style="1"/>
    <col min="8196" max="8196" width="14.42578125" style="1" customWidth="1"/>
    <col min="8197" max="8197" width="9.28515625" style="1" customWidth="1"/>
    <col min="8198" max="8198" width="14.42578125" style="1" customWidth="1"/>
    <col min="8199" max="8199" width="10.140625" style="1" customWidth="1"/>
    <col min="8200" max="8200" width="15" style="1" customWidth="1"/>
    <col min="8201" max="8201" width="9.140625" style="1"/>
    <col min="8202" max="8202" width="14.85546875" style="1" customWidth="1"/>
    <col min="8203" max="8210" width="9.140625" style="1"/>
    <col min="8211" max="8211" width="13" style="1" customWidth="1"/>
    <col min="8212" max="8212" width="9.140625" style="1"/>
    <col min="8213" max="8213" width="16.140625" style="1" customWidth="1"/>
    <col min="8214" max="8214" width="9.140625" style="1"/>
    <col min="8215" max="8216" width="12.85546875" style="1" customWidth="1"/>
    <col min="8217" max="8217" width="14.28515625" style="1" customWidth="1"/>
    <col min="8218" max="8220" width="9.140625" style="1"/>
    <col min="8221" max="8221" width="16.28515625" style="1" customWidth="1"/>
    <col min="8222" max="8222" width="9.140625" style="1"/>
    <col min="8223" max="8224" width="12.85546875" style="1" customWidth="1"/>
    <col min="8225" max="8225" width="16.140625" style="1" customWidth="1"/>
    <col min="8226" max="8227" width="9.140625" style="1"/>
    <col min="8228" max="8228" width="12.5703125" style="1" customWidth="1"/>
    <col min="8229" max="8439" width="9.140625" style="1"/>
    <col min="8440" max="8440" width="7" style="1" customWidth="1"/>
    <col min="8441" max="8441" width="12" style="1" customWidth="1"/>
    <col min="8442" max="8442" width="69.28515625" style="1" customWidth="1"/>
    <col min="8443" max="8443" width="12.7109375" style="1" customWidth="1"/>
    <col min="8444" max="8444" width="8.28515625" style="1" customWidth="1"/>
    <col min="8445" max="8445" width="17.85546875" style="1" customWidth="1"/>
    <col min="8446" max="8446" width="24.42578125" style="1" customWidth="1"/>
    <col min="8447" max="8447" width="10.7109375" style="1" customWidth="1"/>
    <col min="8448" max="8448" width="13.7109375" style="1" customWidth="1"/>
    <col min="8449" max="8449" width="22" style="1" customWidth="1"/>
    <col min="8450" max="8450" width="13.85546875" style="1" customWidth="1"/>
    <col min="8451" max="8451" width="9.140625" style="1"/>
    <col min="8452" max="8452" width="14.42578125" style="1" customWidth="1"/>
    <col min="8453" max="8453" width="9.28515625" style="1" customWidth="1"/>
    <col min="8454" max="8454" width="14.42578125" style="1" customWidth="1"/>
    <col min="8455" max="8455" width="10.140625" style="1" customWidth="1"/>
    <col min="8456" max="8456" width="15" style="1" customWidth="1"/>
    <col min="8457" max="8457" width="9.140625" style="1"/>
    <col min="8458" max="8458" width="14.85546875" style="1" customWidth="1"/>
    <col min="8459" max="8466" width="9.140625" style="1"/>
    <col min="8467" max="8467" width="13" style="1" customWidth="1"/>
    <col min="8468" max="8468" width="9.140625" style="1"/>
    <col min="8469" max="8469" width="16.140625" style="1" customWidth="1"/>
    <col min="8470" max="8470" width="9.140625" style="1"/>
    <col min="8471" max="8472" width="12.85546875" style="1" customWidth="1"/>
    <col min="8473" max="8473" width="14.28515625" style="1" customWidth="1"/>
    <col min="8474" max="8476" width="9.140625" style="1"/>
    <col min="8477" max="8477" width="16.28515625" style="1" customWidth="1"/>
    <col min="8478" max="8478" width="9.140625" style="1"/>
    <col min="8479" max="8480" width="12.85546875" style="1" customWidth="1"/>
    <col min="8481" max="8481" width="16.140625" style="1" customWidth="1"/>
    <col min="8482" max="8483" width="9.140625" style="1"/>
    <col min="8484" max="8484" width="12.5703125" style="1" customWidth="1"/>
    <col min="8485" max="8695" width="9.140625" style="1"/>
    <col min="8696" max="8696" width="7" style="1" customWidth="1"/>
    <col min="8697" max="8697" width="12" style="1" customWidth="1"/>
    <col min="8698" max="8698" width="69.28515625" style="1" customWidth="1"/>
    <col min="8699" max="8699" width="12.7109375" style="1" customWidth="1"/>
    <col min="8700" max="8700" width="8.28515625" style="1" customWidth="1"/>
    <col min="8701" max="8701" width="17.85546875" style="1" customWidth="1"/>
    <col min="8702" max="8702" width="24.42578125" style="1" customWidth="1"/>
    <col min="8703" max="8703" width="10.7109375" style="1" customWidth="1"/>
    <col min="8704" max="8704" width="13.7109375" style="1" customWidth="1"/>
    <col min="8705" max="8705" width="22" style="1" customWidth="1"/>
    <col min="8706" max="8706" width="13.85546875" style="1" customWidth="1"/>
    <col min="8707" max="8707" width="9.140625" style="1"/>
    <col min="8708" max="8708" width="14.42578125" style="1" customWidth="1"/>
    <col min="8709" max="8709" width="9.28515625" style="1" customWidth="1"/>
    <col min="8710" max="8710" width="14.42578125" style="1" customWidth="1"/>
    <col min="8711" max="8711" width="10.140625" style="1" customWidth="1"/>
    <col min="8712" max="8712" width="15" style="1" customWidth="1"/>
    <col min="8713" max="8713" width="9.140625" style="1"/>
    <col min="8714" max="8714" width="14.85546875" style="1" customWidth="1"/>
    <col min="8715" max="8722" width="9.140625" style="1"/>
    <col min="8723" max="8723" width="13" style="1" customWidth="1"/>
    <col min="8724" max="8724" width="9.140625" style="1"/>
    <col min="8725" max="8725" width="16.140625" style="1" customWidth="1"/>
    <col min="8726" max="8726" width="9.140625" style="1"/>
    <col min="8727" max="8728" width="12.85546875" style="1" customWidth="1"/>
    <col min="8729" max="8729" width="14.28515625" style="1" customWidth="1"/>
    <col min="8730" max="8732" width="9.140625" style="1"/>
    <col min="8733" max="8733" width="16.28515625" style="1" customWidth="1"/>
    <col min="8734" max="8734" width="9.140625" style="1"/>
    <col min="8735" max="8736" width="12.85546875" style="1" customWidth="1"/>
    <col min="8737" max="8737" width="16.140625" style="1" customWidth="1"/>
    <col min="8738" max="8739" width="9.140625" style="1"/>
    <col min="8740" max="8740" width="12.5703125" style="1" customWidth="1"/>
    <col min="8741" max="8951" width="9.140625" style="1"/>
    <col min="8952" max="8952" width="7" style="1" customWidth="1"/>
    <col min="8953" max="8953" width="12" style="1" customWidth="1"/>
    <col min="8954" max="8954" width="69.28515625" style="1" customWidth="1"/>
    <col min="8955" max="8955" width="12.7109375" style="1" customWidth="1"/>
    <col min="8956" max="8956" width="8.28515625" style="1" customWidth="1"/>
    <col min="8957" max="8957" width="17.85546875" style="1" customWidth="1"/>
    <col min="8958" max="8958" width="24.42578125" style="1" customWidth="1"/>
    <col min="8959" max="8959" width="10.7109375" style="1" customWidth="1"/>
    <col min="8960" max="8960" width="13.7109375" style="1" customWidth="1"/>
    <col min="8961" max="8961" width="22" style="1" customWidth="1"/>
    <col min="8962" max="8962" width="13.85546875" style="1" customWidth="1"/>
    <col min="8963" max="8963" width="9.140625" style="1"/>
    <col min="8964" max="8964" width="14.42578125" style="1" customWidth="1"/>
    <col min="8965" max="8965" width="9.28515625" style="1" customWidth="1"/>
    <col min="8966" max="8966" width="14.42578125" style="1" customWidth="1"/>
    <col min="8967" max="8967" width="10.140625" style="1" customWidth="1"/>
    <col min="8968" max="8968" width="15" style="1" customWidth="1"/>
    <col min="8969" max="8969" width="9.140625" style="1"/>
    <col min="8970" max="8970" width="14.85546875" style="1" customWidth="1"/>
    <col min="8971" max="8978" width="9.140625" style="1"/>
    <col min="8979" max="8979" width="13" style="1" customWidth="1"/>
    <col min="8980" max="8980" width="9.140625" style="1"/>
    <col min="8981" max="8981" width="16.140625" style="1" customWidth="1"/>
    <col min="8982" max="8982" width="9.140625" style="1"/>
    <col min="8983" max="8984" width="12.85546875" style="1" customWidth="1"/>
    <col min="8985" max="8985" width="14.28515625" style="1" customWidth="1"/>
    <col min="8986" max="8988" width="9.140625" style="1"/>
    <col min="8989" max="8989" width="16.28515625" style="1" customWidth="1"/>
    <col min="8990" max="8990" width="9.140625" style="1"/>
    <col min="8991" max="8992" width="12.85546875" style="1" customWidth="1"/>
    <col min="8993" max="8993" width="16.140625" style="1" customWidth="1"/>
    <col min="8994" max="8995" width="9.140625" style="1"/>
    <col min="8996" max="8996" width="12.5703125" style="1" customWidth="1"/>
    <col min="8997" max="9207" width="9.140625" style="1"/>
    <col min="9208" max="9208" width="7" style="1" customWidth="1"/>
    <col min="9209" max="9209" width="12" style="1" customWidth="1"/>
    <col min="9210" max="9210" width="69.28515625" style="1" customWidth="1"/>
    <col min="9211" max="9211" width="12.7109375" style="1" customWidth="1"/>
    <col min="9212" max="9212" width="8.28515625" style="1" customWidth="1"/>
    <col min="9213" max="9213" width="17.85546875" style="1" customWidth="1"/>
    <col min="9214" max="9214" width="24.42578125" style="1" customWidth="1"/>
    <col min="9215" max="9215" width="10.7109375" style="1" customWidth="1"/>
    <col min="9216" max="9216" width="13.7109375" style="1" customWidth="1"/>
    <col min="9217" max="9217" width="22" style="1" customWidth="1"/>
    <col min="9218" max="9218" width="13.85546875" style="1" customWidth="1"/>
    <col min="9219" max="9219" width="9.140625" style="1"/>
    <col min="9220" max="9220" width="14.42578125" style="1" customWidth="1"/>
    <col min="9221" max="9221" width="9.28515625" style="1" customWidth="1"/>
    <col min="9222" max="9222" width="14.42578125" style="1" customWidth="1"/>
    <col min="9223" max="9223" width="10.140625" style="1" customWidth="1"/>
    <col min="9224" max="9224" width="15" style="1" customWidth="1"/>
    <col min="9225" max="9225" width="9.140625" style="1"/>
    <col min="9226" max="9226" width="14.85546875" style="1" customWidth="1"/>
    <col min="9227" max="9234" width="9.140625" style="1"/>
    <col min="9235" max="9235" width="13" style="1" customWidth="1"/>
    <col min="9236" max="9236" width="9.140625" style="1"/>
    <col min="9237" max="9237" width="16.140625" style="1" customWidth="1"/>
    <col min="9238" max="9238" width="9.140625" style="1"/>
    <col min="9239" max="9240" width="12.85546875" style="1" customWidth="1"/>
    <col min="9241" max="9241" width="14.28515625" style="1" customWidth="1"/>
    <col min="9242" max="9244" width="9.140625" style="1"/>
    <col min="9245" max="9245" width="16.28515625" style="1" customWidth="1"/>
    <col min="9246" max="9246" width="9.140625" style="1"/>
    <col min="9247" max="9248" width="12.85546875" style="1" customWidth="1"/>
    <col min="9249" max="9249" width="16.140625" style="1" customWidth="1"/>
    <col min="9250" max="9251" width="9.140625" style="1"/>
    <col min="9252" max="9252" width="12.5703125" style="1" customWidth="1"/>
    <col min="9253" max="9463" width="9.140625" style="1"/>
    <col min="9464" max="9464" width="7" style="1" customWidth="1"/>
    <col min="9465" max="9465" width="12" style="1" customWidth="1"/>
    <col min="9466" max="9466" width="69.28515625" style="1" customWidth="1"/>
    <col min="9467" max="9467" width="12.7109375" style="1" customWidth="1"/>
    <col min="9468" max="9468" width="8.28515625" style="1" customWidth="1"/>
    <col min="9469" max="9469" width="17.85546875" style="1" customWidth="1"/>
    <col min="9470" max="9470" width="24.42578125" style="1" customWidth="1"/>
    <col min="9471" max="9471" width="10.7109375" style="1" customWidth="1"/>
    <col min="9472" max="9472" width="13.7109375" style="1" customWidth="1"/>
    <col min="9473" max="9473" width="22" style="1" customWidth="1"/>
    <col min="9474" max="9474" width="13.85546875" style="1" customWidth="1"/>
    <col min="9475" max="9475" width="9.140625" style="1"/>
    <col min="9476" max="9476" width="14.42578125" style="1" customWidth="1"/>
    <col min="9477" max="9477" width="9.28515625" style="1" customWidth="1"/>
    <col min="9478" max="9478" width="14.42578125" style="1" customWidth="1"/>
    <col min="9479" max="9479" width="10.140625" style="1" customWidth="1"/>
    <col min="9480" max="9480" width="15" style="1" customWidth="1"/>
    <col min="9481" max="9481" width="9.140625" style="1"/>
    <col min="9482" max="9482" width="14.85546875" style="1" customWidth="1"/>
    <col min="9483" max="9490" width="9.140625" style="1"/>
    <col min="9491" max="9491" width="13" style="1" customWidth="1"/>
    <col min="9492" max="9492" width="9.140625" style="1"/>
    <col min="9493" max="9493" width="16.140625" style="1" customWidth="1"/>
    <col min="9494" max="9494" width="9.140625" style="1"/>
    <col min="9495" max="9496" width="12.85546875" style="1" customWidth="1"/>
    <col min="9497" max="9497" width="14.28515625" style="1" customWidth="1"/>
    <col min="9498" max="9500" width="9.140625" style="1"/>
    <col min="9501" max="9501" width="16.28515625" style="1" customWidth="1"/>
    <col min="9502" max="9502" width="9.140625" style="1"/>
    <col min="9503" max="9504" width="12.85546875" style="1" customWidth="1"/>
    <col min="9505" max="9505" width="16.140625" style="1" customWidth="1"/>
    <col min="9506" max="9507" width="9.140625" style="1"/>
    <col min="9508" max="9508" width="12.5703125" style="1" customWidth="1"/>
    <col min="9509" max="9719" width="9.140625" style="1"/>
    <col min="9720" max="9720" width="7" style="1" customWidth="1"/>
    <col min="9721" max="9721" width="12" style="1" customWidth="1"/>
    <col min="9722" max="9722" width="69.28515625" style="1" customWidth="1"/>
    <col min="9723" max="9723" width="12.7109375" style="1" customWidth="1"/>
    <col min="9724" max="9724" width="8.28515625" style="1" customWidth="1"/>
    <col min="9725" max="9725" width="17.85546875" style="1" customWidth="1"/>
    <col min="9726" max="9726" width="24.42578125" style="1" customWidth="1"/>
    <col min="9727" max="9727" width="10.7109375" style="1" customWidth="1"/>
    <col min="9728" max="9728" width="13.7109375" style="1" customWidth="1"/>
    <col min="9729" max="9729" width="22" style="1" customWidth="1"/>
    <col min="9730" max="9730" width="13.85546875" style="1" customWidth="1"/>
    <col min="9731" max="9731" width="9.140625" style="1"/>
    <col min="9732" max="9732" width="14.42578125" style="1" customWidth="1"/>
    <col min="9733" max="9733" width="9.28515625" style="1" customWidth="1"/>
    <col min="9734" max="9734" width="14.42578125" style="1" customWidth="1"/>
    <col min="9735" max="9735" width="10.140625" style="1" customWidth="1"/>
    <col min="9736" max="9736" width="15" style="1" customWidth="1"/>
    <col min="9737" max="9737" width="9.140625" style="1"/>
    <col min="9738" max="9738" width="14.85546875" style="1" customWidth="1"/>
    <col min="9739" max="9746" width="9.140625" style="1"/>
    <col min="9747" max="9747" width="13" style="1" customWidth="1"/>
    <col min="9748" max="9748" width="9.140625" style="1"/>
    <col min="9749" max="9749" width="16.140625" style="1" customWidth="1"/>
    <col min="9750" max="9750" width="9.140625" style="1"/>
    <col min="9751" max="9752" width="12.85546875" style="1" customWidth="1"/>
    <col min="9753" max="9753" width="14.28515625" style="1" customWidth="1"/>
    <col min="9754" max="9756" width="9.140625" style="1"/>
    <col min="9757" max="9757" width="16.28515625" style="1" customWidth="1"/>
    <col min="9758" max="9758" width="9.140625" style="1"/>
    <col min="9759" max="9760" width="12.85546875" style="1" customWidth="1"/>
    <col min="9761" max="9761" width="16.140625" style="1" customWidth="1"/>
    <col min="9762" max="9763" width="9.140625" style="1"/>
    <col min="9764" max="9764" width="12.5703125" style="1" customWidth="1"/>
    <col min="9765" max="9975" width="9.140625" style="1"/>
    <col min="9976" max="9976" width="7" style="1" customWidth="1"/>
    <col min="9977" max="9977" width="12" style="1" customWidth="1"/>
    <col min="9978" max="9978" width="69.28515625" style="1" customWidth="1"/>
    <col min="9979" max="9979" width="12.7109375" style="1" customWidth="1"/>
    <col min="9980" max="9980" width="8.28515625" style="1" customWidth="1"/>
    <col min="9981" max="9981" width="17.85546875" style="1" customWidth="1"/>
    <col min="9982" max="9982" width="24.42578125" style="1" customWidth="1"/>
    <col min="9983" max="9983" width="10.7109375" style="1" customWidth="1"/>
    <col min="9984" max="9984" width="13.7109375" style="1" customWidth="1"/>
    <col min="9985" max="9985" width="22" style="1" customWidth="1"/>
    <col min="9986" max="9986" width="13.85546875" style="1" customWidth="1"/>
    <col min="9987" max="9987" width="9.140625" style="1"/>
    <col min="9988" max="9988" width="14.42578125" style="1" customWidth="1"/>
    <col min="9989" max="9989" width="9.28515625" style="1" customWidth="1"/>
    <col min="9990" max="9990" width="14.42578125" style="1" customWidth="1"/>
    <col min="9991" max="9991" width="10.140625" style="1" customWidth="1"/>
    <col min="9992" max="9992" width="15" style="1" customWidth="1"/>
    <col min="9993" max="9993" width="9.140625" style="1"/>
    <col min="9994" max="9994" width="14.85546875" style="1" customWidth="1"/>
    <col min="9995" max="10002" width="9.140625" style="1"/>
    <col min="10003" max="10003" width="13" style="1" customWidth="1"/>
    <col min="10004" max="10004" width="9.140625" style="1"/>
    <col min="10005" max="10005" width="16.140625" style="1" customWidth="1"/>
    <col min="10006" max="10006" width="9.140625" style="1"/>
    <col min="10007" max="10008" width="12.85546875" style="1" customWidth="1"/>
    <col min="10009" max="10009" width="14.28515625" style="1" customWidth="1"/>
    <col min="10010" max="10012" width="9.140625" style="1"/>
    <col min="10013" max="10013" width="16.28515625" style="1" customWidth="1"/>
    <col min="10014" max="10014" width="9.140625" style="1"/>
    <col min="10015" max="10016" width="12.85546875" style="1" customWidth="1"/>
    <col min="10017" max="10017" width="16.140625" style="1" customWidth="1"/>
    <col min="10018" max="10019" width="9.140625" style="1"/>
    <col min="10020" max="10020" width="12.5703125" style="1" customWidth="1"/>
    <col min="10021" max="10231" width="9.140625" style="1"/>
    <col min="10232" max="10232" width="7" style="1" customWidth="1"/>
    <col min="10233" max="10233" width="12" style="1" customWidth="1"/>
    <col min="10234" max="10234" width="69.28515625" style="1" customWidth="1"/>
    <col min="10235" max="10235" width="12.7109375" style="1" customWidth="1"/>
    <col min="10236" max="10236" width="8.28515625" style="1" customWidth="1"/>
    <col min="10237" max="10237" width="17.85546875" style="1" customWidth="1"/>
    <col min="10238" max="10238" width="24.42578125" style="1" customWidth="1"/>
    <col min="10239" max="10239" width="10.7109375" style="1" customWidth="1"/>
    <col min="10240" max="10240" width="13.7109375" style="1" customWidth="1"/>
    <col min="10241" max="10241" width="22" style="1" customWidth="1"/>
    <col min="10242" max="10242" width="13.85546875" style="1" customWidth="1"/>
    <col min="10243" max="10243" width="9.140625" style="1"/>
    <col min="10244" max="10244" width="14.42578125" style="1" customWidth="1"/>
    <col min="10245" max="10245" width="9.28515625" style="1" customWidth="1"/>
    <col min="10246" max="10246" width="14.42578125" style="1" customWidth="1"/>
    <col min="10247" max="10247" width="10.140625" style="1" customWidth="1"/>
    <col min="10248" max="10248" width="15" style="1" customWidth="1"/>
    <col min="10249" max="10249" width="9.140625" style="1"/>
    <col min="10250" max="10250" width="14.85546875" style="1" customWidth="1"/>
    <col min="10251" max="10258" width="9.140625" style="1"/>
    <col min="10259" max="10259" width="13" style="1" customWidth="1"/>
    <col min="10260" max="10260" width="9.140625" style="1"/>
    <col min="10261" max="10261" width="16.140625" style="1" customWidth="1"/>
    <col min="10262" max="10262" width="9.140625" style="1"/>
    <col min="10263" max="10264" width="12.85546875" style="1" customWidth="1"/>
    <col min="10265" max="10265" width="14.28515625" style="1" customWidth="1"/>
    <col min="10266" max="10268" width="9.140625" style="1"/>
    <col min="10269" max="10269" width="16.28515625" style="1" customWidth="1"/>
    <col min="10270" max="10270" width="9.140625" style="1"/>
    <col min="10271" max="10272" width="12.85546875" style="1" customWidth="1"/>
    <col min="10273" max="10273" width="16.140625" style="1" customWidth="1"/>
    <col min="10274" max="10275" width="9.140625" style="1"/>
    <col min="10276" max="10276" width="12.5703125" style="1" customWidth="1"/>
    <col min="10277" max="10487" width="9.140625" style="1"/>
    <col min="10488" max="10488" width="7" style="1" customWidth="1"/>
    <col min="10489" max="10489" width="12" style="1" customWidth="1"/>
    <col min="10490" max="10490" width="69.28515625" style="1" customWidth="1"/>
    <col min="10491" max="10491" width="12.7109375" style="1" customWidth="1"/>
    <col min="10492" max="10492" width="8.28515625" style="1" customWidth="1"/>
    <col min="10493" max="10493" width="17.85546875" style="1" customWidth="1"/>
    <col min="10494" max="10494" width="24.42578125" style="1" customWidth="1"/>
    <col min="10495" max="10495" width="10.7109375" style="1" customWidth="1"/>
    <col min="10496" max="10496" width="13.7109375" style="1" customWidth="1"/>
    <col min="10497" max="10497" width="22" style="1" customWidth="1"/>
    <col min="10498" max="10498" width="13.85546875" style="1" customWidth="1"/>
    <col min="10499" max="10499" width="9.140625" style="1"/>
    <col min="10500" max="10500" width="14.42578125" style="1" customWidth="1"/>
    <col min="10501" max="10501" width="9.28515625" style="1" customWidth="1"/>
    <col min="10502" max="10502" width="14.42578125" style="1" customWidth="1"/>
    <col min="10503" max="10503" width="10.140625" style="1" customWidth="1"/>
    <col min="10504" max="10504" width="15" style="1" customWidth="1"/>
    <col min="10505" max="10505" width="9.140625" style="1"/>
    <col min="10506" max="10506" width="14.85546875" style="1" customWidth="1"/>
    <col min="10507" max="10514" width="9.140625" style="1"/>
    <col min="10515" max="10515" width="13" style="1" customWidth="1"/>
    <col min="10516" max="10516" width="9.140625" style="1"/>
    <col min="10517" max="10517" width="16.140625" style="1" customWidth="1"/>
    <col min="10518" max="10518" width="9.140625" style="1"/>
    <col min="10519" max="10520" width="12.85546875" style="1" customWidth="1"/>
    <col min="10521" max="10521" width="14.28515625" style="1" customWidth="1"/>
    <col min="10522" max="10524" width="9.140625" style="1"/>
    <col min="10525" max="10525" width="16.28515625" style="1" customWidth="1"/>
    <col min="10526" max="10526" width="9.140625" style="1"/>
    <col min="10527" max="10528" width="12.85546875" style="1" customWidth="1"/>
    <col min="10529" max="10529" width="16.140625" style="1" customWidth="1"/>
    <col min="10530" max="10531" width="9.140625" style="1"/>
    <col min="10532" max="10532" width="12.5703125" style="1" customWidth="1"/>
    <col min="10533" max="10743" width="9.140625" style="1"/>
    <col min="10744" max="10744" width="7" style="1" customWidth="1"/>
    <col min="10745" max="10745" width="12" style="1" customWidth="1"/>
    <col min="10746" max="10746" width="69.28515625" style="1" customWidth="1"/>
    <col min="10747" max="10747" width="12.7109375" style="1" customWidth="1"/>
    <col min="10748" max="10748" width="8.28515625" style="1" customWidth="1"/>
    <col min="10749" max="10749" width="17.85546875" style="1" customWidth="1"/>
    <col min="10750" max="10750" width="24.42578125" style="1" customWidth="1"/>
    <col min="10751" max="10751" width="10.7109375" style="1" customWidth="1"/>
    <col min="10752" max="10752" width="13.7109375" style="1" customWidth="1"/>
    <col min="10753" max="10753" width="22" style="1" customWidth="1"/>
    <col min="10754" max="10754" width="13.85546875" style="1" customWidth="1"/>
    <col min="10755" max="10755" width="9.140625" style="1"/>
    <col min="10756" max="10756" width="14.42578125" style="1" customWidth="1"/>
    <col min="10757" max="10757" width="9.28515625" style="1" customWidth="1"/>
    <col min="10758" max="10758" width="14.42578125" style="1" customWidth="1"/>
    <col min="10759" max="10759" width="10.140625" style="1" customWidth="1"/>
    <col min="10760" max="10760" width="15" style="1" customWidth="1"/>
    <col min="10761" max="10761" width="9.140625" style="1"/>
    <col min="10762" max="10762" width="14.85546875" style="1" customWidth="1"/>
    <col min="10763" max="10770" width="9.140625" style="1"/>
    <col min="10771" max="10771" width="13" style="1" customWidth="1"/>
    <col min="10772" max="10772" width="9.140625" style="1"/>
    <col min="10773" max="10773" width="16.140625" style="1" customWidth="1"/>
    <col min="10774" max="10774" width="9.140625" style="1"/>
    <col min="10775" max="10776" width="12.85546875" style="1" customWidth="1"/>
    <col min="10777" max="10777" width="14.28515625" style="1" customWidth="1"/>
    <col min="10778" max="10780" width="9.140625" style="1"/>
    <col min="10781" max="10781" width="16.28515625" style="1" customWidth="1"/>
    <col min="10782" max="10782" width="9.140625" style="1"/>
    <col min="10783" max="10784" width="12.85546875" style="1" customWidth="1"/>
    <col min="10785" max="10785" width="16.140625" style="1" customWidth="1"/>
    <col min="10786" max="10787" width="9.140625" style="1"/>
    <col min="10788" max="10788" width="12.5703125" style="1" customWidth="1"/>
    <col min="10789" max="10999" width="9.140625" style="1"/>
    <col min="11000" max="11000" width="7" style="1" customWidth="1"/>
    <col min="11001" max="11001" width="12" style="1" customWidth="1"/>
    <col min="11002" max="11002" width="69.28515625" style="1" customWidth="1"/>
    <col min="11003" max="11003" width="12.7109375" style="1" customWidth="1"/>
    <col min="11004" max="11004" width="8.28515625" style="1" customWidth="1"/>
    <col min="11005" max="11005" width="17.85546875" style="1" customWidth="1"/>
    <col min="11006" max="11006" width="24.42578125" style="1" customWidth="1"/>
    <col min="11007" max="11007" width="10.7109375" style="1" customWidth="1"/>
    <col min="11008" max="11008" width="13.7109375" style="1" customWidth="1"/>
    <col min="11009" max="11009" width="22" style="1" customWidth="1"/>
    <col min="11010" max="11010" width="13.85546875" style="1" customWidth="1"/>
    <col min="11011" max="11011" width="9.140625" style="1"/>
    <col min="11012" max="11012" width="14.42578125" style="1" customWidth="1"/>
    <col min="11013" max="11013" width="9.28515625" style="1" customWidth="1"/>
    <col min="11014" max="11014" width="14.42578125" style="1" customWidth="1"/>
    <col min="11015" max="11015" width="10.140625" style="1" customWidth="1"/>
    <col min="11016" max="11016" width="15" style="1" customWidth="1"/>
    <col min="11017" max="11017" width="9.140625" style="1"/>
    <col min="11018" max="11018" width="14.85546875" style="1" customWidth="1"/>
    <col min="11019" max="11026" width="9.140625" style="1"/>
    <col min="11027" max="11027" width="13" style="1" customWidth="1"/>
    <col min="11028" max="11028" width="9.140625" style="1"/>
    <col min="11029" max="11029" width="16.140625" style="1" customWidth="1"/>
    <col min="11030" max="11030" width="9.140625" style="1"/>
    <col min="11031" max="11032" width="12.85546875" style="1" customWidth="1"/>
    <col min="11033" max="11033" width="14.28515625" style="1" customWidth="1"/>
    <col min="11034" max="11036" width="9.140625" style="1"/>
    <col min="11037" max="11037" width="16.28515625" style="1" customWidth="1"/>
    <col min="11038" max="11038" width="9.140625" style="1"/>
    <col min="11039" max="11040" width="12.85546875" style="1" customWidth="1"/>
    <col min="11041" max="11041" width="16.140625" style="1" customWidth="1"/>
    <col min="11042" max="11043" width="9.140625" style="1"/>
    <col min="11044" max="11044" width="12.5703125" style="1" customWidth="1"/>
    <col min="11045" max="11255" width="9.140625" style="1"/>
    <col min="11256" max="11256" width="7" style="1" customWidth="1"/>
    <col min="11257" max="11257" width="12" style="1" customWidth="1"/>
    <col min="11258" max="11258" width="69.28515625" style="1" customWidth="1"/>
    <col min="11259" max="11259" width="12.7109375" style="1" customWidth="1"/>
    <col min="11260" max="11260" width="8.28515625" style="1" customWidth="1"/>
    <col min="11261" max="11261" width="17.85546875" style="1" customWidth="1"/>
    <col min="11262" max="11262" width="24.42578125" style="1" customWidth="1"/>
    <col min="11263" max="11263" width="10.7109375" style="1" customWidth="1"/>
    <col min="11264" max="11264" width="13.7109375" style="1" customWidth="1"/>
    <col min="11265" max="11265" width="22" style="1" customWidth="1"/>
    <col min="11266" max="11266" width="13.85546875" style="1" customWidth="1"/>
    <col min="11267" max="11267" width="9.140625" style="1"/>
    <col min="11268" max="11268" width="14.42578125" style="1" customWidth="1"/>
    <col min="11269" max="11269" width="9.28515625" style="1" customWidth="1"/>
    <col min="11270" max="11270" width="14.42578125" style="1" customWidth="1"/>
    <col min="11271" max="11271" width="10.140625" style="1" customWidth="1"/>
    <col min="11272" max="11272" width="15" style="1" customWidth="1"/>
    <col min="11273" max="11273" width="9.140625" style="1"/>
    <col min="11274" max="11274" width="14.85546875" style="1" customWidth="1"/>
    <col min="11275" max="11282" width="9.140625" style="1"/>
    <col min="11283" max="11283" width="13" style="1" customWidth="1"/>
    <col min="11284" max="11284" width="9.140625" style="1"/>
    <col min="11285" max="11285" width="16.140625" style="1" customWidth="1"/>
    <col min="11286" max="11286" width="9.140625" style="1"/>
    <col min="11287" max="11288" width="12.85546875" style="1" customWidth="1"/>
    <col min="11289" max="11289" width="14.28515625" style="1" customWidth="1"/>
    <col min="11290" max="11292" width="9.140625" style="1"/>
    <col min="11293" max="11293" width="16.28515625" style="1" customWidth="1"/>
    <col min="11294" max="11294" width="9.140625" style="1"/>
    <col min="11295" max="11296" width="12.85546875" style="1" customWidth="1"/>
    <col min="11297" max="11297" width="16.140625" style="1" customWidth="1"/>
    <col min="11298" max="11299" width="9.140625" style="1"/>
    <col min="11300" max="11300" width="12.5703125" style="1" customWidth="1"/>
    <col min="11301" max="11511" width="9.140625" style="1"/>
    <col min="11512" max="11512" width="7" style="1" customWidth="1"/>
    <col min="11513" max="11513" width="12" style="1" customWidth="1"/>
    <col min="11514" max="11514" width="69.28515625" style="1" customWidth="1"/>
    <col min="11515" max="11515" width="12.7109375" style="1" customWidth="1"/>
    <col min="11516" max="11516" width="8.28515625" style="1" customWidth="1"/>
    <col min="11517" max="11517" width="17.85546875" style="1" customWidth="1"/>
    <col min="11518" max="11518" width="24.42578125" style="1" customWidth="1"/>
    <col min="11519" max="11519" width="10.7109375" style="1" customWidth="1"/>
    <col min="11520" max="11520" width="13.7109375" style="1" customWidth="1"/>
    <col min="11521" max="11521" width="22" style="1" customWidth="1"/>
    <col min="11522" max="11522" width="13.85546875" style="1" customWidth="1"/>
    <col min="11523" max="11523" width="9.140625" style="1"/>
    <col min="11524" max="11524" width="14.42578125" style="1" customWidth="1"/>
    <col min="11525" max="11525" width="9.28515625" style="1" customWidth="1"/>
    <col min="11526" max="11526" width="14.42578125" style="1" customWidth="1"/>
    <col min="11527" max="11527" width="10.140625" style="1" customWidth="1"/>
    <col min="11528" max="11528" width="15" style="1" customWidth="1"/>
    <col min="11529" max="11529" width="9.140625" style="1"/>
    <col min="11530" max="11530" width="14.85546875" style="1" customWidth="1"/>
    <col min="11531" max="11538" width="9.140625" style="1"/>
    <col min="11539" max="11539" width="13" style="1" customWidth="1"/>
    <col min="11540" max="11540" width="9.140625" style="1"/>
    <col min="11541" max="11541" width="16.140625" style="1" customWidth="1"/>
    <col min="11542" max="11542" width="9.140625" style="1"/>
    <col min="11543" max="11544" width="12.85546875" style="1" customWidth="1"/>
    <col min="11545" max="11545" width="14.28515625" style="1" customWidth="1"/>
    <col min="11546" max="11548" width="9.140625" style="1"/>
    <col min="11549" max="11549" width="16.28515625" style="1" customWidth="1"/>
    <col min="11550" max="11550" width="9.140625" style="1"/>
    <col min="11551" max="11552" width="12.85546875" style="1" customWidth="1"/>
    <col min="11553" max="11553" width="16.140625" style="1" customWidth="1"/>
    <col min="11554" max="11555" width="9.140625" style="1"/>
    <col min="11556" max="11556" width="12.5703125" style="1" customWidth="1"/>
    <col min="11557" max="11767" width="9.140625" style="1"/>
    <col min="11768" max="11768" width="7" style="1" customWidth="1"/>
    <col min="11769" max="11769" width="12" style="1" customWidth="1"/>
    <col min="11770" max="11770" width="69.28515625" style="1" customWidth="1"/>
    <col min="11771" max="11771" width="12.7109375" style="1" customWidth="1"/>
    <col min="11772" max="11772" width="8.28515625" style="1" customWidth="1"/>
    <col min="11773" max="11773" width="17.85546875" style="1" customWidth="1"/>
    <col min="11774" max="11774" width="24.42578125" style="1" customWidth="1"/>
    <col min="11775" max="11775" width="10.7109375" style="1" customWidth="1"/>
    <col min="11776" max="11776" width="13.7109375" style="1" customWidth="1"/>
    <col min="11777" max="11777" width="22" style="1" customWidth="1"/>
    <col min="11778" max="11778" width="13.85546875" style="1" customWidth="1"/>
    <col min="11779" max="11779" width="9.140625" style="1"/>
    <col min="11780" max="11780" width="14.42578125" style="1" customWidth="1"/>
    <col min="11781" max="11781" width="9.28515625" style="1" customWidth="1"/>
    <col min="11782" max="11782" width="14.42578125" style="1" customWidth="1"/>
    <col min="11783" max="11783" width="10.140625" style="1" customWidth="1"/>
    <col min="11784" max="11784" width="15" style="1" customWidth="1"/>
    <col min="11785" max="11785" width="9.140625" style="1"/>
    <col min="11786" max="11786" width="14.85546875" style="1" customWidth="1"/>
    <col min="11787" max="11794" width="9.140625" style="1"/>
    <col min="11795" max="11795" width="13" style="1" customWidth="1"/>
    <col min="11796" max="11796" width="9.140625" style="1"/>
    <col min="11797" max="11797" width="16.140625" style="1" customWidth="1"/>
    <col min="11798" max="11798" width="9.140625" style="1"/>
    <col min="11799" max="11800" width="12.85546875" style="1" customWidth="1"/>
    <col min="11801" max="11801" width="14.28515625" style="1" customWidth="1"/>
    <col min="11802" max="11804" width="9.140625" style="1"/>
    <col min="11805" max="11805" width="16.28515625" style="1" customWidth="1"/>
    <col min="11806" max="11806" width="9.140625" style="1"/>
    <col min="11807" max="11808" width="12.85546875" style="1" customWidth="1"/>
    <col min="11809" max="11809" width="16.140625" style="1" customWidth="1"/>
    <col min="11810" max="11811" width="9.140625" style="1"/>
    <col min="11812" max="11812" width="12.5703125" style="1" customWidth="1"/>
    <col min="11813" max="12023" width="9.140625" style="1"/>
    <col min="12024" max="12024" width="7" style="1" customWidth="1"/>
    <col min="12025" max="12025" width="12" style="1" customWidth="1"/>
    <col min="12026" max="12026" width="69.28515625" style="1" customWidth="1"/>
    <col min="12027" max="12027" width="12.7109375" style="1" customWidth="1"/>
    <col min="12028" max="12028" width="8.28515625" style="1" customWidth="1"/>
    <col min="12029" max="12029" width="17.85546875" style="1" customWidth="1"/>
    <col min="12030" max="12030" width="24.42578125" style="1" customWidth="1"/>
    <col min="12031" max="12031" width="10.7109375" style="1" customWidth="1"/>
    <col min="12032" max="12032" width="13.7109375" style="1" customWidth="1"/>
    <col min="12033" max="12033" width="22" style="1" customWidth="1"/>
    <col min="12034" max="12034" width="13.85546875" style="1" customWidth="1"/>
    <col min="12035" max="12035" width="9.140625" style="1"/>
    <col min="12036" max="12036" width="14.42578125" style="1" customWidth="1"/>
    <col min="12037" max="12037" width="9.28515625" style="1" customWidth="1"/>
    <col min="12038" max="12038" width="14.42578125" style="1" customWidth="1"/>
    <col min="12039" max="12039" width="10.140625" style="1" customWidth="1"/>
    <col min="12040" max="12040" width="15" style="1" customWidth="1"/>
    <col min="12041" max="12041" width="9.140625" style="1"/>
    <col min="12042" max="12042" width="14.85546875" style="1" customWidth="1"/>
    <col min="12043" max="12050" width="9.140625" style="1"/>
    <col min="12051" max="12051" width="13" style="1" customWidth="1"/>
    <col min="12052" max="12052" width="9.140625" style="1"/>
    <col min="12053" max="12053" width="16.140625" style="1" customWidth="1"/>
    <col min="12054" max="12054" width="9.140625" style="1"/>
    <col min="12055" max="12056" width="12.85546875" style="1" customWidth="1"/>
    <col min="12057" max="12057" width="14.28515625" style="1" customWidth="1"/>
    <col min="12058" max="12060" width="9.140625" style="1"/>
    <col min="12061" max="12061" width="16.28515625" style="1" customWidth="1"/>
    <col min="12062" max="12062" width="9.140625" style="1"/>
    <col min="12063" max="12064" width="12.85546875" style="1" customWidth="1"/>
    <col min="12065" max="12065" width="16.140625" style="1" customWidth="1"/>
    <col min="12066" max="12067" width="9.140625" style="1"/>
    <col min="12068" max="12068" width="12.5703125" style="1" customWidth="1"/>
    <col min="12069" max="12279" width="9.140625" style="1"/>
    <col min="12280" max="12280" width="7" style="1" customWidth="1"/>
    <col min="12281" max="12281" width="12" style="1" customWidth="1"/>
    <col min="12282" max="12282" width="69.28515625" style="1" customWidth="1"/>
    <col min="12283" max="12283" width="12.7109375" style="1" customWidth="1"/>
    <col min="12284" max="12284" width="8.28515625" style="1" customWidth="1"/>
    <col min="12285" max="12285" width="17.85546875" style="1" customWidth="1"/>
    <col min="12286" max="12286" width="24.42578125" style="1" customWidth="1"/>
    <col min="12287" max="12287" width="10.7109375" style="1" customWidth="1"/>
    <col min="12288" max="12288" width="13.7109375" style="1" customWidth="1"/>
    <col min="12289" max="12289" width="22" style="1" customWidth="1"/>
    <col min="12290" max="12290" width="13.85546875" style="1" customWidth="1"/>
    <col min="12291" max="12291" width="9.140625" style="1"/>
    <col min="12292" max="12292" width="14.42578125" style="1" customWidth="1"/>
    <col min="12293" max="12293" width="9.28515625" style="1" customWidth="1"/>
    <col min="12294" max="12294" width="14.42578125" style="1" customWidth="1"/>
    <col min="12295" max="12295" width="10.140625" style="1" customWidth="1"/>
    <col min="12296" max="12296" width="15" style="1" customWidth="1"/>
    <col min="12297" max="12297" width="9.140625" style="1"/>
    <col min="12298" max="12298" width="14.85546875" style="1" customWidth="1"/>
    <col min="12299" max="12306" width="9.140625" style="1"/>
    <col min="12307" max="12307" width="13" style="1" customWidth="1"/>
    <col min="12308" max="12308" width="9.140625" style="1"/>
    <col min="12309" max="12309" width="16.140625" style="1" customWidth="1"/>
    <col min="12310" max="12310" width="9.140625" style="1"/>
    <col min="12311" max="12312" width="12.85546875" style="1" customWidth="1"/>
    <col min="12313" max="12313" width="14.28515625" style="1" customWidth="1"/>
    <col min="12314" max="12316" width="9.140625" style="1"/>
    <col min="12317" max="12317" width="16.28515625" style="1" customWidth="1"/>
    <col min="12318" max="12318" width="9.140625" style="1"/>
    <col min="12319" max="12320" width="12.85546875" style="1" customWidth="1"/>
    <col min="12321" max="12321" width="16.140625" style="1" customWidth="1"/>
    <col min="12322" max="12323" width="9.140625" style="1"/>
    <col min="12324" max="12324" width="12.5703125" style="1" customWidth="1"/>
    <col min="12325" max="12535" width="9.140625" style="1"/>
    <col min="12536" max="12536" width="7" style="1" customWidth="1"/>
    <col min="12537" max="12537" width="12" style="1" customWidth="1"/>
    <col min="12538" max="12538" width="69.28515625" style="1" customWidth="1"/>
    <col min="12539" max="12539" width="12.7109375" style="1" customWidth="1"/>
    <col min="12540" max="12540" width="8.28515625" style="1" customWidth="1"/>
    <col min="12541" max="12541" width="17.85546875" style="1" customWidth="1"/>
    <col min="12542" max="12542" width="24.42578125" style="1" customWidth="1"/>
    <col min="12543" max="12543" width="10.7109375" style="1" customWidth="1"/>
    <col min="12544" max="12544" width="13.7109375" style="1" customWidth="1"/>
    <col min="12545" max="12545" width="22" style="1" customWidth="1"/>
    <col min="12546" max="12546" width="13.85546875" style="1" customWidth="1"/>
    <col min="12547" max="12547" width="9.140625" style="1"/>
    <col min="12548" max="12548" width="14.42578125" style="1" customWidth="1"/>
    <col min="12549" max="12549" width="9.28515625" style="1" customWidth="1"/>
    <col min="12550" max="12550" width="14.42578125" style="1" customWidth="1"/>
    <col min="12551" max="12551" width="10.140625" style="1" customWidth="1"/>
    <col min="12552" max="12552" width="15" style="1" customWidth="1"/>
    <col min="12553" max="12553" width="9.140625" style="1"/>
    <col min="12554" max="12554" width="14.85546875" style="1" customWidth="1"/>
    <col min="12555" max="12562" width="9.140625" style="1"/>
    <col min="12563" max="12563" width="13" style="1" customWidth="1"/>
    <col min="12564" max="12564" width="9.140625" style="1"/>
    <col min="12565" max="12565" width="16.140625" style="1" customWidth="1"/>
    <col min="12566" max="12566" width="9.140625" style="1"/>
    <col min="12567" max="12568" width="12.85546875" style="1" customWidth="1"/>
    <col min="12569" max="12569" width="14.28515625" style="1" customWidth="1"/>
    <col min="12570" max="12572" width="9.140625" style="1"/>
    <col min="12573" max="12573" width="16.28515625" style="1" customWidth="1"/>
    <col min="12574" max="12574" width="9.140625" style="1"/>
    <col min="12575" max="12576" width="12.85546875" style="1" customWidth="1"/>
    <col min="12577" max="12577" width="16.140625" style="1" customWidth="1"/>
    <col min="12578" max="12579" width="9.140625" style="1"/>
    <col min="12580" max="12580" width="12.5703125" style="1" customWidth="1"/>
    <col min="12581" max="12791" width="9.140625" style="1"/>
    <col min="12792" max="12792" width="7" style="1" customWidth="1"/>
    <col min="12793" max="12793" width="12" style="1" customWidth="1"/>
    <col min="12794" max="12794" width="69.28515625" style="1" customWidth="1"/>
    <col min="12795" max="12795" width="12.7109375" style="1" customWidth="1"/>
    <col min="12796" max="12796" width="8.28515625" style="1" customWidth="1"/>
    <col min="12797" max="12797" width="17.85546875" style="1" customWidth="1"/>
    <col min="12798" max="12798" width="24.42578125" style="1" customWidth="1"/>
    <col min="12799" max="12799" width="10.7109375" style="1" customWidth="1"/>
    <col min="12800" max="12800" width="13.7109375" style="1" customWidth="1"/>
    <col min="12801" max="12801" width="22" style="1" customWidth="1"/>
    <col min="12802" max="12802" width="13.85546875" style="1" customWidth="1"/>
    <col min="12803" max="12803" width="9.140625" style="1"/>
    <col min="12804" max="12804" width="14.42578125" style="1" customWidth="1"/>
    <col min="12805" max="12805" width="9.28515625" style="1" customWidth="1"/>
    <col min="12806" max="12806" width="14.42578125" style="1" customWidth="1"/>
    <col min="12807" max="12807" width="10.140625" style="1" customWidth="1"/>
    <col min="12808" max="12808" width="15" style="1" customWidth="1"/>
    <col min="12809" max="12809" width="9.140625" style="1"/>
    <col min="12810" max="12810" width="14.85546875" style="1" customWidth="1"/>
    <col min="12811" max="12818" width="9.140625" style="1"/>
    <col min="12819" max="12819" width="13" style="1" customWidth="1"/>
    <col min="12820" max="12820" width="9.140625" style="1"/>
    <col min="12821" max="12821" width="16.140625" style="1" customWidth="1"/>
    <col min="12822" max="12822" width="9.140625" style="1"/>
    <col min="12823" max="12824" width="12.85546875" style="1" customWidth="1"/>
    <col min="12825" max="12825" width="14.28515625" style="1" customWidth="1"/>
    <col min="12826" max="12828" width="9.140625" style="1"/>
    <col min="12829" max="12829" width="16.28515625" style="1" customWidth="1"/>
    <col min="12830" max="12830" width="9.140625" style="1"/>
    <col min="12831" max="12832" width="12.85546875" style="1" customWidth="1"/>
    <col min="12833" max="12833" width="16.140625" style="1" customWidth="1"/>
    <col min="12834" max="12835" width="9.140625" style="1"/>
    <col min="12836" max="12836" width="12.5703125" style="1" customWidth="1"/>
    <col min="12837" max="13047" width="9.140625" style="1"/>
    <col min="13048" max="13048" width="7" style="1" customWidth="1"/>
    <col min="13049" max="13049" width="12" style="1" customWidth="1"/>
    <col min="13050" max="13050" width="69.28515625" style="1" customWidth="1"/>
    <col min="13051" max="13051" width="12.7109375" style="1" customWidth="1"/>
    <col min="13052" max="13052" width="8.28515625" style="1" customWidth="1"/>
    <col min="13053" max="13053" width="17.85546875" style="1" customWidth="1"/>
    <col min="13054" max="13054" width="24.42578125" style="1" customWidth="1"/>
    <col min="13055" max="13055" width="10.7109375" style="1" customWidth="1"/>
    <col min="13056" max="13056" width="13.7109375" style="1" customWidth="1"/>
    <col min="13057" max="13057" width="22" style="1" customWidth="1"/>
    <col min="13058" max="13058" width="13.85546875" style="1" customWidth="1"/>
    <col min="13059" max="13059" width="9.140625" style="1"/>
    <col min="13060" max="13060" width="14.42578125" style="1" customWidth="1"/>
    <col min="13061" max="13061" width="9.28515625" style="1" customWidth="1"/>
    <col min="13062" max="13062" width="14.42578125" style="1" customWidth="1"/>
    <col min="13063" max="13063" width="10.140625" style="1" customWidth="1"/>
    <col min="13064" max="13064" width="15" style="1" customWidth="1"/>
    <col min="13065" max="13065" width="9.140625" style="1"/>
    <col min="13066" max="13066" width="14.85546875" style="1" customWidth="1"/>
    <col min="13067" max="13074" width="9.140625" style="1"/>
    <col min="13075" max="13075" width="13" style="1" customWidth="1"/>
    <col min="13076" max="13076" width="9.140625" style="1"/>
    <col min="13077" max="13077" width="16.140625" style="1" customWidth="1"/>
    <col min="13078" max="13078" width="9.140625" style="1"/>
    <col min="13079" max="13080" width="12.85546875" style="1" customWidth="1"/>
    <col min="13081" max="13081" width="14.28515625" style="1" customWidth="1"/>
    <col min="13082" max="13084" width="9.140625" style="1"/>
    <col min="13085" max="13085" width="16.28515625" style="1" customWidth="1"/>
    <col min="13086" max="13086" width="9.140625" style="1"/>
    <col min="13087" max="13088" width="12.85546875" style="1" customWidth="1"/>
    <col min="13089" max="13089" width="16.140625" style="1" customWidth="1"/>
    <col min="13090" max="13091" width="9.140625" style="1"/>
    <col min="13092" max="13092" width="12.5703125" style="1" customWidth="1"/>
    <col min="13093" max="13303" width="9.140625" style="1"/>
    <col min="13304" max="13304" width="7" style="1" customWidth="1"/>
    <col min="13305" max="13305" width="12" style="1" customWidth="1"/>
    <col min="13306" max="13306" width="69.28515625" style="1" customWidth="1"/>
    <col min="13307" max="13307" width="12.7109375" style="1" customWidth="1"/>
    <col min="13308" max="13308" width="8.28515625" style="1" customWidth="1"/>
    <col min="13309" max="13309" width="17.85546875" style="1" customWidth="1"/>
    <col min="13310" max="13310" width="24.42578125" style="1" customWidth="1"/>
    <col min="13311" max="13311" width="10.7109375" style="1" customWidth="1"/>
    <col min="13312" max="13312" width="13.7109375" style="1" customWidth="1"/>
    <col min="13313" max="13313" width="22" style="1" customWidth="1"/>
    <col min="13314" max="13314" width="13.85546875" style="1" customWidth="1"/>
    <col min="13315" max="13315" width="9.140625" style="1"/>
    <col min="13316" max="13316" width="14.42578125" style="1" customWidth="1"/>
    <col min="13317" max="13317" width="9.28515625" style="1" customWidth="1"/>
    <col min="13318" max="13318" width="14.42578125" style="1" customWidth="1"/>
    <col min="13319" max="13319" width="10.140625" style="1" customWidth="1"/>
    <col min="13320" max="13320" width="15" style="1" customWidth="1"/>
    <col min="13321" max="13321" width="9.140625" style="1"/>
    <col min="13322" max="13322" width="14.85546875" style="1" customWidth="1"/>
    <col min="13323" max="13330" width="9.140625" style="1"/>
    <col min="13331" max="13331" width="13" style="1" customWidth="1"/>
    <col min="13332" max="13332" width="9.140625" style="1"/>
    <col min="13333" max="13333" width="16.140625" style="1" customWidth="1"/>
    <col min="13334" max="13334" width="9.140625" style="1"/>
    <col min="13335" max="13336" width="12.85546875" style="1" customWidth="1"/>
    <col min="13337" max="13337" width="14.28515625" style="1" customWidth="1"/>
    <col min="13338" max="13340" width="9.140625" style="1"/>
    <col min="13341" max="13341" width="16.28515625" style="1" customWidth="1"/>
    <col min="13342" max="13342" width="9.140625" style="1"/>
    <col min="13343" max="13344" width="12.85546875" style="1" customWidth="1"/>
    <col min="13345" max="13345" width="16.140625" style="1" customWidth="1"/>
    <col min="13346" max="13347" width="9.140625" style="1"/>
    <col min="13348" max="13348" width="12.5703125" style="1" customWidth="1"/>
    <col min="13349" max="13559" width="9.140625" style="1"/>
    <col min="13560" max="13560" width="7" style="1" customWidth="1"/>
    <col min="13561" max="13561" width="12" style="1" customWidth="1"/>
    <col min="13562" max="13562" width="69.28515625" style="1" customWidth="1"/>
    <col min="13563" max="13563" width="12.7109375" style="1" customWidth="1"/>
    <col min="13564" max="13564" width="8.28515625" style="1" customWidth="1"/>
    <col min="13565" max="13565" width="17.85546875" style="1" customWidth="1"/>
    <col min="13566" max="13566" width="24.42578125" style="1" customWidth="1"/>
    <col min="13567" max="13567" width="10.7109375" style="1" customWidth="1"/>
    <col min="13568" max="13568" width="13.7109375" style="1" customWidth="1"/>
    <col min="13569" max="13569" width="22" style="1" customWidth="1"/>
    <col min="13570" max="13570" width="13.85546875" style="1" customWidth="1"/>
    <col min="13571" max="13571" width="9.140625" style="1"/>
    <col min="13572" max="13572" width="14.42578125" style="1" customWidth="1"/>
    <col min="13573" max="13573" width="9.28515625" style="1" customWidth="1"/>
    <col min="13574" max="13574" width="14.42578125" style="1" customWidth="1"/>
    <col min="13575" max="13575" width="10.140625" style="1" customWidth="1"/>
    <col min="13576" max="13576" width="15" style="1" customWidth="1"/>
    <col min="13577" max="13577" width="9.140625" style="1"/>
    <col min="13578" max="13578" width="14.85546875" style="1" customWidth="1"/>
    <col min="13579" max="13586" width="9.140625" style="1"/>
    <col min="13587" max="13587" width="13" style="1" customWidth="1"/>
    <col min="13588" max="13588" width="9.140625" style="1"/>
    <col min="13589" max="13589" width="16.140625" style="1" customWidth="1"/>
    <col min="13590" max="13590" width="9.140625" style="1"/>
    <col min="13591" max="13592" width="12.85546875" style="1" customWidth="1"/>
    <col min="13593" max="13593" width="14.28515625" style="1" customWidth="1"/>
    <col min="13594" max="13596" width="9.140625" style="1"/>
    <col min="13597" max="13597" width="16.28515625" style="1" customWidth="1"/>
    <col min="13598" max="13598" width="9.140625" style="1"/>
    <col min="13599" max="13600" width="12.85546875" style="1" customWidth="1"/>
    <col min="13601" max="13601" width="16.140625" style="1" customWidth="1"/>
    <col min="13602" max="13603" width="9.140625" style="1"/>
    <col min="13604" max="13604" width="12.5703125" style="1" customWidth="1"/>
    <col min="13605" max="13815" width="9.140625" style="1"/>
    <col min="13816" max="13816" width="7" style="1" customWidth="1"/>
    <col min="13817" max="13817" width="12" style="1" customWidth="1"/>
    <col min="13818" max="13818" width="69.28515625" style="1" customWidth="1"/>
    <col min="13819" max="13819" width="12.7109375" style="1" customWidth="1"/>
    <col min="13820" max="13820" width="8.28515625" style="1" customWidth="1"/>
    <col min="13821" max="13821" width="17.85546875" style="1" customWidth="1"/>
    <col min="13822" max="13822" width="24.42578125" style="1" customWidth="1"/>
    <col min="13823" max="13823" width="10.7109375" style="1" customWidth="1"/>
    <col min="13824" max="13824" width="13.7109375" style="1" customWidth="1"/>
    <col min="13825" max="13825" width="22" style="1" customWidth="1"/>
    <col min="13826" max="13826" width="13.85546875" style="1" customWidth="1"/>
    <col min="13827" max="13827" width="9.140625" style="1"/>
    <col min="13828" max="13828" width="14.42578125" style="1" customWidth="1"/>
    <col min="13829" max="13829" width="9.28515625" style="1" customWidth="1"/>
    <col min="13830" max="13830" width="14.42578125" style="1" customWidth="1"/>
    <col min="13831" max="13831" width="10.140625" style="1" customWidth="1"/>
    <col min="13832" max="13832" width="15" style="1" customWidth="1"/>
    <col min="13833" max="13833" width="9.140625" style="1"/>
    <col min="13834" max="13834" width="14.85546875" style="1" customWidth="1"/>
    <col min="13835" max="13842" width="9.140625" style="1"/>
    <col min="13843" max="13843" width="13" style="1" customWidth="1"/>
    <col min="13844" max="13844" width="9.140625" style="1"/>
    <col min="13845" max="13845" width="16.140625" style="1" customWidth="1"/>
    <col min="13846" max="13846" width="9.140625" style="1"/>
    <col min="13847" max="13848" width="12.85546875" style="1" customWidth="1"/>
    <col min="13849" max="13849" width="14.28515625" style="1" customWidth="1"/>
    <col min="13850" max="13852" width="9.140625" style="1"/>
    <col min="13853" max="13853" width="16.28515625" style="1" customWidth="1"/>
    <col min="13854" max="13854" width="9.140625" style="1"/>
    <col min="13855" max="13856" width="12.85546875" style="1" customWidth="1"/>
    <col min="13857" max="13857" width="16.140625" style="1" customWidth="1"/>
    <col min="13858" max="13859" width="9.140625" style="1"/>
    <col min="13860" max="13860" width="12.5703125" style="1" customWidth="1"/>
    <col min="13861" max="14071" width="9.140625" style="1"/>
    <col min="14072" max="14072" width="7" style="1" customWidth="1"/>
    <col min="14073" max="14073" width="12" style="1" customWidth="1"/>
    <col min="14074" max="14074" width="69.28515625" style="1" customWidth="1"/>
    <col min="14075" max="14075" width="12.7109375" style="1" customWidth="1"/>
    <col min="14076" max="14076" width="8.28515625" style="1" customWidth="1"/>
    <col min="14077" max="14077" width="17.85546875" style="1" customWidth="1"/>
    <col min="14078" max="14078" width="24.42578125" style="1" customWidth="1"/>
    <col min="14079" max="14079" width="10.7109375" style="1" customWidth="1"/>
    <col min="14080" max="14080" width="13.7109375" style="1" customWidth="1"/>
    <col min="14081" max="14081" width="22" style="1" customWidth="1"/>
    <col min="14082" max="14082" width="13.85546875" style="1" customWidth="1"/>
    <col min="14083" max="14083" width="9.140625" style="1"/>
    <col min="14084" max="14084" width="14.42578125" style="1" customWidth="1"/>
    <col min="14085" max="14085" width="9.28515625" style="1" customWidth="1"/>
    <col min="14086" max="14086" width="14.42578125" style="1" customWidth="1"/>
    <col min="14087" max="14087" width="10.140625" style="1" customWidth="1"/>
    <col min="14088" max="14088" width="15" style="1" customWidth="1"/>
    <col min="14089" max="14089" width="9.140625" style="1"/>
    <col min="14090" max="14090" width="14.85546875" style="1" customWidth="1"/>
    <col min="14091" max="14098" width="9.140625" style="1"/>
    <col min="14099" max="14099" width="13" style="1" customWidth="1"/>
    <col min="14100" max="14100" width="9.140625" style="1"/>
    <col min="14101" max="14101" width="16.140625" style="1" customWidth="1"/>
    <col min="14102" max="14102" width="9.140625" style="1"/>
    <col min="14103" max="14104" width="12.85546875" style="1" customWidth="1"/>
    <col min="14105" max="14105" width="14.28515625" style="1" customWidth="1"/>
    <col min="14106" max="14108" width="9.140625" style="1"/>
    <col min="14109" max="14109" width="16.28515625" style="1" customWidth="1"/>
    <col min="14110" max="14110" width="9.140625" style="1"/>
    <col min="14111" max="14112" width="12.85546875" style="1" customWidth="1"/>
    <col min="14113" max="14113" width="16.140625" style="1" customWidth="1"/>
    <col min="14114" max="14115" width="9.140625" style="1"/>
    <col min="14116" max="14116" width="12.5703125" style="1" customWidth="1"/>
    <col min="14117" max="14327" width="9.140625" style="1"/>
    <col min="14328" max="14328" width="7" style="1" customWidth="1"/>
    <col min="14329" max="14329" width="12" style="1" customWidth="1"/>
    <col min="14330" max="14330" width="69.28515625" style="1" customWidth="1"/>
    <col min="14331" max="14331" width="12.7109375" style="1" customWidth="1"/>
    <col min="14332" max="14332" width="8.28515625" style="1" customWidth="1"/>
    <col min="14333" max="14333" width="17.85546875" style="1" customWidth="1"/>
    <col min="14334" max="14334" width="24.42578125" style="1" customWidth="1"/>
    <col min="14335" max="14335" width="10.7109375" style="1" customWidth="1"/>
    <col min="14336" max="14336" width="13.7109375" style="1" customWidth="1"/>
    <col min="14337" max="14337" width="22" style="1" customWidth="1"/>
    <col min="14338" max="14338" width="13.85546875" style="1" customWidth="1"/>
    <col min="14339" max="14339" width="9.140625" style="1"/>
    <col min="14340" max="14340" width="14.42578125" style="1" customWidth="1"/>
    <col min="14341" max="14341" width="9.28515625" style="1" customWidth="1"/>
    <col min="14342" max="14342" width="14.42578125" style="1" customWidth="1"/>
    <col min="14343" max="14343" width="10.140625" style="1" customWidth="1"/>
    <col min="14344" max="14344" width="15" style="1" customWidth="1"/>
    <col min="14345" max="14345" width="9.140625" style="1"/>
    <col min="14346" max="14346" width="14.85546875" style="1" customWidth="1"/>
    <col min="14347" max="14354" width="9.140625" style="1"/>
    <col min="14355" max="14355" width="13" style="1" customWidth="1"/>
    <col min="14356" max="14356" width="9.140625" style="1"/>
    <col min="14357" max="14357" width="16.140625" style="1" customWidth="1"/>
    <col min="14358" max="14358" width="9.140625" style="1"/>
    <col min="14359" max="14360" width="12.85546875" style="1" customWidth="1"/>
    <col min="14361" max="14361" width="14.28515625" style="1" customWidth="1"/>
    <col min="14362" max="14364" width="9.140625" style="1"/>
    <col min="14365" max="14365" width="16.28515625" style="1" customWidth="1"/>
    <col min="14366" max="14366" width="9.140625" style="1"/>
    <col min="14367" max="14368" width="12.85546875" style="1" customWidth="1"/>
    <col min="14369" max="14369" width="16.140625" style="1" customWidth="1"/>
    <col min="14370" max="14371" width="9.140625" style="1"/>
    <col min="14372" max="14372" width="12.5703125" style="1" customWidth="1"/>
    <col min="14373" max="14583" width="9.140625" style="1"/>
    <col min="14584" max="14584" width="7" style="1" customWidth="1"/>
    <col min="14585" max="14585" width="12" style="1" customWidth="1"/>
    <col min="14586" max="14586" width="69.28515625" style="1" customWidth="1"/>
    <col min="14587" max="14587" width="12.7109375" style="1" customWidth="1"/>
    <col min="14588" max="14588" width="8.28515625" style="1" customWidth="1"/>
    <col min="14589" max="14589" width="17.85546875" style="1" customWidth="1"/>
    <col min="14590" max="14590" width="24.42578125" style="1" customWidth="1"/>
    <col min="14591" max="14591" width="10.7109375" style="1" customWidth="1"/>
    <col min="14592" max="14592" width="13.7109375" style="1" customWidth="1"/>
    <col min="14593" max="14593" width="22" style="1" customWidth="1"/>
    <col min="14594" max="14594" width="13.85546875" style="1" customWidth="1"/>
    <col min="14595" max="14595" width="9.140625" style="1"/>
    <col min="14596" max="14596" width="14.42578125" style="1" customWidth="1"/>
    <col min="14597" max="14597" width="9.28515625" style="1" customWidth="1"/>
    <col min="14598" max="14598" width="14.42578125" style="1" customWidth="1"/>
    <col min="14599" max="14599" width="10.140625" style="1" customWidth="1"/>
    <col min="14600" max="14600" width="15" style="1" customWidth="1"/>
    <col min="14601" max="14601" width="9.140625" style="1"/>
    <col min="14602" max="14602" width="14.85546875" style="1" customWidth="1"/>
    <col min="14603" max="14610" width="9.140625" style="1"/>
    <col min="14611" max="14611" width="13" style="1" customWidth="1"/>
    <col min="14612" max="14612" width="9.140625" style="1"/>
    <col min="14613" max="14613" width="16.140625" style="1" customWidth="1"/>
    <col min="14614" max="14614" width="9.140625" style="1"/>
    <col min="14615" max="14616" width="12.85546875" style="1" customWidth="1"/>
    <col min="14617" max="14617" width="14.28515625" style="1" customWidth="1"/>
    <col min="14618" max="14620" width="9.140625" style="1"/>
    <col min="14621" max="14621" width="16.28515625" style="1" customWidth="1"/>
    <col min="14622" max="14622" width="9.140625" style="1"/>
    <col min="14623" max="14624" width="12.85546875" style="1" customWidth="1"/>
    <col min="14625" max="14625" width="16.140625" style="1" customWidth="1"/>
    <col min="14626" max="14627" width="9.140625" style="1"/>
    <col min="14628" max="14628" width="12.5703125" style="1" customWidth="1"/>
    <col min="14629" max="14839" width="9.140625" style="1"/>
    <col min="14840" max="14840" width="7" style="1" customWidth="1"/>
    <col min="14841" max="14841" width="12" style="1" customWidth="1"/>
    <col min="14842" max="14842" width="69.28515625" style="1" customWidth="1"/>
    <col min="14843" max="14843" width="12.7109375" style="1" customWidth="1"/>
    <col min="14844" max="14844" width="8.28515625" style="1" customWidth="1"/>
    <col min="14845" max="14845" width="17.85546875" style="1" customWidth="1"/>
    <col min="14846" max="14846" width="24.42578125" style="1" customWidth="1"/>
    <col min="14847" max="14847" width="10.7109375" style="1" customWidth="1"/>
    <col min="14848" max="14848" width="13.7109375" style="1" customWidth="1"/>
    <col min="14849" max="14849" width="22" style="1" customWidth="1"/>
    <col min="14850" max="14850" width="13.85546875" style="1" customWidth="1"/>
    <col min="14851" max="14851" width="9.140625" style="1"/>
    <col min="14852" max="14852" width="14.42578125" style="1" customWidth="1"/>
    <col min="14853" max="14853" width="9.28515625" style="1" customWidth="1"/>
    <col min="14854" max="14854" width="14.42578125" style="1" customWidth="1"/>
    <col min="14855" max="14855" width="10.140625" style="1" customWidth="1"/>
    <col min="14856" max="14856" width="15" style="1" customWidth="1"/>
    <col min="14857" max="14857" width="9.140625" style="1"/>
    <col min="14858" max="14858" width="14.85546875" style="1" customWidth="1"/>
    <col min="14859" max="14866" width="9.140625" style="1"/>
    <col min="14867" max="14867" width="13" style="1" customWidth="1"/>
    <col min="14868" max="14868" width="9.140625" style="1"/>
    <col min="14869" max="14869" width="16.140625" style="1" customWidth="1"/>
    <col min="14870" max="14870" width="9.140625" style="1"/>
    <col min="14871" max="14872" width="12.85546875" style="1" customWidth="1"/>
    <col min="14873" max="14873" width="14.28515625" style="1" customWidth="1"/>
    <col min="14874" max="14876" width="9.140625" style="1"/>
    <col min="14877" max="14877" width="16.28515625" style="1" customWidth="1"/>
    <col min="14878" max="14878" width="9.140625" style="1"/>
    <col min="14879" max="14880" width="12.85546875" style="1" customWidth="1"/>
    <col min="14881" max="14881" width="16.140625" style="1" customWidth="1"/>
    <col min="14882" max="14883" width="9.140625" style="1"/>
    <col min="14884" max="14884" width="12.5703125" style="1" customWidth="1"/>
    <col min="14885" max="15095" width="9.140625" style="1"/>
    <col min="15096" max="15096" width="7" style="1" customWidth="1"/>
    <col min="15097" max="15097" width="12" style="1" customWidth="1"/>
    <col min="15098" max="15098" width="69.28515625" style="1" customWidth="1"/>
    <col min="15099" max="15099" width="12.7109375" style="1" customWidth="1"/>
    <col min="15100" max="15100" width="8.28515625" style="1" customWidth="1"/>
    <col min="15101" max="15101" width="17.85546875" style="1" customWidth="1"/>
    <col min="15102" max="15102" width="24.42578125" style="1" customWidth="1"/>
    <col min="15103" max="15103" width="10.7109375" style="1" customWidth="1"/>
    <col min="15104" max="15104" width="13.7109375" style="1" customWidth="1"/>
    <col min="15105" max="15105" width="22" style="1" customWidth="1"/>
    <col min="15106" max="15106" width="13.85546875" style="1" customWidth="1"/>
    <col min="15107" max="15107" width="9.140625" style="1"/>
    <col min="15108" max="15108" width="14.42578125" style="1" customWidth="1"/>
    <col min="15109" max="15109" width="9.28515625" style="1" customWidth="1"/>
    <col min="15110" max="15110" width="14.42578125" style="1" customWidth="1"/>
    <col min="15111" max="15111" width="10.140625" style="1" customWidth="1"/>
    <col min="15112" max="15112" width="15" style="1" customWidth="1"/>
    <col min="15113" max="15113" width="9.140625" style="1"/>
    <col min="15114" max="15114" width="14.85546875" style="1" customWidth="1"/>
    <col min="15115" max="15122" width="9.140625" style="1"/>
    <col min="15123" max="15123" width="13" style="1" customWidth="1"/>
    <col min="15124" max="15124" width="9.140625" style="1"/>
    <col min="15125" max="15125" width="16.140625" style="1" customWidth="1"/>
    <col min="15126" max="15126" width="9.140625" style="1"/>
    <col min="15127" max="15128" width="12.85546875" style="1" customWidth="1"/>
    <col min="15129" max="15129" width="14.28515625" style="1" customWidth="1"/>
    <col min="15130" max="15132" width="9.140625" style="1"/>
    <col min="15133" max="15133" width="16.28515625" style="1" customWidth="1"/>
    <col min="15134" max="15134" width="9.140625" style="1"/>
    <col min="15135" max="15136" width="12.85546875" style="1" customWidth="1"/>
    <col min="15137" max="15137" width="16.140625" style="1" customWidth="1"/>
    <col min="15138" max="15139" width="9.140625" style="1"/>
    <col min="15140" max="15140" width="12.5703125" style="1" customWidth="1"/>
    <col min="15141" max="15351" width="9.140625" style="1"/>
    <col min="15352" max="15352" width="7" style="1" customWidth="1"/>
    <col min="15353" max="15353" width="12" style="1" customWidth="1"/>
    <col min="15354" max="15354" width="69.28515625" style="1" customWidth="1"/>
    <col min="15355" max="15355" width="12.7109375" style="1" customWidth="1"/>
    <col min="15356" max="15356" width="8.28515625" style="1" customWidth="1"/>
    <col min="15357" max="15357" width="17.85546875" style="1" customWidth="1"/>
    <col min="15358" max="15358" width="24.42578125" style="1" customWidth="1"/>
    <col min="15359" max="15359" width="10.7109375" style="1" customWidth="1"/>
    <col min="15360" max="15360" width="13.7109375" style="1" customWidth="1"/>
    <col min="15361" max="15361" width="22" style="1" customWidth="1"/>
    <col min="15362" max="15362" width="13.85546875" style="1" customWidth="1"/>
    <col min="15363" max="15363" width="9.140625" style="1"/>
    <col min="15364" max="15364" width="14.42578125" style="1" customWidth="1"/>
    <col min="15365" max="15365" width="9.28515625" style="1" customWidth="1"/>
    <col min="15366" max="15366" width="14.42578125" style="1" customWidth="1"/>
    <col min="15367" max="15367" width="10.140625" style="1" customWidth="1"/>
    <col min="15368" max="15368" width="15" style="1" customWidth="1"/>
    <col min="15369" max="15369" width="9.140625" style="1"/>
    <col min="15370" max="15370" width="14.85546875" style="1" customWidth="1"/>
    <col min="15371" max="15378" width="9.140625" style="1"/>
    <col min="15379" max="15379" width="13" style="1" customWidth="1"/>
    <col min="15380" max="15380" width="9.140625" style="1"/>
    <col min="15381" max="15381" width="16.140625" style="1" customWidth="1"/>
    <col min="15382" max="15382" width="9.140625" style="1"/>
    <col min="15383" max="15384" width="12.85546875" style="1" customWidth="1"/>
    <col min="15385" max="15385" width="14.28515625" style="1" customWidth="1"/>
    <col min="15386" max="15388" width="9.140625" style="1"/>
    <col min="15389" max="15389" width="16.28515625" style="1" customWidth="1"/>
    <col min="15390" max="15390" width="9.140625" style="1"/>
    <col min="15391" max="15392" width="12.85546875" style="1" customWidth="1"/>
    <col min="15393" max="15393" width="16.140625" style="1" customWidth="1"/>
    <col min="15394" max="15395" width="9.140625" style="1"/>
    <col min="15396" max="15396" width="12.5703125" style="1" customWidth="1"/>
    <col min="15397" max="15607" width="9.140625" style="1"/>
    <col min="15608" max="15608" width="7" style="1" customWidth="1"/>
    <col min="15609" max="15609" width="12" style="1" customWidth="1"/>
    <col min="15610" max="15610" width="69.28515625" style="1" customWidth="1"/>
    <col min="15611" max="15611" width="12.7109375" style="1" customWidth="1"/>
    <col min="15612" max="15612" width="8.28515625" style="1" customWidth="1"/>
    <col min="15613" max="15613" width="17.85546875" style="1" customWidth="1"/>
    <col min="15614" max="15614" width="24.42578125" style="1" customWidth="1"/>
    <col min="15615" max="15615" width="10.7109375" style="1" customWidth="1"/>
    <col min="15616" max="15616" width="13.7109375" style="1" customWidth="1"/>
    <col min="15617" max="15617" width="22" style="1" customWidth="1"/>
    <col min="15618" max="15618" width="13.85546875" style="1" customWidth="1"/>
    <col min="15619" max="15619" width="9.140625" style="1"/>
    <col min="15620" max="15620" width="14.42578125" style="1" customWidth="1"/>
    <col min="15621" max="15621" width="9.28515625" style="1" customWidth="1"/>
    <col min="15622" max="15622" width="14.42578125" style="1" customWidth="1"/>
    <col min="15623" max="15623" width="10.140625" style="1" customWidth="1"/>
    <col min="15624" max="15624" width="15" style="1" customWidth="1"/>
    <col min="15625" max="15625" width="9.140625" style="1"/>
    <col min="15626" max="15626" width="14.85546875" style="1" customWidth="1"/>
    <col min="15627" max="15634" width="9.140625" style="1"/>
    <col min="15635" max="15635" width="13" style="1" customWidth="1"/>
    <col min="15636" max="15636" width="9.140625" style="1"/>
    <col min="15637" max="15637" width="16.140625" style="1" customWidth="1"/>
    <col min="15638" max="15638" width="9.140625" style="1"/>
    <col min="15639" max="15640" width="12.85546875" style="1" customWidth="1"/>
    <col min="15641" max="15641" width="14.28515625" style="1" customWidth="1"/>
    <col min="15642" max="15644" width="9.140625" style="1"/>
    <col min="15645" max="15645" width="16.28515625" style="1" customWidth="1"/>
    <col min="15646" max="15646" width="9.140625" style="1"/>
    <col min="15647" max="15648" width="12.85546875" style="1" customWidth="1"/>
    <col min="15649" max="15649" width="16.140625" style="1" customWidth="1"/>
    <col min="15650" max="15651" width="9.140625" style="1"/>
    <col min="15652" max="15652" width="12.5703125" style="1" customWidth="1"/>
    <col min="15653" max="15863" width="9.140625" style="1"/>
    <col min="15864" max="15864" width="7" style="1" customWidth="1"/>
    <col min="15865" max="15865" width="12" style="1" customWidth="1"/>
    <col min="15866" max="15866" width="69.28515625" style="1" customWidth="1"/>
    <col min="15867" max="15867" width="12.7109375" style="1" customWidth="1"/>
    <col min="15868" max="15868" width="8.28515625" style="1" customWidth="1"/>
    <col min="15869" max="15869" width="17.85546875" style="1" customWidth="1"/>
    <col min="15870" max="15870" width="24.42578125" style="1" customWidth="1"/>
    <col min="15871" max="15871" width="10.7109375" style="1" customWidth="1"/>
    <col min="15872" max="15872" width="13.7109375" style="1" customWidth="1"/>
    <col min="15873" max="15873" width="22" style="1" customWidth="1"/>
    <col min="15874" max="15874" width="13.85546875" style="1" customWidth="1"/>
    <col min="15875" max="15875" width="9.140625" style="1"/>
    <col min="15876" max="15876" width="14.42578125" style="1" customWidth="1"/>
    <col min="15877" max="15877" width="9.28515625" style="1" customWidth="1"/>
    <col min="15878" max="15878" width="14.42578125" style="1" customWidth="1"/>
    <col min="15879" max="15879" width="10.140625" style="1" customWidth="1"/>
    <col min="15880" max="15880" width="15" style="1" customWidth="1"/>
    <col min="15881" max="15881" width="9.140625" style="1"/>
    <col min="15882" max="15882" width="14.85546875" style="1" customWidth="1"/>
    <col min="15883" max="15890" width="9.140625" style="1"/>
    <col min="15891" max="15891" width="13" style="1" customWidth="1"/>
    <col min="15892" max="15892" width="9.140625" style="1"/>
    <col min="15893" max="15893" width="16.140625" style="1" customWidth="1"/>
    <col min="15894" max="15894" width="9.140625" style="1"/>
    <col min="15895" max="15896" width="12.85546875" style="1" customWidth="1"/>
    <col min="15897" max="15897" width="14.28515625" style="1" customWidth="1"/>
    <col min="15898" max="15900" width="9.140625" style="1"/>
    <col min="15901" max="15901" width="16.28515625" style="1" customWidth="1"/>
    <col min="15902" max="15902" width="9.140625" style="1"/>
    <col min="15903" max="15904" width="12.85546875" style="1" customWidth="1"/>
    <col min="15905" max="15905" width="16.140625" style="1" customWidth="1"/>
    <col min="15906" max="15907" width="9.140625" style="1"/>
    <col min="15908" max="15908" width="12.5703125" style="1" customWidth="1"/>
    <col min="15909" max="16119" width="9.140625" style="1"/>
    <col min="16120" max="16120" width="7" style="1" customWidth="1"/>
    <col min="16121" max="16121" width="12" style="1" customWidth="1"/>
    <col min="16122" max="16122" width="69.28515625" style="1" customWidth="1"/>
    <col min="16123" max="16123" width="12.7109375" style="1" customWidth="1"/>
    <col min="16124" max="16124" width="8.28515625" style="1" customWidth="1"/>
    <col min="16125" max="16125" width="17.85546875" style="1" customWidth="1"/>
    <col min="16126" max="16126" width="24.42578125" style="1" customWidth="1"/>
    <col min="16127" max="16127" width="10.7109375" style="1" customWidth="1"/>
    <col min="16128" max="16128" width="13.7109375" style="1" customWidth="1"/>
    <col min="16129" max="16129" width="22" style="1" customWidth="1"/>
    <col min="16130" max="16130" width="13.85546875" style="1" customWidth="1"/>
    <col min="16131" max="16131" width="9.140625" style="1"/>
    <col min="16132" max="16132" width="14.42578125" style="1" customWidth="1"/>
    <col min="16133" max="16133" width="9.28515625" style="1" customWidth="1"/>
    <col min="16134" max="16134" width="14.42578125" style="1" customWidth="1"/>
    <col min="16135" max="16135" width="10.140625" style="1" customWidth="1"/>
    <col min="16136" max="16136" width="15" style="1" customWidth="1"/>
    <col min="16137" max="16137" width="9.140625" style="1"/>
    <col min="16138" max="16138" width="14.85546875" style="1" customWidth="1"/>
    <col min="16139" max="16146" width="9.140625" style="1"/>
    <col min="16147" max="16147" width="13" style="1" customWidth="1"/>
    <col min="16148" max="16148" width="9.140625" style="1"/>
    <col min="16149" max="16149" width="16.140625" style="1" customWidth="1"/>
    <col min="16150" max="16150" width="9.140625" style="1"/>
    <col min="16151" max="16152" width="12.85546875" style="1" customWidth="1"/>
    <col min="16153" max="16153" width="14.28515625" style="1" customWidth="1"/>
    <col min="16154" max="16156" width="9.140625" style="1"/>
    <col min="16157" max="16157" width="16.28515625" style="1" customWidth="1"/>
    <col min="16158" max="16158" width="9.140625" style="1"/>
    <col min="16159" max="16160" width="12.85546875" style="1" customWidth="1"/>
    <col min="16161" max="16161" width="16.140625" style="1" customWidth="1"/>
    <col min="16162" max="16163" width="9.140625" style="1"/>
    <col min="16164" max="16164" width="12.5703125" style="1" customWidth="1"/>
    <col min="16165" max="16384" width="9.140625" style="1"/>
  </cols>
  <sheetData>
    <row r="1" spans="1:10" ht="73.5" customHeight="1">
      <c r="A1" s="281"/>
      <c r="B1" s="282"/>
      <c r="C1" s="282"/>
      <c r="D1" s="282"/>
      <c r="E1" s="282"/>
      <c r="F1" s="282"/>
      <c r="G1" s="282"/>
      <c r="H1" s="282"/>
      <c r="I1" s="282"/>
      <c r="J1" s="283"/>
    </row>
    <row r="2" spans="1:10" ht="36.75" customHeight="1">
      <c r="A2" s="278" t="s">
        <v>103</v>
      </c>
      <c r="B2" s="279"/>
      <c r="C2" s="279"/>
      <c r="D2" s="279"/>
      <c r="E2" s="279"/>
      <c r="F2" s="279"/>
      <c r="G2" s="279"/>
      <c r="H2" s="279"/>
      <c r="I2" s="279"/>
      <c r="J2" s="280"/>
    </row>
    <row r="3" spans="1:10" ht="25.5" hidden="1" customHeight="1">
      <c r="A3" s="12"/>
      <c r="B3" s="2"/>
      <c r="C3" s="2"/>
      <c r="D3" s="2"/>
      <c r="E3" s="65"/>
      <c r="F3" s="65"/>
      <c r="G3" s="68"/>
      <c r="H3" s="68"/>
      <c r="I3" s="68"/>
      <c r="J3" s="68"/>
    </row>
    <row r="4" spans="1:10" s="7" customFormat="1" ht="42.75" customHeight="1">
      <c r="A4" s="286" t="s">
        <v>25</v>
      </c>
      <c r="B4" s="288" t="s">
        <v>27</v>
      </c>
      <c r="C4" s="288" t="s">
        <v>28</v>
      </c>
      <c r="D4" s="290" t="s">
        <v>29</v>
      </c>
      <c r="E4" s="284" t="s">
        <v>417</v>
      </c>
      <c r="F4" s="285"/>
      <c r="G4" s="276" t="s">
        <v>419</v>
      </c>
      <c r="H4" s="277"/>
      <c r="I4" s="276" t="s">
        <v>420</v>
      </c>
      <c r="J4" s="277"/>
    </row>
    <row r="5" spans="1:10" s="7" customFormat="1" ht="23.25" customHeight="1">
      <c r="A5" s="287"/>
      <c r="B5" s="289"/>
      <c r="C5" s="289"/>
      <c r="D5" s="291"/>
      <c r="E5" s="32" t="s">
        <v>418</v>
      </c>
      <c r="F5" s="66" t="s">
        <v>30</v>
      </c>
      <c r="G5" s="69" t="s">
        <v>418</v>
      </c>
      <c r="H5" s="69" t="s">
        <v>30</v>
      </c>
      <c r="I5" s="69" t="s">
        <v>418</v>
      </c>
      <c r="J5" s="69" t="s">
        <v>30</v>
      </c>
    </row>
    <row r="6" spans="1:10" s="7" customFormat="1" ht="76.5" customHeight="1">
      <c r="A6" s="33">
        <v>1</v>
      </c>
      <c r="B6" s="18" t="s">
        <v>33</v>
      </c>
      <c r="C6" s="45">
        <v>16.77</v>
      </c>
      <c r="D6" s="45" t="s">
        <v>107</v>
      </c>
      <c r="E6" s="45">
        <v>682</v>
      </c>
      <c r="F6" s="67">
        <f>E6*C6</f>
        <v>11437.14</v>
      </c>
      <c r="G6" s="69"/>
      <c r="H6" s="69"/>
      <c r="I6" s="69"/>
      <c r="J6" s="69"/>
    </row>
    <row r="7" spans="1:10" s="7" customFormat="1" ht="57" customHeight="1">
      <c r="A7" s="33">
        <f>+A6+1</f>
        <v>2</v>
      </c>
      <c r="B7" s="19" t="s">
        <v>35</v>
      </c>
      <c r="C7" s="46">
        <v>57.75</v>
      </c>
      <c r="D7" s="46" t="s">
        <v>107</v>
      </c>
      <c r="E7" s="46">
        <v>394.46</v>
      </c>
      <c r="F7" s="67">
        <f t="shared" ref="F7:F46" si="0">E7*C7</f>
        <v>22780.064999999999</v>
      </c>
      <c r="G7" s="69"/>
      <c r="H7" s="69"/>
      <c r="I7" s="69"/>
      <c r="J7" s="69"/>
    </row>
    <row r="8" spans="1:10" s="7" customFormat="1" ht="177" customHeight="1">
      <c r="A8" s="33">
        <f t="shared" ref="A8:A41" si="1">+A7+1</f>
        <v>3</v>
      </c>
      <c r="B8" s="20" t="s">
        <v>22</v>
      </c>
      <c r="C8" s="45">
        <f>[2]Data!$K$88</f>
        <v>269.77999999999997</v>
      </c>
      <c r="D8" s="45" t="s">
        <v>108</v>
      </c>
      <c r="E8" s="45">
        <v>50.72</v>
      </c>
      <c r="F8" s="67">
        <f t="shared" si="0"/>
        <v>13683.241599999998</v>
      </c>
      <c r="G8" s="69"/>
      <c r="H8" s="69"/>
      <c r="I8" s="69"/>
      <c r="J8" s="69"/>
    </row>
    <row r="9" spans="1:10" s="7" customFormat="1" ht="87" customHeight="1">
      <c r="A9" s="33">
        <f>+A8+1</f>
        <v>4</v>
      </c>
      <c r="B9" s="21" t="s">
        <v>75</v>
      </c>
      <c r="C9" s="44">
        <f>[2]Data!$K$204</f>
        <v>5322.84</v>
      </c>
      <c r="D9" s="44" t="s">
        <v>108</v>
      </c>
      <c r="E9" s="44">
        <v>1.27</v>
      </c>
      <c r="F9" s="67">
        <f t="shared" si="0"/>
        <v>6760.0068000000001</v>
      </c>
      <c r="G9" s="69"/>
      <c r="H9" s="69"/>
      <c r="I9" s="69"/>
      <c r="J9" s="69"/>
    </row>
    <row r="10" spans="1:10" s="7" customFormat="1" ht="93.75" customHeight="1">
      <c r="A10" s="33">
        <f t="shared" si="1"/>
        <v>5</v>
      </c>
      <c r="B10" s="21" t="s">
        <v>77</v>
      </c>
      <c r="C10" s="44">
        <f>[2]Data!$AU$73</f>
        <v>7629.7</v>
      </c>
      <c r="D10" s="44" t="s">
        <v>108</v>
      </c>
      <c r="E10" s="44">
        <v>3.67</v>
      </c>
      <c r="F10" s="67">
        <f t="shared" si="0"/>
        <v>28000.999</v>
      </c>
      <c r="G10" s="69"/>
      <c r="H10" s="69"/>
      <c r="I10" s="69"/>
      <c r="J10" s="69"/>
    </row>
    <row r="11" spans="1:10" s="7" customFormat="1" ht="76.5" customHeight="1">
      <c r="A11" s="33">
        <f t="shared" si="1"/>
        <v>6</v>
      </c>
      <c r="B11" s="22" t="s">
        <v>23</v>
      </c>
      <c r="C11" s="47">
        <f>[2]Data!$K$144</f>
        <v>1790.95</v>
      </c>
      <c r="D11" s="47" t="s">
        <v>108</v>
      </c>
      <c r="E11" s="47">
        <v>16.88</v>
      </c>
      <c r="F11" s="67">
        <f t="shared" si="0"/>
        <v>30231.236000000001</v>
      </c>
      <c r="G11" s="69"/>
      <c r="H11" s="69"/>
      <c r="I11" s="69"/>
      <c r="J11" s="69"/>
    </row>
    <row r="12" spans="1:10" s="7" customFormat="1" ht="64.5" customHeight="1">
      <c r="A12" s="55">
        <f t="shared" si="1"/>
        <v>7</v>
      </c>
      <c r="B12" s="23" t="s">
        <v>24</v>
      </c>
      <c r="C12" s="48">
        <v>1396.48</v>
      </c>
      <c r="D12" s="48" t="s">
        <v>107</v>
      </c>
      <c r="E12" s="48">
        <v>225</v>
      </c>
      <c r="F12" s="67">
        <f t="shared" si="0"/>
        <v>314208</v>
      </c>
      <c r="G12" s="69"/>
      <c r="H12" s="69"/>
      <c r="I12" s="69"/>
      <c r="J12" s="69"/>
    </row>
    <row r="13" spans="1:10" s="7" customFormat="1" ht="88.5" customHeight="1">
      <c r="A13" s="33">
        <f t="shared" si="1"/>
        <v>8</v>
      </c>
      <c r="B13" s="21" t="s">
        <v>42</v>
      </c>
      <c r="C13" s="44">
        <f>[2]Data!$AU$99</f>
        <v>7643.1</v>
      </c>
      <c r="D13" s="44" t="s">
        <v>108</v>
      </c>
      <c r="E13" s="44">
        <v>2.88</v>
      </c>
      <c r="F13" s="67">
        <f t="shared" si="0"/>
        <v>22012.128000000001</v>
      </c>
      <c r="G13" s="69"/>
      <c r="H13" s="69"/>
      <c r="I13" s="69"/>
      <c r="J13" s="69"/>
    </row>
    <row r="14" spans="1:10" ht="67.5" customHeight="1">
      <c r="A14" s="33">
        <f t="shared" si="1"/>
        <v>9</v>
      </c>
      <c r="B14" s="24" t="s">
        <v>8</v>
      </c>
      <c r="C14" s="49">
        <f>[2]Data!$R$344</f>
        <v>563.54</v>
      </c>
      <c r="D14" s="49" t="s">
        <v>107</v>
      </c>
      <c r="E14" s="49">
        <v>178.27</v>
      </c>
      <c r="F14" s="67">
        <f t="shared" si="0"/>
        <v>100462.2758</v>
      </c>
      <c r="G14" s="70"/>
      <c r="H14" s="70"/>
      <c r="I14" s="70"/>
      <c r="J14" s="70"/>
    </row>
    <row r="15" spans="1:10" ht="252.75" customHeight="1">
      <c r="A15" s="33">
        <f t="shared" si="1"/>
        <v>10</v>
      </c>
      <c r="B15" s="25" t="s">
        <v>47</v>
      </c>
      <c r="C15" s="50">
        <f>[2]Data!$K$1977</f>
        <v>3658.61</v>
      </c>
      <c r="D15" s="50" t="s">
        <v>3</v>
      </c>
      <c r="E15" s="50">
        <v>8</v>
      </c>
      <c r="F15" s="67">
        <f t="shared" si="0"/>
        <v>29268.880000000001</v>
      </c>
      <c r="G15" s="70"/>
      <c r="H15" s="70"/>
      <c r="I15" s="70"/>
      <c r="J15" s="70"/>
    </row>
    <row r="16" spans="1:10" ht="83.25" customHeight="1">
      <c r="A16" s="33">
        <f t="shared" si="1"/>
        <v>11</v>
      </c>
      <c r="B16" s="21" t="s">
        <v>97</v>
      </c>
      <c r="C16" s="44">
        <f>[2]Data!$AI$3115</f>
        <v>509</v>
      </c>
      <c r="D16" s="44" t="s">
        <v>3</v>
      </c>
      <c r="E16" s="44">
        <v>28</v>
      </c>
      <c r="F16" s="67">
        <f t="shared" si="0"/>
        <v>14252</v>
      </c>
      <c r="G16" s="70"/>
      <c r="H16" s="70"/>
      <c r="I16" s="70"/>
      <c r="J16" s="70"/>
    </row>
    <row r="17" spans="1:10" ht="137.25" customHeight="1">
      <c r="A17" s="33">
        <f t="shared" si="1"/>
        <v>12</v>
      </c>
      <c r="B17" s="26" t="s">
        <v>53</v>
      </c>
      <c r="C17" s="51">
        <f>[2]Data!$K$2119</f>
        <v>160</v>
      </c>
      <c r="D17" s="51" t="s">
        <v>3</v>
      </c>
      <c r="E17" s="51">
        <v>8</v>
      </c>
      <c r="F17" s="67">
        <f t="shared" si="0"/>
        <v>1280</v>
      </c>
      <c r="G17" s="70"/>
      <c r="H17" s="70"/>
      <c r="I17" s="70"/>
      <c r="J17" s="70"/>
    </row>
    <row r="18" spans="1:10" ht="71.25" customHeight="1">
      <c r="A18" s="33">
        <f t="shared" si="1"/>
        <v>13</v>
      </c>
      <c r="B18" s="21" t="s">
        <v>55</v>
      </c>
      <c r="C18" s="44">
        <f>[2]Data!$K$1193</f>
        <v>70.150000000000006</v>
      </c>
      <c r="D18" s="44" t="s">
        <v>109</v>
      </c>
      <c r="E18" s="44">
        <v>2266</v>
      </c>
      <c r="F18" s="67">
        <f t="shared" si="0"/>
        <v>158959.90000000002</v>
      </c>
      <c r="G18" s="70"/>
      <c r="H18" s="70"/>
      <c r="I18" s="70"/>
      <c r="J18" s="70"/>
    </row>
    <row r="19" spans="1:10" ht="184.5" customHeight="1">
      <c r="A19" s="33">
        <f t="shared" si="1"/>
        <v>14</v>
      </c>
      <c r="B19" s="21" t="s">
        <v>61</v>
      </c>
      <c r="C19" s="44">
        <f>[2]Data!$K$1796</f>
        <v>20100</v>
      </c>
      <c r="D19" s="44" t="s">
        <v>3</v>
      </c>
      <c r="E19" s="44">
        <v>2</v>
      </c>
      <c r="F19" s="67">
        <f t="shared" si="0"/>
        <v>40200</v>
      </c>
      <c r="G19" s="70"/>
      <c r="H19" s="70"/>
      <c r="I19" s="70"/>
      <c r="J19" s="70"/>
    </row>
    <row r="20" spans="1:10" ht="169.5" customHeight="1">
      <c r="A20" s="33">
        <f t="shared" si="1"/>
        <v>15</v>
      </c>
      <c r="B20" s="25" t="s">
        <v>63</v>
      </c>
      <c r="C20" s="50"/>
      <c r="D20" s="50"/>
      <c r="E20" s="50"/>
      <c r="F20" s="67">
        <f t="shared" si="0"/>
        <v>0</v>
      </c>
      <c r="G20" s="70"/>
      <c r="H20" s="70"/>
      <c r="I20" s="70"/>
      <c r="J20" s="70"/>
    </row>
    <row r="21" spans="1:10" ht="53.25" customHeight="1">
      <c r="A21" s="33"/>
      <c r="B21" s="25" t="s">
        <v>64</v>
      </c>
      <c r="C21" s="50">
        <f>[2]Data!$K$1890</f>
        <v>276.02</v>
      </c>
      <c r="D21" s="50" t="s">
        <v>110</v>
      </c>
      <c r="E21" s="50">
        <v>40</v>
      </c>
      <c r="F21" s="67">
        <f t="shared" si="0"/>
        <v>11040.8</v>
      </c>
      <c r="G21" s="70"/>
      <c r="H21" s="70"/>
      <c r="I21" s="70"/>
      <c r="J21" s="70"/>
    </row>
    <row r="22" spans="1:10" ht="60" customHeight="1">
      <c r="A22" s="33"/>
      <c r="B22" s="25" t="s">
        <v>65</v>
      </c>
      <c r="C22" s="50">
        <f>[2]Data!$K$1882</f>
        <v>257.7</v>
      </c>
      <c r="D22" s="50" t="s">
        <v>110</v>
      </c>
      <c r="E22" s="50">
        <v>112</v>
      </c>
      <c r="F22" s="67">
        <f t="shared" si="0"/>
        <v>28862.399999999998</v>
      </c>
      <c r="G22" s="70"/>
      <c r="H22" s="70"/>
      <c r="I22" s="70"/>
      <c r="J22" s="70"/>
    </row>
    <row r="23" spans="1:10" ht="118.5" customHeight="1">
      <c r="A23" s="33">
        <f>+A20+1</f>
        <v>16</v>
      </c>
      <c r="B23" s="21" t="s">
        <v>98</v>
      </c>
      <c r="C23" s="44">
        <f>[2]Data!$K$1264</f>
        <v>1313.93</v>
      </c>
      <c r="D23" s="44" t="s">
        <v>107</v>
      </c>
      <c r="E23" s="44">
        <v>43.2</v>
      </c>
      <c r="F23" s="67">
        <f t="shared" si="0"/>
        <v>56761.776000000005</v>
      </c>
      <c r="G23" s="70"/>
      <c r="H23" s="70"/>
      <c r="I23" s="70"/>
      <c r="J23" s="70"/>
    </row>
    <row r="24" spans="1:10" ht="106.5" customHeight="1">
      <c r="A24" s="33">
        <f t="shared" si="1"/>
        <v>17</v>
      </c>
      <c r="B24" s="21" t="s">
        <v>99</v>
      </c>
      <c r="C24" s="44">
        <f>[2]Data!$K$1278</f>
        <v>1501.96</v>
      </c>
      <c r="D24" s="44" t="s">
        <v>107</v>
      </c>
      <c r="E24" s="44">
        <v>111.36</v>
      </c>
      <c r="F24" s="67">
        <f t="shared" si="0"/>
        <v>167258.26560000001</v>
      </c>
      <c r="G24" s="70"/>
      <c r="H24" s="70"/>
      <c r="I24" s="70"/>
      <c r="J24" s="70"/>
    </row>
    <row r="25" spans="1:10" ht="158.25" customHeight="1">
      <c r="A25" s="33">
        <f t="shared" si="1"/>
        <v>18</v>
      </c>
      <c r="B25" s="27" t="s">
        <v>70</v>
      </c>
      <c r="C25" s="51"/>
      <c r="D25" s="51"/>
      <c r="E25" s="51"/>
      <c r="F25" s="67">
        <f t="shared" si="0"/>
        <v>0</v>
      </c>
      <c r="G25" s="70"/>
      <c r="H25" s="70"/>
      <c r="I25" s="70"/>
      <c r="J25" s="70"/>
    </row>
    <row r="26" spans="1:10" ht="41.25" customHeight="1">
      <c r="A26" s="33"/>
      <c r="B26" s="27" t="s">
        <v>71</v>
      </c>
      <c r="C26" s="51">
        <f>[2]Data!$K$2063</f>
        <v>773.99</v>
      </c>
      <c r="D26" s="51" t="s">
        <v>110</v>
      </c>
      <c r="E26" s="51">
        <v>92</v>
      </c>
      <c r="F26" s="67">
        <f t="shared" si="0"/>
        <v>71207.08</v>
      </c>
      <c r="G26" s="70"/>
      <c r="H26" s="70"/>
      <c r="I26" s="70"/>
      <c r="J26" s="70"/>
    </row>
    <row r="27" spans="1:10" ht="155.25" customHeight="1">
      <c r="A27" s="33">
        <f>+A25+1</f>
        <v>19</v>
      </c>
      <c r="B27" s="23" t="s">
        <v>254</v>
      </c>
      <c r="C27" s="48">
        <f>[2]Data!$K$3216</f>
        <v>106.84</v>
      </c>
      <c r="D27" s="48" t="s">
        <v>107</v>
      </c>
      <c r="E27" s="48">
        <v>25.92</v>
      </c>
      <c r="F27" s="67">
        <f t="shared" si="0"/>
        <v>2769.2928000000002</v>
      </c>
      <c r="G27" s="70"/>
      <c r="H27" s="70"/>
      <c r="I27" s="70"/>
      <c r="J27" s="70"/>
    </row>
    <row r="28" spans="1:10" ht="116.25" customHeight="1">
      <c r="A28" s="33">
        <f t="shared" si="1"/>
        <v>20</v>
      </c>
      <c r="B28" s="28" t="s">
        <v>10</v>
      </c>
      <c r="C28" s="52">
        <f>[2]Data!$K$2716</f>
        <v>69.62</v>
      </c>
      <c r="D28" s="52" t="s">
        <v>107</v>
      </c>
      <c r="E28" s="52">
        <v>146.4</v>
      </c>
      <c r="F28" s="67">
        <f t="shared" si="0"/>
        <v>10192.368</v>
      </c>
      <c r="G28" s="70"/>
      <c r="H28" s="70"/>
      <c r="I28" s="70"/>
      <c r="J28" s="70"/>
    </row>
    <row r="29" spans="1:10" ht="150" customHeight="1">
      <c r="A29" s="33">
        <f t="shared" si="1"/>
        <v>21</v>
      </c>
      <c r="B29" s="29" t="s">
        <v>272</v>
      </c>
      <c r="C29" s="47">
        <f>[2]Data!$K$3358</f>
        <v>182.7</v>
      </c>
      <c r="D29" s="47" t="s">
        <v>107</v>
      </c>
      <c r="E29" s="47">
        <v>235.04</v>
      </c>
      <c r="F29" s="67">
        <f t="shared" si="0"/>
        <v>42941.807999999997</v>
      </c>
      <c r="G29" s="70"/>
      <c r="H29" s="70"/>
      <c r="I29" s="70"/>
      <c r="J29" s="70"/>
    </row>
    <row r="30" spans="1:10" ht="132" customHeight="1">
      <c r="A30" s="33">
        <f t="shared" si="1"/>
        <v>22</v>
      </c>
      <c r="B30" s="29" t="s">
        <v>12</v>
      </c>
      <c r="C30" s="47">
        <f>[2]Data!$K$3348</f>
        <v>141.26</v>
      </c>
      <c r="D30" s="47" t="s">
        <v>107</v>
      </c>
      <c r="E30" s="47">
        <v>1185.92</v>
      </c>
      <c r="F30" s="67">
        <f t="shared" si="0"/>
        <v>167523.05919999999</v>
      </c>
      <c r="G30" s="70"/>
      <c r="H30" s="70"/>
      <c r="I30" s="70"/>
      <c r="J30" s="70"/>
    </row>
    <row r="31" spans="1:10" ht="141.75" customHeight="1">
      <c r="A31" s="33">
        <f t="shared" si="1"/>
        <v>23</v>
      </c>
      <c r="B31" s="23" t="s">
        <v>82</v>
      </c>
      <c r="C31" s="48">
        <f>[2]Data!$K$1553</f>
        <v>150.47</v>
      </c>
      <c r="D31" s="48" t="s">
        <v>107</v>
      </c>
      <c r="E31" s="48">
        <v>103.6</v>
      </c>
      <c r="F31" s="67">
        <f t="shared" si="0"/>
        <v>15588.691999999999</v>
      </c>
      <c r="G31" s="70"/>
      <c r="H31" s="70"/>
      <c r="I31" s="70"/>
      <c r="J31" s="70"/>
    </row>
    <row r="32" spans="1:10" ht="148.5" customHeight="1">
      <c r="A32" s="33">
        <f t="shared" si="1"/>
        <v>24</v>
      </c>
      <c r="B32" s="20" t="s">
        <v>104</v>
      </c>
      <c r="C32" s="45">
        <f>[2]Elec.Data!$K$1020</f>
        <v>897.27</v>
      </c>
      <c r="D32" s="45" t="s">
        <v>3</v>
      </c>
      <c r="E32" s="45">
        <v>24</v>
      </c>
      <c r="F32" s="67">
        <f t="shared" si="0"/>
        <v>21534.48</v>
      </c>
      <c r="G32" s="70"/>
      <c r="H32" s="70"/>
      <c r="I32" s="70"/>
      <c r="J32" s="70"/>
    </row>
    <row r="33" spans="1:10" ht="259.5" customHeight="1">
      <c r="A33" s="33">
        <f t="shared" si="1"/>
        <v>25</v>
      </c>
      <c r="B33" s="20" t="s">
        <v>89</v>
      </c>
      <c r="C33" s="45">
        <f>[2]Elec.Data!$K$994</f>
        <v>895.27</v>
      </c>
      <c r="D33" s="45" t="s">
        <v>3</v>
      </c>
      <c r="E33" s="45">
        <v>48</v>
      </c>
      <c r="F33" s="67">
        <f t="shared" si="0"/>
        <v>42972.959999999999</v>
      </c>
      <c r="G33" s="70"/>
      <c r="H33" s="70"/>
      <c r="I33" s="70"/>
      <c r="J33" s="70"/>
    </row>
    <row r="34" spans="1:10" ht="161.25" customHeight="1">
      <c r="A34" s="33">
        <f t="shared" si="1"/>
        <v>26</v>
      </c>
      <c r="B34" s="30" t="s">
        <v>15</v>
      </c>
      <c r="C34" s="45">
        <f>[2]Elec.Data!$K$1058</f>
        <v>982.27</v>
      </c>
      <c r="D34" s="45" t="s">
        <v>3</v>
      </c>
      <c r="E34" s="45">
        <v>24</v>
      </c>
      <c r="F34" s="67">
        <f t="shared" si="0"/>
        <v>23574.48</v>
      </c>
      <c r="G34" s="70"/>
      <c r="H34" s="70"/>
      <c r="I34" s="70"/>
      <c r="J34" s="70"/>
    </row>
    <row r="35" spans="1:10" ht="159.75" customHeight="1">
      <c r="A35" s="33">
        <f t="shared" si="1"/>
        <v>27</v>
      </c>
      <c r="B35" s="30" t="s">
        <v>16</v>
      </c>
      <c r="C35" s="45">
        <f>[2]Elec.Data!$K$1098</f>
        <v>691.34</v>
      </c>
      <c r="D35" s="45" t="s">
        <v>3</v>
      </c>
      <c r="E35" s="45">
        <v>16</v>
      </c>
      <c r="F35" s="67">
        <f t="shared" si="0"/>
        <v>11061.44</v>
      </c>
      <c r="G35" s="70"/>
      <c r="H35" s="70"/>
      <c r="I35" s="70"/>
      <c r="J35" s="70"/>
    </row>
    <row r="36" spans="1:10" ht="103.5" customHeight="1">
      <c r="A36" s="33">
        <f t="shared" si="1"/>
        <v>28</v>
      </c>
      <c r="B36" s="20" t="s">
        <v>17</v>
      </c>
      <c r="C36" s="45">
        <f>[2]Elec.Data!$K$1145</f>
        <v>177.06</v>
      </c>
      <c r="D36" s="45" t="s">
        <v>110</v>
      </c>
      <c r="E36" s="45">
        <v>96</v>
      </c>
      <c r="F36" s="67">
        <f t="shared" si="0"/>
        <v>16997.760000000002</v>
      </c>
      <c r="G36" s="70"/>
      <c r="H36" s="70"/>
      <c r="I36" s="70"/>
      <c r="J36" s="70"/>
    </row>
    <row r="37" spans="1:10" ht="153.75" customHeight="1">
      <c r="A37" s="33">
        <f t="shared" si="1"/>
        <v>29</v>
      </c>
      <c r="B37" s="20" t="s">
        <v>18</v>
      </c>
      <c r="C37" s="45">
        <f>[2]Data!$K$3038</f>
        <v>1552.7</v>
      </c>
      <c r="D37" s="45" t="s">
        <v>3</v>
      </c>
      <c r="E37" s="45">
        <v>24</v>
      </c>
      <c r="F37" s="67">
        <f t="shared" si="0"/>
        <v>37264.800000000003</v>
      </c>
      <c r="G37" s="70"/>
      <c r="H37" s="70"/>
      <c r="I37" s="70"/>
      <c r="J37" s="70"/>
    </row>
    <row r="38" spans="1:10" ht="69" customHeight="1">
      <c r="A38" s="33">
        <f t="shared" si="1"/>
        <v>30</v>
      </c>
      <c r="B38" s="29" t="s">
        <v>19</v>
      </c>
      <c r="C38" s="47">
        <f>[2]Data!$K$2277</f>
        <v>571</v>
      </c>
      <c r="D38" s="47" t="s">
        <v>3</v>
      </c>
      <c r="E38" s="47">
        <v>24</v>
      </c>
      <c r="F38" s="67">
        <f t="shared" si="0"/>
        <v>13704</v>
      </c>
      <c r="G38" s="70"/>
      <c r="H38" s="70"/>
      <c r="I38" s="70"/>
      <c r="J38" s="70"/>
    </row>
    <row r="39" spans="1:10" ht="99" customHeight="1">
      <c r="A39" s="33">
        <f t="shared" si="1"/>
        <v>31</v>
      </c>
      <c r="B39" s="58" t="s">
        <v>408</v>
      </c>
      <c r="C39" s="45">
        <f>[2]Data!$K$1312</f>
        <v>501.82</v>
      </c>
      <c r="D39" s="45" t="s">
        <v>107</v>
      </c>
      <c r="E39" s="45">
        <v>308.06</v>
      </c>
      <c r="F39" s="67">
        <f t="shared" si="0"/>
        <v>154590.6692</v>
      </c>
      <c r="G39" s="70"/>
      <c r="H39" s="70"/>
      <c r="I39" s="70"/>
      <c r="J39" s="70"/>
    </row>
    <row r="40" spans="1:10" ht="72.75" customHeight="1">
      <c r="A40" s="33">
        <f t="shared" si="1"/>
        <v>32</v>
      </c>
      <c r="B40" s="20" t="s">
        <v>20</v>
      </c>
      <c r="C40" s="45">
        <v>3367</v>
      </c>
      <c r="D40" s="45" t="s">
        <v>3</v>
      </c>
      <c r="E40" s="45">
        <v>8</v>
      </c>
      <c r="F40" s="67">
        <f t="shared" si="0"/>
        <v>26936</v>
      </c>
      <c r="G40" s="70"/>
      <c r="H40" s="70"/>
      <c r="I40" s="70"/>
      <c r="J40" s="70"/>
    </row>
    <row r="41" spans="1:10" ht="135.75" customHeight="1">
      <c r="A41" s="33">
        <f t="shared" si="1"/>
        <v>33</v>
      </c>
      <c r="B41" s="20" t="s">
        <v>21</v>
      </c>
      <c r="C41" s="45">
        <v>690</v>
      </c>
      <c r="D41" s="45" t="s">
        <v>3</v>
      </c>
      <c r="E41" s="45">
        <v>40</v>
      </c>
      <c r="F41" s="67">
        <f t="shared" si="0"/>
        <v>27600</v>
      </c>
      <c r="G41" s="70"/>
      <c r="H41" s="70"/>
      <c r="I41" s="70"/>
      <c r="J41" s="70"/>
    </row>
    <row r="42" spans="1:10" ht="101.25" customHeight="1">
      <c r="A42" s="33">
        <v>34</v>
      </c>
      <c r="B42" s="21" t="s">
        <v>100</v>
      </c>
      <c r="C42" s="44">
        <f>[2]Elec.Data!$K$709</f>
        <v>270</v>
      </c>
      <c r="D42" s="44" t="s">
        <v>110</v>
      </c>
      <c r="E42" s="44">
        <v>60</v>
      </c>
      <c r="F42" s="67">
        <f t="shared" si="0"/>
        <v>16200</v>
      </c>
      <c r="G42" s="70"/>
      <c r="H42" s="70"/>
      <c r="I42" s="70"/>
      <c r="J42" s="70"/>
    </row>
    <row r="43" spans="1:10" ht="77.25" customHeight="1">
      <c r="A43" s="33">
        <v>35</v>
      </c>
      <c r="B43" s="31" t="s">
        <v>101</v>
      </c>
      <c r="C43" s="53">
        <f>[2]Data!$K$3709</f>
        <v>1068.3599999999999</v>
      </c>
      <c r="D43" s="53" t="s">
        <v>107</v>
      </c>
      <c r="E43" s="53">
        <v>480</v>
      </c>
      <c r="F43" s="67">
        <f t="shared" si="0"/>
        <v>512812.79999999993</v>
      </c>
      <c r="G43" s="70"/>
      <c r="H43" s="70"/>
      <c r="I43" s="70"/>
      <c r="J43" s="70"/>
    </row>
    <row r="44" spans="1:10" s="8" customFormat="1" ht="93" customHeight="1">
      <c r="A44" s="34">
        <v>36</v>
      </c>
      <c r="B44" s="42" t="s">
        <v>383</v>
      </c>
      <c r="C44" s="44">
        <f>[2]Elec.Data!$K$651</f>
        <v>1309</v>
      </c>
      <c r="D44" s="44" t="s">
        <v>3</v>
      </c>
      <c r="E44" s="44">
        <v>2</v>
      </c>
      <c r="F44" s="67">
        <f t="shared" si="0"/>
        <v>2618</v>
      </c>
      <c r="G44" s="71"/>
      <c r="H44" s="71"/>
      <c r="I44" s="71"/>
      <c r="J44" s="71"/>
    </row>
    <row r="45" spans="1:10" ht="66.75" customHeight="1">
      <c r="A45" s="43">
        <v>37</v>
      </c>
      <c r="B45" s="42" t="s">
        <v>381</v>
      </c>
      <c r="C45" s="44">
        <f>[2]Elec.Data!$K$717</f>
        <v>165</v>
      </c>
      <c r="D45" s="44" t="s">
        <v>110</v>
      </c>
      <c r="E45" s="44">
        <v>6</v>
      </c>
      <c r="F45" s="67">
        <f t="shared" si="0"/>
        <v>990</v>
      </c>
      <c r="G45" s="70"/>
      <c r="H45" s="70"/>
      <c r="I45" s="70"/>
      <c r="J45" s="70"/>
    </row>
    <row r="46" spans="1:10" ht="47.25" customHeight="1">
      <c r="A46" s="43">
        <v>38</v>
      </c>
      <c r="B46" s="63" t="s">
        <v>415</v>
      </c>
      <c r="C46" s="64">
        <v>1140</v>
      </c>
      <c r="D46" s="64" t="s">
        <v>3</v>
      </c>
      <c r="E46" s="64">
        <v>2</v>
      </c>
      <c r="F46" s="67">
        <f t="shared" si="0"/>
        <v>2280</v>
      </c>
      <c r="G46" s="70"/>
      <c r="H46" s="70"/>
      <c r="I46" s="70"/>
      <c r="J46" s="70"/>
    </row>
    <row r="47" spans="1:10" ht="24.75" customHeight="1">
      <c r="A47" s="41"/>
      <c r="B47" s="56"/>
      <c r="C47" s="57"/>
      <c r="D47" s="57"/>
      <c r="E47" s="57"/>
      <c r="F47" s="72">
        <f>SUM(F6:F46)</f>
        <v>2278818.8029999998</v>
      </c>
      <c r="G47" s="70"/>
      <c r="H47" s="70"/>
      <c r="I47" s="70"/>
      <c r="J47" s="70"/>
    </row>
    <row r="48" spans="1:10" ht="15.75">
      <c r="A48" s="13"/>
      <c r="B48" s="14"/>
      <c r="C48" s="15"/>
      <c r="D48" s="15"/>
      <c r="E48" s="15"/>
      <c r="F48" s="14"/>
    </row>
    <row r="49" spans="1:6" ht="15.75">
      <c r="A49" s="13"/>
      <c r="B49" s="14"/>
      <c r="C49" s="15"/>
      <c r="D49" s="15"/>
      <c r="E49" s="15"/>
      <c r="F49" s="14">
        <f>F47*29%</f>
        <v>660857.45286999992</v>
      </c>
    </row>
    <row r="50" spans="1:6" ht="15.75">
      <c r="A50" s="13"/>
      <c r="B50" s="14"/>
      <c r="C50" s="15"/>
      <c r="D50" s="15"/>
      <c r="E50" s="15"/>
      <c r="F50" s="14"/>
    </row>
    <row r="51" spans="1:6" ht="15.75">
      <c r="A51" s="13"/>
      <c r="B51" s="14"/>
      <c r="C51" s="15"/>
      <c r="D51" s="15"/>
      <c r="E51" s="15"/>
      <c r="F51" s="14">
        <f>F49+F47</f>
        <v>2939676.2558699995</v>
      </c>
    </row>
    <row r="52" spans="1:6" ht="15.75">
      <c r="A52" s="13"/>
      <c r="B52" s="14"/>
      <c r="C52" s="15"/>
      <c r="D52" s="15"/>
      <c r="E52" s="15"/>
      <c r="F52" s="14"/>
    </row>
    <row r="53" spans="1:6" ht="15.75">
      <c r="A53" s="13"/>
      <c r="B53" s="14"/>
      <c r="C53" s="15"/>
      <c r="D53" s="15"/>
      <c r="E53" s="15"/>
      <c r="F53" s="14"/>
    </row>
    <row r="54" spans="1:6" ht="15.75">
      <c r="A54" s="13"/>
      <c r="B54" s="14"/>
      <c r="C54" s="15"/>
      <c r="D54" s="15"/>
      <c r="E54" s="15"/>
      <c r="F54" s="14"/>
    </row>
    <row r="55" spans="1:6" ht="15.75">
      <c r="A55" s="13"/>
      <c r="B55" s="14"/>
      <c r="C55" s="15"/>
      <c r="D55" s="15"/>
      <c r="E55" s="15"/>
      <c r="F55" s="14"/>
    </row>
    <row r="56" spans="1:6" ht="15.75">
      <c r="A56" s="13"/>
      <c r="B56" s="14"/>
      <c r="C56" s="15"/>
      <c r="D56" s="15"/>
      <c r="E56" s="15"/>
      <c r="F56" s="14"/>
    </row>
    <row r="57" spans="1:6" ht="16.5">
      <c r="A57" s="16"/>
      <c r="B57" s="4"/>
      <c r="C57" s="4"/>
      <c r="D57" s="5"/>
      <c r="E57" s="5"/>
      <c r="F57" s="4"/>
    </row>
    <row r="58" spans="1:6" ht="16.5">
      <c r="A58" s="16"/>
      <c r="B58" s="4"/>
      <c r="C58" s="4"/>
      <c r="D58" s="5"/>
      <c r="E58" s="5"/>
      <c r="F58" s="4"/>
    </row>
    <row r="59" spans="1:6" ht="16.5">
      <c r="A59" s="16"/>
      <c r="B59" s="4"/>
      <c r="C59" s="4"/>
      <c r="D59" s="5"/>
      <c r="E59" s="5"/>
      <c r="F59" s="4"/>
    </row>
    <row r="60" spans="1:6" ht="16.5">
      <c r="A60" s="16"/>
      <c r="B60" s="4"/>
      <c r="C60" s="4"/>
      <c r="D60" s="5"/>
      <c r="E60" s="5"/>
      <c r="F60" s="4"/>
    </row>
    <row r="61" spans="1:6" ht="16.5">
      <c r="A61" s="16"/>
      <c r="B61" s="4"/>
      <c r="C61" s="4"/>
      <c r="D61" s="5"/>
      <c r="E61" s="5"/>
      <c r="F61" s="4"/>
    </row>
    <row r="62" spans="1:6" ht="16.5">
      <c r="A62" s="16"/>
      <c r="B62" s="4"/>
      <c r="C62" s="4"/>
      <c r="D62" s="5"/>
      <c r="E62" s="5"/>
      <c r="F62" s="4"/>
    </row>
    <row r="63" spans="1:6" ht="16.5">
      <c r="A63" s="16"/>
      <c r="B63" s="4"/>
      <c r="C63" s="4"/>
      <c r="D63" s="5"/>
      <c r="E63" s="5"/>
      <c r="F63" s="4"/>
    </row>
    <row r="64" spans="1:6" ht="16.5">
      <c r="A64" s="16"/>
      <c r="B64" s="4"/>
      <c r="C64" s="4"/>
      <c r="D64" s="5"/>
      <c r="E64" s="5"/>
      <c r="F64" s="4"/>
    </row>
    <row r="65" spans="1:6" ht="16.5">
      <c r="A65" s="16"/>
      <c r="B65" s="4"/>
      <c r="C65" s="4"/>
      <c r="D65" s="5"/>
      <c r="E65" s="5"/>
      <c r="F65" s="4"/>
    </row>
    <row r="66" spans="1:6" ht="16.5">
      <c r="A66" s="16"/>
      <c r="B66" s="4"/>
      <c r="C66" s="4"/>
      <c r="D66" s="5"/>
      <c r="E66" s="5"/>
      <c r="F66" s="4"/>
    </row>
    <row r="67" spans="1:6" ht="16.5">
      <c r="A67" s="16"/>
      <c r="B67" s="4"/>
      <c r="C67" s="4"/>
      <c r="D67" s="5"/>
      <c r="E67" s="5"/>
      <c r="F67" s="4"/>
    </row>
    <row r="68" spans="1:6" ht="16.5">
      <c r="A68" s="16"/>
      <c r="B68" s="4"/>
      <c r="C68" s="4"/>
      <c r="D68" s="5"/>
      <c r="E68" s="5"/>
      <c r="F68" s="4"/>
    </row>
    <row r="69" spans="1:6" ht="16.5">
      <c r="A69" s="16"/>
      <c r="B69" s="4"/>
      <c r="C69" s="4"/>
      <c r="D69" s="5"/>
      <c r="E69" s="5"/>
      <c r="F69" s="4"/>
    </row>
    <row r="70" spans="1:6" ht="16.5">
      <c r="A70" s="16"/>
      <c r="B70" s="4"/>
      <c r="C70" s="4"/>
      <c r="D70" s="5"/>
      <c r="E70" s="5"/>
      <c r="F70" s="4"/>
    </row>
    <row r="71" spans="1:6" ht="16.5">
      <c r="A71" s="16"/>
      <c r="B71" s="4"/>
      <c r="C71" s="4"/>
      <c r="D71" s="5"/>
      <c r="E71" s="5"/>
      <c r="F71" s="4"/>
    </row>
    <row r="72" spans="1:6" ht="16.5">
      <c r="A72" s="16"/>
      <c r="B72" s="4"/>
      <c r="C72" s="4"/>
      <c r="D72" s="5"/>
      <c r="E72" s="5"/>
      <c r="F72" s="4"/>
    </row>
    <row r="73" spans="1:6" ht="16.5">
      <c r="A73" s="16"/>
      <c r="B73" s="4"/>
      <c r="C73" s="4"/>
      <c r="D73" s="5"/>
      <c r="E73" s="5"/>
      <c r="F73" s="4"/>
    </row>
    <row r="74" spans="1:6" ht="16.5">
      <c r="A74" s="16"/>
      <c r="B74" s="4"/>
      <c r="C74" s="4"/>
      <c r="D74" s="5"/>
      <c r="E74" s="5"/>
      <c r="F74" s="4"/>
    </row>
    <row r="75" spans="1:6" ht="16.5">
      <c r="A75" s="16"/>
      <c r="B75" s="4"/>
      <c r="C75" s="4"/>
      <c r="D75" s="5"/>
      <c r="E75" s="5"/>
      <c r="F75" s="4"/>
    </row>
    <row r="76" spans="1:6" ht="16.5">
      <c r="A76" s="16"/>
      <c r="B76" s="4"/>
      <c r="C76" s="4"/>
      <c r="D76" s="5"/>
      <c r="E76" s="5"/>
      <c r="F76" s="4"/>
    </row>
    <row r="77" spans="1:6" ht="16.5">
      <c r="A77" s="16"/>
      <c r="B77" s="4"/>
      <c r="C77" s="4"/>
      <c r="D77" s="5"/>
      <c r="E77" s="5"/>
      <c r="F77" s="4"/>
    </row>
    <row r="78" spans="1:6" ht="16.5">
      <c r="A78" s="16"/>
      <c r="B78" s="4"/>
      <c r="C78" s="4"/>
      <c r="D78" s="5"/>
      <c r="E78" s="5"/>
      <c r="F78" s="4"/>
    </row>
    <row r="79" spans="1:6" ht="16.5">
      <c r="A79" s="16"/>
      <c r="B79" s="4"/>
      <c r="C79" s="4"/>
      <c r="D79" s="5"/>
      <c r="E79" s="5"/>
      <c r="F79" s="4"/>
    </row>
    <row r="80" spans="1:6" ht="16.5">
      <c r="A80" s="16"/>
      <c r="B80" s="4"/>
      <c r="C80" s="4"/>
      <c r="D80" s="5"/>
      <c r="E80" s="5"/>
      <c r="F80" s="4"/>
    </row>
    <row r="81" spans="1:6" ht="16.5">
      <c r="A81" s="16"/>
      <c r="B81" s="4"/>
      <c r="C81" s="4"/>
      <c r="D81" s="5"/>
      <c r="E81" s="5"/>
      <c r="F81" s="4"/>
    </row>
    <row r="82" spans="1:6" ht="16.5">
      <c r="A82" s="16"/>
      <c r="B82" s="4"/>
      <c r="C82" s="4"/>
      <c r="D82" s="5"/>
      <c r="E82" s="5"/>
      <c r="F82" s="4"/>
    </row>
    <row r="83" spans="1:6" ht="16.5">
      <c r="A83" s="16"/>
      <c r="B83" s="4"/>
      <c r="C83" s="4"/>
      <c r="D83" s="5"/>
      <c r="E83" s="5"/>
      <c r="F83" s="4"/>
    </row>
    <row r="84" spans="1:6" ht="16.5">
      <c r="A84" s="16"/>
      <c r="B84" s="4"/>
      <c r="C84" s="4"/>
      <c r="D84" s="5"/>
      <c r="E84" s="5"/>
      <c r="F84" s="4"/>
    </row>
    <row r="85" spans="1:6" ht="16.5">
      <c r="A85" s="16"/>
      <c r="B85" s="4"/>
      <c r="C85" s="4"/>
      <c r="D85" s="5"/>
      <c r="E85" s="5"/>
      <c r="F85" s="4"/>
    </row>
    <row r="86" spans="1:6" ht="16.5">
      <c r="A86" s="16"/>
      <c r="B86" s="4"/>
      <c r="C86" s="4"/>
      <c r="D86" s="5"/>
      <c r="E86" s="5"/>
      <c r="F86" s="4"/>
    </row>
    <row r="87" spans="1:6" ht="16.5">
      <c r="A87" s="16"/>
      <c r="B87" s="4"/>
      <c r="C87" s="4"/>
      <c r="D87" s="5"/>
      <c r="E87" s="5"/>
      <c r="F87" s="4"/>
    </row>
    <row r="88" spans="1:6" ht="16.5">
      <c r="A88" s="16"/>
      <c r="B88" s="4"/>
      <c r="C88" s="4"/>
      <c r="D88" s="5"/>
      <c r="E88" s="5"/>
      <c r="F88" s="4"/>
    </row>
    <row r="89" spans="1:6" ht="16.5">
      <c r="A89" s="16"/>
      <c r="B89" s="4"/>
      <c r="C89" s="4"/>
      <c r="D89" s="5"/>
      <c r="E89" s="5"/>
      <c r="F89" s="4"/>
    </row>
    <row r="90" spans="1:6" ht="16.5">
      <c r="A90" s="16"/>
      <c r="B90" s="4"/>
      <c r="C90" s="4"/>
      <c r="D90" s="5"/>
      <c r="E90" s="5"/>
      <c r="F90" s="4"/>
    </row>
    <row r="91" spans="1:6" ht="16.5">
      <c r="A91" s="16"/>
      <c r="B91" s="4"/>
      <c r="C91" s="4"/>
      <c r="D91" s="5"/>
      <c r="E91" s="5"/>
      <c r="F91" s="4"/>
    </row>
    <row r="92" spans="1:6" ht="16.5">
      <c r="A92" s="16"/>
      <c r="B92" s="4"/>
      <c r="C92" s="4"/>
      <c r="D92" s="5"/>
      <c r="E92" s="5"/>
      <c r="F92" s="4"/>
    </row>
    <row r="93" spans="1:6" ht="16.5">
      <c r="A93" s="16"/>
      <c r="B93" s="4"/>
      <c r="C93" s="4"/>
      <c r="D93" s="5"/>
      <c r="E93" s="5"/>
      <c r="F93" s="4"/>
    </row>
    <row r="94" spans="1:6" ht="16.5">
      <c r="A94" s="16"/>
      <c r="B94" s="4"/>
      <c r="C94" s="4"/>
      <c r="D94" s="5"/>
      <c r="E94" s="5"/>
      <c r="F94" s="4"/>
    </row>
    <row r="95" spans="1:6" ht="16.5">
      <c r="A95" s="16"/>
      <c r="B95" s="4"/>
      <c r="C95" s="4"/>
      <c r="D95" s="5"/>
      <c r="E95" s="5"/>
      <c r="F95" s="4"/>
    </row>
    <row r="96" spans="1:6" ht="16.5">
      <c r="A96" s="16"/>
      <c r="B96" s="4"/>
      <c r="C96" s="4"/>
      <c r="D96" s="5"/>
      <c r="E96" s="5"/>
      <c r="F96" s="4"/>
    </row>
    <row r="97" spans="1:6" ht="16.5">
      <c r="A97" s="16"/>
      <c r="B97" s="4"/>
      <c r="C97" s="4"/>
      <c r="D97" s="5"/>
      <c r="E97" s="5"/>
      <c r="F97" s="4"/>
    </row>
    <row r="98" spans="1:6" ht="16.5">
      <c r="A98" s="16"/>
      <c r="B98" s="4"/>
      <c r="C98" s="4"/>
      <c r="D98" s="5"/>
      <c r="E98" s="5"/>
      <c r="F98" s="4"/>
    </row>
    <row r="99" spans="1:6" ht="16.5">
      <c r="A99" s="16"/>
      <c r="B99" s="4"/>
      <c r="C99" s="4"/>
      <c r="D99" s="5"/>
      <c r="E99" s="5"/>
      <c r="F99" s="4"/>
    </row>
    <row r="100" spans="1:6" ht="16.5">
      <c r="A100" s="16"/>
      <c r="B100" s="4"/>
      <c r="C100" s="4"/>
      <c r="D100" s="5"/>
      <c r="E100" s="5"/>
      <c r="F100" s="4"/>
    </row>
    <row r="101" spans="1:6" ht="16.5">
      <c r="A101" s="16"/>
      <c r="B101" s="4"/>
      <c r="C101" s="4"/>
      <c r="D101" s="5"/>
      <c r="E101" s="5"/>
      <c r="F101" s="4"/>
    </row>
    <row r="102" spans="1:6" ht="16.5">
      <c r="A102" s="16"/>
      <c r="B102" s="4"/>
      <c r="C102" s="4"/>
      <c r="D102" s="5"/>
      <c r="E102" s="5"/>
      <c r="F102" s="4"/>
    </row>
    <row r="103" spans="1:6" ht="16.5">
      <c r="A103" s="16"/>
      <c r="B103" s="4"/>
      <c r="C103" s="4"/>
      <c r="D103" s="5"/>
      <c r="E103" s="5"/>
      <c r="F103" s="4"/>
    </row>
    <row r="104" spans="1:6" ht="16.5">
      <c r="A104" s="16"/>
      <c r="B104" s="4"/>
      <c r="C104" s="4"/>
      <c r="D104" s="5"/>
      <c r="E104" s="5"/>
      <c r="F104" s="4"/>
    </row>
    <row r="105" spans="1:6" ht="16.5">
      <c r="A105" s="16"/>
      <c r="B105" s="4"/>
      <c r="C105" s="4"/>
      <c r="D105" s="5"/>
      <c r="E105" s="5"/>
      <c r="F105" s="4"/>
    </row>
    <row r="106" spans="1:6" ht="16.5">
      <c r="A106" s="16"/>
      <c r="B106" s="4"/>
      <c r="C106" s="4"/>
      <c r="D106" s="5"/>
      <c r="E106" s="5"/>
      <c r="F106" s="4"/>
    </row>
    <row r="107" spans="1:6" ht="16.5">
      <c r="A107" s="16"/>
      <c r="B107" s="4"/>
      <c r="C107" s="4"/>
      <c r="D107" s="5"/>
      <c r="E107" s="5"/>
      <c r="F107" s="4"/>
    </row>
    <row r="108" spans="1:6" ht="16.5">
      <c r="A108" s="16"/>
      <c r="B108" s="4"/>
      <c r="C108" s="4"/>
      <c r="D108" s="5"/>
      <c r="E108" s="5"/>
      <c r="F108" s="4"/>
    </row>
    <row r="109" spans="1:6" ht="16.5">
      <c r="A109" s="16"/>
      <c r="B109" s="4"/>
      <c r="C109" s="4"/>
      <c r="D109" s="5"/>
      <c r="E109" s="5"/>
      <c r="F109" s="4"/>
    </row>
    <row r="110" spans="1:6" ht="16.5">
      <c r="A110" s="16"/>
      <c r="B110" s="4"/>
      <c r="C110" s="4"/>
      <c r="D110" s="5"/>
      <c r="E110" s="5"/>
      <c r="F110" s="4"/>
    </row>
    <row r="111" spans="1:6" ht="16.5">
      <c r="A111" s="16"/>
      <c r="B111" s="4"/>
      <c r="C111" s="4"/>
      <c r="D111" s="5"/>
      <c r="E111" s="5"/>
      <c r="F111" s="4"/>
    </row>
    <row r="112" spans="1:6" ht="16.5">
      <c r="A112" s="16"/>
      <c r="B112" s="4"/>
      <c r="C112" s="4"/>
      <c r="D112" s="5"/>
      <c r="E112" s="5"/>
      <c r="F112" s="4"/>
    </row>
    <row r="113" spans="1:6" ht="16.5">
      <c r="A113" s="16"/>
      <c r="B113" s="4"/>
      <c r="C113" s="4"/>
      <c r="D113" s="5"/>
      <c r="E113" s="5"/>
      <c r="F113" s="4"/>
    </row>
    <row r="114" spans="1:6" ht="16.5">
      <c r="A114" s="16"/>
      <c r="B114" s="4"/>
      <c r="C114" s="4"/>
      <c r="D114" s="5"/>
      <c r="E114" s="5"/>
      <c r="F114" s="4"/>
    </row>
    <row r="115" spans="1:6" ht="16.5">
      <c r="A115" s="16"/>
      <c r="B115" s="4"/>
      <c r="C115" s="4"/>
      <c r="D115" s="5"/>
      <c r="E115" s="5"/>
      <c r="F115" s="4"/>
    </row>
    <row r="116" spans="1:6" ht="16.5">
      <c r="A116" s="16"/>
      <c r="B116" s="4"/>
      <c r="C116" s="4"/>
      <c r="D116" s="5"/>
      <c r="E116" s="5"/>
      <c r="F116" s="4"/>
    </row>
    <row r="117" spans="1:6" ht="16.5">
      <c r="A117" s="16"/>
      <c r="B117" s="4"/>
      <c r="C117" s="4"/>
      <c r="D117" s="5"/>
      <c r="E117" s="5"/>
      <c r="F117" s="4"/>
    </row>
    <row r="118" spans="1:6" ht="16.5">
      <c r="A118" s="16"/>
      <c r="B118" s="4"/>
      <c r="C118" s="4"/>
      <c r="D118" s="5"/>
      <c r="E118" s="5"/>
      <c r="F118" s="4"/>
    </row>
    <row r="119" spans="1:6" ht="16.5">
      <c r="A119" s="16"/>
      <c r="B119" s="4"/>
      <c r="C119" s="4"/>
      <c r="D119" s="5"/>
      <c r="E119" s="5"/>
      <c r="F119" s="4"/>
    </row>
    <row r="120" spans="1:6" ht="16.5">
      <c r="A120" s="16"/>
      <c r="B120" s="4"/>
      <c r="C120" s="4"/>
      <c r="D120" s="5"/>
      <c r="E120" s="5"/>
      <c r="F120" s="4"/>
    </row>
    <row r="121" spans="1:6" ht="16.5">
      <c r="A121" s="16"/>
      <c r="B121" s="4"/>
      <c r="C121" s="4"/>
      <c r="D121" s="5"/>
      <c r="E121" s="5"/>
      <c r="F121" s="4"/>
    </row>
    <row r="122" spans="1:6" ht="16.5">
      <c r="A122" s="16"/>
      <c r="B122" s="4"/>
      <c r="C122" s="4"/>
      <c r="D122" s="5"/>
      <c r="E122" s="5"/>
      <c r="F122" s="4"/>
    </row>
    <row r="123" spans="1:6" ht="16.5">
      <c r="A123" s="16"/>
      <c r="B123" s="4"/>
      <c r="C123" s="4"/>
      <c r="D123" s="5"/>
      <c r="E123" s="5"/>
      <c r="F123" s="4"/>
    </row>
    <row r="124" spans="1:6" ht="16.5">
      <c r="A124" s="16"/>
      <c r="B124" s="4"/>
      <c r="C124" s="4"/>
      <c r="D124" s="5"/>
      <c r="E124" s="5"/>
      <c r="F124" s="4"/>
    </row>
    <row r="125" spans="1:6" ht="16.5">
      <c r="A125" s="16"/>
      <c r="B125" s="4"/>
      <c r="C125" s="4"/>
      <c r="D125" s="5"/>
      <c r="E125" s="5"/>
      <c r="F125" s="4"/>
    </row>
    <row r="126" spans="1:6" ht="16.5">
      <c r="A126" s="16"/>
      <c r="B126" s="4"/>
      <c r="C126" s="4"/>
      <c r="D126" s="5"/>
      <c r="E126" s="5"/>
      <c r="F126" s="4"/>
    </row>
    <row r="127" spans="1:6" ht="16.5">
      <c r="A127" s="16"/>
      <c r="B127" s="4"/>
      <c r="C127" s="4"/>
      <c r="D127" s="5"/>
      <c r="E127" s="5"/>
      <c r="F127" s="4"/>
    </row>
    <row r="128" spans="1:6" ht="16.5">
      <c r="A128" s="16"/>
      <c r="B128" s="4"/>
      <c r="C128" s="4"/>
      <c r="D128" s="5"/>
      <c r="E128" s="5"/>
      <c r="F128" s="4"/>
    </row>
    <row r="129" spans="1:6" ht="16.5">
      <c r="A129" s="16"/>
      <c r="B129" s="4"/>
      <c r="C129" s="4"/>
      <c r="D129" s="5"/>
      <c r="E129" s="5"/>
      <c r="F129" s="4"/>
    </row>
    <row r="130" spans="1:6" ht="16.5">
      <c r="A130" s="16"/>
      <c r="B130" s="4"/>
      <c r="C130" s="4"/>
      <c r="D130" s="5"/>
      <c r="E130" s="5"/>
      <c r="F130" s="4"/>
    </row>
    <row r="131" spans="1:6" ht="16.5">
      <c r="A131" s="16"/>
      <c r="B131" s="4"/>
      <c r="C131" s="4"/>
      <c r="D131" s="5"/>
      <c r="E131" s="5"/>
      <c r="F131" s="4"/>
    </row>
    <row r="132" spans="1:6" ht="16.5">
      <c r="A132" s="16"/>
      <c r="B132" s="4"/>
      <c r="C132" s="4"/>
      <c r="D132" s="5"/>
      <c r="E132" s="5"/>
      <c r="F132" s="4"/>
    </row>
    <row r="133" spans="1:6" ht="16.5">
      <c r="A133" s="16"/>
      <c r="B133" s="4"/>
      <c r="C133" s="4"/>
      <c r="D133" s="5"/>
      <c r="E133" s="5"/>
      <c r="F133" s="4"/>
    </row>
    <row r="134" spans="1:6" ht="16.5">
      <c r="A134" s="16"/>
      <c r="B134" s="4"/>
      <c r="C134" s="4"/>
      <c r="D134" s="5"/>
      <c r="E134" s="5"/>
      <c r="F134" s="4"/>
    </row>
    <row r="135" spans="1:6" ht="16.5">
      <c r="A135" s="16"/>
      <c r="B135" s="4"/>
      <c r="C135" s="4"/>
      <c r="D135" s="5"/>
      <c r="E135" s="5"/>
      <c r="F135" s="4"/>
    </row>
    <row r="136" spans="1:6" ht="16.5">
      <c r="A136" s="16"/>
      <c r="B136" s="4"/>
      <c r="C136" s="4"/>
      <c r="D136" s="5"/>
      <c r="E136" s="5"/>
      <c r="F136" s="4"/>
    </row>
    <row r="137" spans="1:6" ht="16.5">
      <c r="A137" s="16"/>
      <c r="B137" s="4"/>
      <c r="C137" s="4"/>
      <c r="D137" s="5"/>
      <c r="E137" s="5"/>
      <c r="F137" s="4"/>
    </row>
    <row r="138" spans="1:6" ht="16.5">
      <c r="A138" s="16"/>
      <c r="B138" s="4"/>
      <c r="C138" s="4"/>
      <c r="D138" s="5"/>
      <c r="E138" s="5"/>
      <c r="F138" s="4"/>
    </row>
    <row r="139" spans="1:6" ht="16.5">
      <c r="A139" s="16"/>
      <c r="B139" s="4"/>
      <c r="C139" s="4"/>
      <c r="D139" s="5"/>
      <c r="E139" s="5"/>
      <c r="F139" s="4"/>
    </row>
    <row r="140" spans="1:6" ht="16.5">
      <c r="A140" s="16"/>
      <c r="B140" s="4"/>
      <c r="C140" s="4"/>
      <c r="D140" s="5"/>
      <c r="E140" s="5"/>
      <c r="F140" s="4"/>
    </row>
    <row r="141" spans="1:6" ht="16.5">
      <c r="A141" s="16"/>
      <c r="B141" s="4"/>
      <c r="C141" s="4"/>
      <c r="D141" s="5"/>
      <c r="E141" s="5"/>
      <c r="F141" s="4"/>
    </row>
    <row r="142" spans="1:6" ht="16.5">
      <c r="A142" s="16"/>
      <c r="B142" s="4"/>
      <c r="C142" s="4"/>
      <c r="D142" s="5"/>
      <c r="E142" s="5"/>
      <c r="F142" s="4"/>
    </row>
    <row r="143" spans="1:6" ht="16.5">
      <c r="A143" s="16"/>
      <c r="B143" s="4"/>
      <c r="C143" s="4"/>
      <c r="D143" s="5"/>
      <c r="E143" s="5"/>
      <c r="F143" s="4"/>
    </row>
    <row r="144" spans="1:6" ht="16.5">
      <c r="A144" s="16"/>
      <c r="B144" s="4"/>
      <c r="C144" s="4"/>
      <c r="D144" s="5"/>
      <c r="E144" s="5"/>
      <c r="F144" s="4"/>
    </row>
    <row r="145" spans="1:6" ht="16.5">
      <c r="A145" s="16"/>
      <c r="B145" s="4"/>
      <c r="C145" s="4"/>
      <c r="D145" s="5"/>
      <c r="E145" s="5"/>
      <c r="F145" s="4"/>
    </row>
    <row r="146" spans="1:6" ht="16.5">
      <c r="A146" s="16"/>
      <c r="B146" s="4"/>
      <c r="C146" s="4"/>
      <c r="D146" s="5"/>
      <c r="E146" s="5"/>
      <c r="F146" s="4"/>
    </row>
    <row r="147" spans="1:6" ht="16.5">
      <c r="A147" s="16"/>
      <c r="B147" s="4"/>
      <c r="C147" s="4"/>
      <c r="D147" s="5"/>
      <c r="E147" s="5"/>
      <c r="F147" s="4"/>
    </row>
    <row r="148" spans="1:6" ht="16.5">
      <c r="A148" s="16"/>
      <c r="B148" s="4"/>
      <c r="C148" s="4"/>
      <c r="D148" s="5"/>
      <c r="E148" s="5"/>
      <c r="F148" s="4"/>
    </row>
    <row r="149" spans="1:6" ht="16.5">
      <c r="A149" s="16"/>
      <c r="B149" s="4"/>
      <c r="C149" s="4"/>
      <c r="D149" s="5"/>
      <c r="E149" s="5"/>
      <c r="F149" s="4"/>
    </row>
    <row r="150" spans="1:6" ht="16.5">
      <c r="A150" s="16"/>
      <c r="B150" s="4"/>
      <c r="C150" s="4"/>
      <c r="D150" s="5"/>
      <c r="E150" s="5"/>
      <c r="F150" s="4"/>
    </row>
    <row r="151" spans="1:6" ht="16.5">
      <c r="A151" s="16"/>
      <c r="B151" s="4"/>
      <c r="C151" s="4"/>
      <c r="D151" s="5"/>
      <c r="E151" s="5"/>
      <c r="F151" s="4"/>
    </row>
    <row r="152" spans="1:6" ht="16.5">
      <c r="A152" s="16"/>
      <c r="B152" s="4"/>
      <c r="C152" s="4"/>
      <c r="D152" s="5"/>
      <c r="E152" s="5"/>
      <c r="F152" s="4"/>
    </row>
    <row r="153" spans="1:6" ht="16.5">
      <c r="A153" s="16"/>
      <c r="B153" s="4"/>
      <c r="C153" s="4"/>
      <c r="D153" s="5"/>
      <c r="E153" s="5"/>
      <c r="F153" s="4"/>
    </row>
    <row r="154" spans="1:6" ht="16.5">
      <c r="A154" s="16"/>
      <c r="B154" s="4"/>
      <c r="C154" s="4"/>
      <c r="D154" s="5"/>
      <c r="E154" s="5"/>
      <c r="F154" s="4"/>
    </row>
    <row r="155" spans="1:6" ht="16.5">
      <c r="A155" s="16"/>
      <c r="B155" s="4"/>
      <c r="C155" s="4"/>
      <c r="D155" s="5"/>
      <c r="E155" s="5"/>
      <c r="F155" s="4"/>
    </row>
    <row r="156" spans="1:6" ht="16.5">
      <c r="A156" s="16"/>
      <c r="B156" s="4"/>
      <c r="C156" s="4"/>
      <c r="D156" s="5"/>
      <c r="E156" s="5"/>
      <c r="F156" s="4"/>
    </row>
    <row r="157" spans="1:6" ht="16.5">
      <c r="A157" s="16"/>
      <c r="B157" s="4"/>
      <c r="C157" s="4"/>
      <c r="D157" s="5"/>
      <c r="E157" s="5"/>
      <c r="F157" s="4"/>
    </row>
    <row r="158" spans="1:6" ht="16.5">
      <c r="A158" s="16"/>
      <c r="B158" s="4"/>
      <c r="C158" s="4"/>
      <c r="D158" s="5"/>
      <c r="E158" s="5"/>
      <c r="F158" s="4"/>
    </row>
    <row r="159" spans="1:6" ht="16.5">
      <c r="A159" s="16"/>
      <c r="B159" s="4"/>
      <c r="C159" s="4"/>
      <c r="D159" s="5"/>
      <c r="E159" s="5"/>
      <c r="F159" s="4"/>
    </row>
    <row r="160" spans="1:6" ht="16.5">
      <c r="A160" s="16"/>
      <c r="B160" s="4"/>
      <c r="C160" s="4"/>
      <c r="D160" s="5"/>
      <c r="E160" s="5"/>
      <c r="F160" s="4"/>
    </row>
    <row r="161" spans="1:6" ht="16.5">
      <c r="A161" s="16"/>
      <c r="B161" s="4"/>
      <c r="C161" s="4"/>
      <c r="D161" s="5"/>
      <c r="E161" s="5"/>
      <c r="F161" s="4"/>
    </row>
    <row r="162" spans="1:6" ht="16.5">
      <c r="A162" s="16"/>
      <c r="B162" s="4"/>
      <c r="C162" s="4"/>
      <c r="D162" s="5"/>
      <c r="E162" s="5"/>
      <c r="F162" s="4"/>
    </row>
    <row r="163" spans="1:6" ht="16.5">
      <c r="A163" s="16"/>
      <c r="B163" s="4"/>
      <c r="C163" s="4"/>
      <c r="D163" s="5"/>
      <c r="E163" s="5"/>
      <c r="F163" s="4"/>
    </row>
    <row r="164" spans="1:6" ht="16.5">
      <c r="A164" s="16"/>
      <c r="B164" s="4"/>
      <c r="C164" s="4"/>
      <c r="D164" s="5"/>
      <c r="E164" s="5"/>
      <c r="F164" s="4"/>
    </row>
    <row r="165" spans="1:6" ht="16.5">
      <c r="A165" s="16"/>
      <c r="B165" s="4"/>
      <c r="C165" s="4"/>
      <c r="D165" s="5"/>
      <c r="E165" s="5"/>
      <c r="F165" s="4"/>
    </row>
    <row r="166" spans="1:6" ht="16.5">
      <c r="A166" s="16"/>
      <c r="B166" s="4"/>
      <c r="C166" s="4"/>
      <c r="D166" s="5"/>
      <c r="E166" s="5"/>
      <c r="F166" s="4"/>
    </row>
    <row r="167" spans="1:6" ht="16.5">
      <c r="A167" s="16"/>
      <c r="B167" s="4"/>
      <c r="C167" s="4"/>
      <c r="D167" s="5"/>
      <c r="E167" s="5"/>
      <c r="F167" s="4"/>
    </row>
    <row r="168" spans="1:6" ht="16.5">
      <c r="A168" s="16"/>
      <c r="B168" s="4"/>
      <c r="C168" s="4"/>
      <c r="D168" s="5"/>
      <c r="E168" s="5"/>
      <c r="F168" s="4"/>
    </row>
    <row r="169" spans="1:6" ht="16.5">
      <c r="A169" s="16"/>
      <c r="B169" s="4"/>
      <c r="C169" s="4"/>
      <c r="D169" s="5"/>
      <c r="E169" s="5"/>
      <c r="F169" s="4"/>
    </row>
    <row r="170" spans="1:6" ht="16.5">
      <c r="A170" s="16"/>
      <c r="B170" s="4"/>
      <c r="C170" s="4"/>
      <c r="D170" s="5"/>
      <c r="E170" s="5"/>
      <c r="F170" s="4"/>
    </row>
    <row r="171" spans="1:6" ht="16.5">
      <c r="A171" s="16"/>
      <c r="B171" s="4"/>
      <c r="C171" s="4"/>
      <c r="D171" s="5"/>
      <c r="E171" s="5"/>
      <c r="F171" s="4"/>
    </row>
    <row r="172" spans="1:6" ht="16.5">
      <c r="A172" s="16"/>
      <c r="B172" s="4"/>
      <c r="C172" s="4"/>
      <c r="D172" s="5"/>
      <c r="E172" s="5"/>
      <c r="F172" s="4"/>
    </row>
    <row r="173" spans="1:6" ht="16.5">
      <c r="A173" s="16"/>
      <c r="B173" s="4"/>
      <c r="C173" s="4"/>
      <c r="D173" s="5"/>
      <c r="E173" s="5"/>
      <c r="F173" s="4"/>
    </row>
    <row r="174" spans="1:6" ht="16.5">
      <c r="A174" s="16"/>
      <c r="B174" s="4"/>
      <c r="C174" s="4"/>
      <c r="D174" s="5"/>
      <c r="E174" s="5"/>
      <c r="F174" s="4"/>
    </row>
    <row r="175" spans="1:6" ht="16.5">
      <c r="A175" s="16"/>
      <c r="B175" s="4"/>
      <c r="C175" s="4"/>
      <c r="D175" s="5"/>
      <c r="E175" s="5"/>
      <c r="F175" s="4"/>
    </row>
    <row r="176" spans="1:6" ht="16.5">
      <c r="A176" s="16"/>
      <c r="B176" s="4"/>
      <c r="C176" s="4"/>
      <c r="D176" s="5"/>
      <c r="E176" s="5"/>
      <c r="F176" s="4"/>
    </row>
    <row r="177" spans="1:6" ht="16.5">
      <c r="A177" s="16"/>
      <c r="B177" s="4"/>
      <c r="C177" s="4"/>
      <c r="D177" s="5"/>
      <c r="E177" s="5"/>
      <c r="F177" s="4"/>
    </row>
    <row r="178" spans="1:6" ht="16.5">
      <c r="A178" s="16"/>
      <c r="B178" s="4"/>
      <c r="C178" s="4"/>
      <c r="D178" s="5"/>
      <c r="E178" s="5"/>
      <c r="F178" s="4"/>
    </row>
    <row r="179" spans="1:6" ht="16.5">
      <c r="A179" s="16"/>
      <c r="B179" s="4"/>
      <c r="C179" s="4"/>
      <c r="D179" s="5"/>
      <c r="E179" s="5"/>
      <c r="F179" s="4"/>
    </row>
    <row r="180" spans="1:6" ht="16.5">
      <c r="A180" s="16"/>
      <c r="B180" s="4"/>
      <c r="C180" s="4"/>
      <c r="D180" s="5"/>
      <c r="E180" s="5"/>
      <c r="F180" s="4"/>
    </row>
    <row r="181" spans="1:6" ht="16.5">
      <c r="A181" s="16"/>
      <c r="B181" s="4"/>
      <c r="C181" s="4"/>
      <c r="D181" s="5"/>
      <c r="E181" s="5"/>
      <c r="F181" s="4"/>
    </row>
    <row r="182" spans="1:6" ht="16.5">
      <c r="A182" s="16"/>
      <c r="B182" s="4"/>
      <c r="C182" s="4"/>
      <c r="D182" s="5"/>
      <c r="E182" s="5"/>
      <c r="F182" s="4"/>
    </row>
    <row r="183" spans="1:6" ht="16.5">
      <c r="A183" s="16"/>
      <c r="B183" s="4"/>
      <c r="C183" s="4"/>
      <c r="D183" s="5"/>
      <c r="E183" s="5"/>
      <c r="F183" s="4"/>
    </row>
    <row r="184" spans="1:6" ht="16.5">
      <c r="A184" s="16"/>
      <c r="B184" s="4"/>
      <c r="C184" s="4"/>
      <c r="D184" s="5"/>
      <c r="E184" s="5"/>
      <c r="F184" s="4"/>
    </row>
    <row r="185" spans="1:6" ht="16.5">
      <c r="A185" s="16"/>
      <c r="B185" s="4"/>
      <c r="C185" s="4"/>
      <c r="D185" s="5"/>
      <c r="E185" s="5"/>
      <c r="F185" s="4"/>
    </row>
    <row r="186" spans="1:6" ht="16.5">
      <c r="A186" s="16"/>
      <c r="B186" s="4"/>
      <c r="C186" s="4"/>
      <c r="D186" s="5"/>
      <c r="E186" s="5"/>
      <c r="F186" s="4"/>
    </row>
    <row r="187" spans="1:6" ht="16.5">
      <c r="A187" s="16"/>
      <c r="B187" s="4"/>
      <c r="C187" s="4"/>
      <c r="D187" s="5"/>
      <c r="E187" s="5"/>
      <c r="F187" s="4"/>
    </row>
    <row r="188" spans="1:6" ht="16.5">
      <c r="A188" s="16"/>
      <c r="B188" s="4"/>
      <c r="C188" s="4"/>
      <c r="D188" s="5"/>
      <c r="E188" s="5"/>
      <c r="F188" s="4"/>
    </row>
    <row r="189" spans="1:6" ht="16.5">
      <c r="A189" s="16"/>
      <c r="B189" s="4"/>
      <c r="C189" s="4"/>
      <c r="D189" s="5"/>
      <c r="E189" s="5"/>
      <c r="F189" s="4"/>
    </row>
    <row r="190" spans="1:6" ht="16.5">
      <c r="A190" s="16"/>
      <c r="B190" s="4"/>
      <c r="C190" s="4"/>
      <c r="D190" s="5"/>
      <c r="E190" s="5"/>
      <c r="F190" s="4"/>
    </row>
    <row r="191" spans="1:6" ht="16.5">
      <c r="A191" s="16"/>
      <c r="B191" s="4"/>
      <c r="C191" s="4"/>
      <c r="D191" s="5"/>
      <c r="E191" s="5"/>
      <c r="F191" s="4"/>
    </row>
    <row r="192" spans="1:6" ht="16.5">
      <c r="A192" s="16"/>
      <c r="B192" s="4"/>
      <c r="C192" s="4"/>
      <c r="D192" s="5"/>
      <c r="E192" s="5"/>
      <c r="F192" s="4"/>
    </row>
    <row r="193" spans="1:6" ht="16.5">
      <c r="A193" s="16"/>
      <c r="B193" s="4"/>
      <c r="C193" s="4"/>
      <c r="D193" s="5"/>
      <c r="E193" s="5"/>
      <c r="F193" s="4"/>
    </row>
    <row r="194" spans="1:6" ht="16.5">
      <c r="A194" s="16"/>
      <c r="B194" s="4"/>
      <c r="C194" s="4"/>
      <c r="D194" s="5"/>
      <c r="E194" s="5"/>
      <c r="F194" s="4"/>
    </row>
    <row r="195" spans="1:6" ht="16.5">
      <c r="A195" s="16"/>
      <c r="B195" s="4"/>
      <c r="C195" s="4"/>
      <c r="D195" s="5"/>
      <c r="E195" s="5"/>
      <c r="F195" s="4"/>
    </row>
    <row r="196" spans="1:6" ht="16.5">
      <c r="A196" s="16"/>
      <c r="B196" s="4"/>
      <c r="C196" s="4"/>
      <c r="D196" s="5"/>
      <c r="E196" s="5"/>
      <c r="F196" s="4"/>
    </row>
    <row r="197" spans="1:6" ht="16.5">
      <c r="A197" s="16"/>
      <c r="B197" s="4"/>
      <c r="C197" s="4"/>
      <c r="D197" s="5"/>
      <c r="E197" s="5"/>
      <c r="F197" s="4"/>
    </row>
    <row r="198" spans="1:6" ht="16.5">
      <c r="A198" s="16"/>
      <c r="B198" s="4"/>
      <c r="C198" s="4"/>
      <c r="D198" s="5"/>
      <c r="E198" s="5"/>
      <c r="F198" s="4"/>
    </row>
    <row r="199" spans="1:6" ht="16.5">
      <c r="A199" s="16"/>
      <c r="B199" s="4"/>
      <c r="C199" s="4"/>
      <c r="D199" s="5"/>
      <c r="E199" s="5"/>
      <c r="F199" s="4"/>
    </row>
    <row r="200" spans="1:6" ht="16.5">
      <c r="A200" s="16"/>
      <c r="B200" s="4"/>
      <c r="C200" s="4"/>
      <c r="D200" s="5"/>
      <c r="E200" s="5"/>
      <c r="F200" s="4"/>
    </row>
    <row r="201" spans="1:6" ht="16.5">
      <c r="A201" s="16"/>
      <c r="B201" s="4"/>
      <c r="C201" s="4"/>
      <c r="D201" s="5"/>
      <c r="E201" s="5"/>
      <c r="F201" s="4"/>
    </row>
    <row r="202" spans="1:6" ht="16.5">
      <c r="A202" s="16"/>
      <c r="B202" s="4"/>
      <c r="C202" s="4"/>
      <c r="D202" s="5"/>
      <c r="E202" s="5"/>
      <c r="F202" s="4"/>
    </row>
    <row r="203" spans="1:6" ht="16.5">
      <c r="A203" s="16"/>
      <c r="B203" s="4"/>
      <c r="C203" s="4"/>
      <c r="D203" s="5"/>
      <c r="E203" s="5"/>
      <c r="F203" s="4"/>
    </row>
    <row r="204" spans="1:6" ht="16.5">
      <c r="A204" s="16"/>
      <c r="B204" s="4"/>
      <c r="C204" s="4"/>
      <c r="D204" s="5"/>
      <c r="E204" s="5"/>
      <c r="F204" s="4"/>
    </row>
    <row r="205" spans="1:6" ht="16.5">
      <c r="A205" s="16"/>
      <c r="B205" s="4"/>
      <c r="C205" s="4"/>
      <c r="D205" s="5"/>
      <c r="E205" s="5"/>
      <c r="F205" s="4"/>
    </row>
    <row r="206" spans="1:6" ht="16.5">
      <c r="A206" s="16"/>
      <c r="B206" s="4"/>
      <c r="C206" s="4"/>
      <c r="D206" s="5"/>
      <c r="E206" s="5"/>
      <c r="F206" s="4"/>
    </row>
    <row r="207" spans="1:6" ht="16.5">
      <c r="A207" s="16"/>
      <c r="B207" s="4"/>
      <c r="C207" s="4"/>
      <c r="D207" s="5"/>
      <c r="E207" s="5"/>
      <c r="F207" s="4"/>
    </row>
    <row r="208" spans="1:6" ht="16.5">
      <c r="A208" s="16"/>
      <c r="B208" s="4"/>
      <c r="C208" s="4"/>
      <c r="D208" s="5"/>
      <c r="E208" s="5"/>
      <c r="F208" s="4"/>
    </row>
    <row r="209" spans="1:6" ht="16.5">
      <c r="A209" s="16"/>
      <c r="B209" s="4"/>
      <c r="C209" s="4"/>
      <c r="D209" s="5"/>
      <c r="E209" s="5"/>
      <c r="F209" s="4"/>
    </row>
    <row r="210" spans="1:6" ht="16.5">
      <c r="A210" s="16"/>
      <c r="B210" s="4"/>
      <c r="C210" s="4"/>
      <c r="D210" s="5"/>
      <c r="E210" s="5"/>
      <c r="F210" s="4"/>
    </row>
    <row r="211" spans="1:6" ht="16.5">
      <c r="A211" s="16"/>
      <c r="B211" s="4"/>
      <c r="C211" s="4"/>
      <c r="D211" s="5"/>
      <c r="E211" s="5"/>
      <c r="F211" s="4"/>
    </row>
    <row r="212" spans="1:6" ht="16.5">
      <c r="A212" s="16"/>
      <c r="B212" s="4"/>
      <c r="C212" s="4"/>
      <c r="D212" s="5"/>
      <c r="E212" s="5"/>
      <c r="F212" s="4"/>
    </row>
    <row r="213" spans="1:6" ht="16.5">
      <c r="A213" s="16"/>
      <c r="B213" s="4"/>
      <c r="C213" s="4"/>
      <c r="D213" s="5"/>
      <c r="E213" s="5"/>
      <c r="F213" s="4"/>
    </row>
    <row r="214" spans="1:6" ht="16.5">
      <c r="A214" s="16"/>
      <c r="B214" s="4"/>
      <c r="C214" s="4"/>
      <c r="D214" s="5"/>
      <c r="E214" s="5"/>
      <c r="F214" s="4"/>
    </row>
    <row r="215" spans="1:6" ht="16.5">
      <c r="A215" s="16"/>
      <c r="B215" s="4"/>
      <c r="C215" s="4"/>
      <c r="D215" s="5"/>
      <c r="E215" s="5"/>
      <c r="F215" s="4"/>
    </row>
    <row r="216" spans="1:6" ht="16.5">
      <c r="A216" s="16"/>
      <c r="B216" s="4"/>
      <c r="C216" s="4"/>
      <c r="D216" s="5"/>
      <c r="E216" s="5"/>
      <c r="F216" s="4"/>
    </row>
    <row r="217" spans="1:6" ht="16.5">
      <c r="A217" s="16"/>
      <c r="B217" s="4"/>
      <c r="C217" s="4"/>
      <c r="D217" s="5"/>
      <c r="E217" s="5"/>
      <c r="F217" s="4"/>
    </row>
    <row r="218" spans="1:6" ht="16.5">
      <c r="A218" s="16"/>
      <c r="B218" s="4"/>
      <c r="C218" s="4"/>
      <c r="D218" s="5"/>
      <c r="E218" s="5"/>
      <c r="F218" s="4"/>
    </row>
    <row r="219" spans="1:6" ht="16.5">
      <c r="A219" s="16"/>
      <c r="B219" s="4"/>
      <c r="C219" s="4"/>
      <c r="D219" s="5"/>
      <c r="E219" s="5"/>
      <c r="F219" s="4"/>
    </row>
    <row r="220" spans="1:6" ht="16.5">
      <c r="A220" s="16"/>
      <c r="B220" s="4"/>
      <c r="C220" s="4"/>
      <c r="D220" s="5"/>
      <c r="E220" s="5"/>
      <c r="F220" s="4"/>
    </row>
    <row r="221" spans="1:6" ht="16.5">
      <c r="A221" s="16"/>
      <c r="B221" s="4"/>
      <c r="C221" s="4"/>
      <c r="D221" s="5"/>
      <c r="E221" s="5"/>
      <c r="F221" s="4"/>
    </row>
    <row r="222" spans="1:6" ht="16.5">
      <c r="A222" s="16"/>
      <c r="B222" s="4"/>
      <c r="C222" s="4"/>
      <c r="D222" s="5"/>
      <c r="E222" s="5"/>
      <c r="F222" s="4"/>
    </row>
    <row r="223" spans="1:6" ht="16.5">
      <c r="A223" s="16"/>
      <c r="B223" s="4"/>
      <c r="C223" s="4"/>
      <c r="D223" s="5"/>
      <c r="E223" s="5"/>
      <c r="F223" s="4"/>
    </row>
    <row r="224" spans="1:6" ht="16.5">
      <c r="A224" s="16"/>
      <c r="B224" s="4"/>
      <c r="C224" s="4"/>
      <c r="D224" s="5"/>
      <c r="E224" s="5"/>
      <c r="F224" s="4"/>
    </row>
    <row r="225" spans="1:10" ht="16.5">
      <c r="A225" s="16"/>
      <c r="B225" s="4"/>
      <c r="C225" s="4"/>
      <c r="D225" s="5"/>
      <c r="E225" s="5"/>
      <c r="F225" s="4"/>
    </row>
    <row r="226" spans="1:10" s="9" customFormat="1" ht="16.5">
      <c r="A226" s="16"/>
      <c r="B226" s="4"/>
      <c r="C226" s="4"/>
      <c r="D226" s="5"/>
      <c r="E226" s="5"/>
      <c r="G226" s="1"/>
      <c r="H226" s="1"/>
      <c r="I226" s="1"/>
      <c r="J226" s="1"/>
    </row>
    <row r="227" spans="1:10" s="9" customFormat="1" ht="16.5">
      <c r="A227" s="16"/>
      <c r="B227" s="4"/>
      <c r="C227" s="4"/>
      <c r="D227" s="5"/>
      <c r="E227" s="5"/>
      <c r="G227" s="1"/>
      <c r="H227" s="1"/>
      <c r="I227" s="1"/>
      <c r="J227" s="1"/>
    </row>
    <row r="228" spans="1:10" s="9" customFormat="1" ht="16.5">
      <c r="A228" s="16"/>
      <c r="B228" s="4"/>
      <c r="C228" s="4"/>
      <c r="D228" s="5"/>
      <c r="E228" s="5"/>
      <c r="G228" s="1"/>
      <c r="H228" s="1"/>
      <c r="I228" s="1"/>
      <c r="J228" s="1"/>
    </row>
    <row r="229" spans="1:10" s="9" customFormat="1" ht="16.5">
      <c r="A229" s="16"/>
      <c r="B229" s="4"/>
      <c r="C229" s="4"/>
      <c r="D229" s="5"/>
      <c r="E229" s="5"/>
      <c r="G229" s="1"/>
      <c r="H229" s="1"/>
      <c r="I229" s="1"/>
      <c r="J229" s="1"/>
    </row>
    <row r="230" spans="1:10" s="9" customFormat="1" ht="16.5">
      <c r="A230" s="16"/>
      <c r="B230" s="4"/>
      <c r="C230" s="4"/>
      <c r="D230" s="5"/>
      <c r="E230" s="5"/>
      <c r="G230" s="1"/>
      <c r="H230" s="1"/>
      <c r="I230" s="1"/>
      <c r="J230" s="1"/>
    </row>
    <row r="231" spans="1:10" s="9" customFormat="1" ht="16.5">
      <c r="A231" s="16"/>
      <c r="B231" s="4"/>
      <c r="C231" s="4"/>
      <c r="D231" s="5"/>
      <c r="E231" s="5"/>
      <c r="G231" s="1"/>
      <c r="H231" s="1"/>
      <c r="I231" s="1"/>
      <c r="J231" s="1"/>
    </row>
    <row r="232" spans="1:10" s="9" customFormat="1" ht="16.5">
      <c r="A232" s="16"/>
      <c r="B232" s="4"/>
      <c r="C232" s="4"/>
      <c r="D232" s="5"/>
      <c r="E232" s="5"/>
      <c r="G232" s="1"/>
      <c r="H232" s="1"/>
      <c r="I232" s="1"/>
      <c r="J232" s="1"/>
    </row>
    <row r="233" spans="1:10" s="9" customFormat="1" ht="16.5">
      <c r="A233" s="16"/>
      <c r="B233" s="4"/>
      <c r="C233" s="4"/>
      <c r="D233" s="5"/>
      <c r="E233" s="5"/>
      <c r="G233" s="1"/>
      <c r="H233" s="1"/>
      <c r="I233" s="1"/>
      <c r="J233" s="1"/>
    </row>
    <row r="234" spans="1:10" s="9" customFormat="1" ht="16.5">
      <c r="A234" s="16"/>
      <c r="B234" s="4"/>
      <c r="C234" s="4"/>
      <c r="D234" s="5"/>
      <c r="E234" s="5"/>
      <c r="G234" s="1"/>
      <c r="H234" s="1"/>
      <c r="I234" s="1"/>
      <c r="J234" s="1"/>
    </row>
    <row r="235" spans="1:10" s="9" customFormat="1" ht="16.5">
      <c r="A235" s="16"/>
      <c r="B235" s="4"/>
      <c r="C235" s="4"/>
      <c r="D235" s="5"/>
      <c r="E235" s="5"/>
      <c r="G235" s="1"/>
      <c r="H235" s="1"/>
      <c r="I235" s="1"/>
      <c r="J235" s="1"/>
    </row>
    <row r="236" spans="1:10" s="9" customFormat="1" ht="16.5">
      <c r="A236" s="16"/>
      <c r="B236" s="4"/>
      <c r="C236" s="4"/>
      <c r="D236" s="5"/>
      <c r="E236" s="5"/>
      <c r="G236" s="1"/>
      <c r="H236" s="1"/>
      <c r="I236" s="1"/>
      <c r="J236" s="1"/>
    </row>
    <row r="237" spans="1:10" s="9" customFormat="1" ht="16.5">
      <c r="A237" s="16"/>
      <c r="B237" s="4"/>
      <c r="C237" s="4"/>
      <c r="D237" s="5"/>
      <c r="E237" s="5"/>
      <c r="G237" s="1"/>
      <c r="H237" s="1"/>
      <c r="I237" s="1"/>
      <c r="J237" s="1"/>
    </row>
    <row r="238" spans="1:10" s="9" customFormat="1" ht="16.5">
      <c r="A238" s="16"/>
      <c r="B238" s="4"/>
      <c r="C238" s="4"/>
      <c r="D238" s="5"/>
      <c r="E238" s="5"/>
      <c r="G238" s="1"/>
      <c r="H238" s="1"/>
      <c r="I238" s="1"/>
      <c r="J238" s="1"/>
    </row>
    <row r="239" spans="1:10" s="9" customFormat="1" ht="16.5">
      <c r="A239" s="16"/>
      <c r="B239" s="4"/>
      <c r="C239" s="4"/>
      <c r="D239" s="5"/>
      <c r="E239" s="5"/>
      <c r="G239" s="1"/>
      <c r="H239" s="1"/>
      <c r="I239" s="1"/>
      <c r="J239" s="1"/>
    </row>
    <row r="240" spans="1:10" s="9" customFormat="1" ht="16.5">
      <c r="A240" s="16"/>
      <c r="B240" s="4"/>
      <c r="C240" s="4"/>
      <c r="D240" s="5"/>
      <c r="E240" s="5"/>
      <c r="G240" s="1"/>
      <c r="H240" s="1"/>
      <c r="I240" s="1"/>
      <c r="J240" s="1"/>
    </row>
    <row r="241" spans="1:10" s="9" customFormat="1" ht="16.5">
      <c r="A241" s="16"/>
      <c r="B241" s="4"/>
      <c r="C241" s="4"/>
      <c r="D241" s="5"/>
      <c r="E241" s="5"/>
      <c r="G241" s="1"/>
      <c r="H241" s="1"/>
      <c r="I241" s="1"/>
      <c r="J241" s="1"/>
    </row>
    <row r="242" spans="1:10" s="9" customFormat="1" ht="16.5">
      <c r="A242" s="16"/>
      <c r="B242" s="4"/>
      <c r="C242" s="4"/>
      <c r="D242" s="5"/>
      <c r="E242" s="5"/>
      <c r="G242" s="1"/>
      <c r="H242" s="1"/>
      <c r="I242" s="1"/>
      <c r="J242" s="1"/>
    </row>
    <row r="243" spans="1:10" s="9" customFormat="1" ht="16.5">
      <c r="A243" s="16"/>
      <c r="B243" s="4"/>
      <c r="C243" s="4"/>
      <c r="D243" s="5"/>
      <c r="E243" s="5"/>
      <c r="G243" s="1"/>
      <c r="H243" s="1"/>
      <c r="I243" s="1"/>
      <c r="J243" s="1"/>
    </row>
    <row r="244" spans="1:10" s="9" customFormat="1" ht="16.5">
      <c r="A244" s="16"/>
      <c r="B244" s="4"/>
      <c r="C244" s="4"/>
      <c r="D244" s="5"/>
      <c r="E244" s="5"/>
      <c r="G244" s="1"/>
      <c r="H244" s="1"/>
      <c r="I244" s="1"/>
      <c r="J244" s="1"/>
    </row>
    <row r="245" spans="1:10" s="9" customFormat="1" ht="16.5">
      <c r="A245" s="16"/>
      <c r="B245" s="4"/>
      <c r="C245" s="4"/>
      <c r="D245" s="5"/>
      <c r="E245" s="5"/>
      <c r="G245" s="1"/>
      <c r="H245" s="1"/>
      <c r="I245" s="1"/>
      <c r="J245" s="1"/>
    </row>
    <row r="246" spans="1:10" s="9" customFormat="1" ht="16.5">
      <c r="A246" s="16"/>
      <c r="B246" s="4"/>
      <c r="C246" s="4"/>
      <c r="D246" s="5"/>
      <c r="E246" s="5"/>
      <c r="G246" s="1"/>
      <c r="H246" s="1"/>
      <c r="I246" s="1"/>
      <c r="J246" s="1"/>
    </row>
    <row r="247" spans="1:10" s="9" customFormat="1" ht="16.5">
      <c r="A247" s="16"/>
      <c r="B247" s="4"/>
      <c r="C247" s="4"/>
      <c r="D247" s="5"/>
      <c r="E247" s="5"/>
      <c r="G247" s="1"/>
      <c r="H247" s="1"/>
      <c r="I247" s="1"/>
      <c r="J247" s="1"/>
    </row>
    <row r="248" spans="1:10" s="9" customFormat="1" ht="16.5">
      <c r="A248" s="16"/>
      <c r="B248" s="4"/>
      <c r="C248" s="4"/>
      <c r="D248" s="5"/>
      <c r="E248" s="5"/>
      <c r="G248" s="1"/>
      <c r="H248" s="1"/>
      <c r="I248" s="1"/>
      <c r="J248" s="1"/>
    </row>
    <row r="249" spans="1:10" s="9" customFormat="1" ht="16.5">
      <c r="A249" s="16"/>
      <c r="B249" s="4"/>
      <c r="C249" s="4"/>
      <c r="D249" s="5"/>
      <c r="E249" s="5"/>
      <c r="G249" s="1"/>
      <c r="H249" s="1"/>
      <c r="I249" s="1"/>
      <c r="J249" s="1"/>
    </row>
    <row r="250" spans="1:10" s="9" customFormat="1" ht="16.5">
      <c r="A250" s="16"/>
      <c r="B250" s="4"/>
      <c r="C250" s="4"/>
      <c r="D250" s="5"/>
      <c r="E250" s="5"/>
      <c r="G250" s="1"/>
      <c r="H250" s="1"/>
      <c r="I250" s="1"/>
      <c r="J250" s="1"/>
    </row>
    <row r="251" spans="1:10" s="9" customFormat="1" ht="16.5">
      <c r="A251" s="16"/>
      <c r="B251" s="4"/>
      <c r="C251" s="4"/>
      <c r="D251" s="5"/>
      <c r="E251" s="5"/>
      <c r="G251" s="1"/>
      <c r="H251" s="1"/>
      <c r="I251" s="1"/>
      <c r="J251" s="1"/>
    </row>
    <row r="252" spans="1:10" s="9" customFormat="1" ht="16.5">
      <c r="A252" s="16"/>
      <c r="B252" s="4"/>
      <c r="C252" s="4"/>
      <c r="D252" s="5"/>
      <c r="E252" s="5"/>
      <c r="G252" s="1"/>
      <c r="H252" s="1"/>
      <c r="I252" s="1"/>
      <c r="J252" s="1"/>
    </row>
    <row r="253" spans="1:10" s="9" customFormat="1" ht="16.5">
      <c r="A253" s="16"/>
      <c r="B253" s="4"/>
      <c r="C253" s="4"/>
      <c r="D253" s="5"/>
      <c r="E253" s="5"/>
      <c r="G253" s="1"/>
      <c r="H253" s="1"/>
      <c r="I253" s="1"/>
      <c r="J253" s="1"/>
    </row>
    <row r="254" spans="1:10" s="9" customFormat="1" ht="16.5">
      <c r="A254" s="16"/>
      <c r="B254" s="4"/>
      <c r="C254" s="4"/>
      <c r="D254" s="5"/>
      <c r="E254" s="5"/>
      <c r="G254" s="1"/>
      <c r="H254" s="1"/>
      <c r="I254" s="1"/>
      <c r="J254" s="1"/>
    </row>
    <row r="255" spans="1:10" s="9" customFormat="1" ht="16.5">
      <c r="A255" s="16"/>
      <c r="B255" s="4"/>
      <c r="C255" s="4"/>
      <c r="D255" s="5"/>
      <c r="E255" s="5"/>
      <c r="G255" s="1"/>
      <c r="H255" s="1"/>
      <c r="I255" s="1"/>
      <c r="J255" s="1"/>
    </row>
    <row r="256" spans="1:10" s="9" customFormat="1" ht="16.5">
      <c r="A256" s="16"/>
      <c r="B256" s="4"/>
      <c r="C256" s="4"/>
      <c r="D256" s="5"/>
      <c r="E256" s="5"/>
      <c r="G256" s="1"/>
      <c r="H256" s="1"/>
      <c r="I256" s="1"/>
      <c r="J256" s="1"/>
    </row>
    <row r="257" spans="1:10" s="9" customFormat="1" ht="16.5">
      <c r="A257" s="16"/>
      <c r="B257" s="4"/>
      <c r="C257" s="4"/>
      <c r="D257" s="5"/>
      <c r="E257" s="5"/>
      <c r="G257" s="1"/>
      <c r="H257" s="1"/>
      <c r="I257" s="1"/>
      <c r="J257" s="1"/>
    </row>
    <row r="258" spans="1:10" s="9" customFormat="1" ht="16.5">
      <c r="A258" s="16"/>
      <c r="B258" s="4"/>
      <c r="C258" s="4"/>
      <c r="D258" s="5"/>
      <c r="E258" s="5"/>
      <c r="G258" s="1"/>
      <c r="H258" s="1"/>
      <c r="I258" s="1"/>
      <c r="J258" s="1"/>
    </row>
    <row r="259" spans="1:10" s="9" customFormat="1" ht="16.5">
      <c r="A259" s="16"/>
      <c r="B259" s="4"/>
      <c r="C259" s="4"/>
      <c r="D259" s="5"/>
      <c r="E259" s="5"/>
      <c r="G259" s="1"/>
      <c r="H259" s="1"/>
      <c r="I259" s="1"/>
      <c r="J259" s="1"/>
    </row>
    <row r="260" spans="1:10" s="9" customFormat="1" ht="16.5">
      <c r="A260" s="16"/>
      <c r="B260" s="4"/>
      <c r="C260" s="4"/>
      <c r="D260" s="5"/>
      <c r="E260" s="5"/>
      <c r="G260" s="1"/>
      <c r="H260" s="1"/>
      <c r="I260" s="1"/>
      <c r="J260" s="1"/>
    </row>
    <row r="261" spans="1:10" s="9" customFormat="1" ht="16.5">
      <c r="A261" s="16"/>
      <c r="B261" s="4"/>
      <c r="C261" s="4"/>
      <c r="D261" s="5"/>
      <c r="E261" s="5"/>
      <c r="G261" s="1"/>
      <c r="H261" s="1"/>
      <c r="I261" s="1"/>
      <c r="J261" s="1"/>
    </row>
    <row r="262" spans="1:10" s="9" customFormat="1" ht="16.5">
      <c r="A262" s="16"/>
      <c r="B262" s="4"/>
      <c r="C262" s="4"/>
      <c r="D262" s="5"/>
      <c r="E262" s="5"/>
      <c r="G262" s="1"/>
      <c r="H262" s="1"/>
      <c r="I262" s="1"/>
      <c r="J262" s="1"/>
    </row>
    <row r="263" spans="1:10" s="9" customFormat="1" ht="16.5">
      <c r="A263" s="16"/>
      <c r="B263" s="4"/>
      <c r="C263" s="4"/>
      <c r="D263" s="5"/>
      <c r="E263" s="5"/>
      <c r="G263" s="1"/>
      <c r="H263" s="1"/>
      <c r="I263" s="1"/>
      <c r="J263" s="1"/>
    </row>
    <row r="264" spans="1:10" s="9" customFormat="1" ht="16.5">
      <c r="A264" s="16"/>
      <c r="B264" s="4"/>
      <c r="C264" s="4"/>
      <c r="D264" s="5"/>
      <c r="E264" s="5"/>
      <c r="G264" s="1"/>
      <c r="H264" s="1"/>
      <c r="I264" s="1"/>
      <c r="J264" s="1"/>
    </row>
    <row r="265" spans="1:10" s="9" customFormat="1" ht="16.5">
      <c r="A265" s="16"/>
      <c r="B265" s="4"/>
      <c r="C265" s="4"/>
      <c r="D265" s="5"/>
      <c r="E265" s="5"/>
      <c r="G265" s="1"/>
      <c r="H265" s="1"/>
      <c r="I265" s="1"/>
      <c r="J265" s="1"/>
    </row>
    <row r="266" spans="1:10" s="9" customFormat="1" ht="16.5">
      <c r="A266" s="16"/>
      <c r="B266" s="4"/>
      <c r="C266" s="4"/>
      <c r="D266" s="5"/>
      <c r="E266" s="5"/>
      <c r="G266" s="1"/>
      <c r="H266" s="1"/>
      <c r="I266" s="1"/>
      <c r="J266" s="1"/>
    </row>
    <row r="267" spans="1:10" s="9" customFormat="1" ht="16.5">
      <c r="A267" s="16"/>
      <c r="B267" s="4"/>
      <c r="C267" s="4"/>
      <c r="D267" s="5"/>
      <c r="E267" s="5"/>
      <c r="G267" s="1"/>
      <c r="H267" s="1"/>
      <c r="I267" s="1"/>
      <c r="J267" s="1"/>
    </row>
    <row r="268" spans="1:10" s="9" customFormat="1" ht="16.5">
      <c r="A268" s="16"/>
      <c r="B268" s="4"/>
      <c r="C268" s="4"/>
      <c r="D268" s="5"/>
      <c r="E268" s="5"/>
      <c r="G268" s="1"/>
      <c r="H268" s="1"/>
      <c r="I268" s="1"/>
      <c r="J268" s="1"/>
    </row>
    <row r="269" spans="1:10" s="9" customFormat="1" ht="16.5">
      <c r="A269" s="16"/>
      <c r="B269" s="4"/>
      <c r="C269" s="4"/>
      <c r="D269" s="5"/>
      <c r="E269" s="5"/>
      <c r="G269" s="1"/>
      <c r="H269" s="1"/>
      <c r="I269" s="1"/>
      <c r="J269" s="1"/>
    </row>
    <row r="270" spans="1:10" s="9" customFormat="1" ht="16.5">
      <c r="A270" s="16"/>
      <c r="B270" s="4"/>
      <c r="C270" s="4"/>
      <c r="D270" s="5"/>
      <c r="E270" s="5"/>
      <c r="G270" s="1"/>
      <c r="H270" s="1"/>
      <c r="I270" s="1"/>
      <c r="J270" s="1"/>
    </row>
    <row r="271" spans="1:10" s="9" customFormat="1" ht="16.5">
      <c r="A271" s="16"/>
      <c r="B271" s="4"/>
      <c r="C271" s="4"/>
      <c r="D271" s="5"/>
      <c r="E271" s="5"/>
      <c r="G271" s="1"/>
      <c r="H271" s="1"/>
      <c r="I271" s="1"/>
      <c r="J271" s="1"/>
    </row>
    <row r="272" spans="1:10" s="9" customFormat="1" ht="16.5">
      <c r="A272" s="16"/>
      <c r="B272" s="4"/>
      <c r="C272" s="4"/>
      <c r="D272" s="5"/>
      <c r="E272" s="5"/>
      <c r="G272" s="1"/>
      <c r="H272" s="1"/>
      <c r="I272" s="1"/>
      <c r="J272" s="1"/>
    </row>
    <row r="273" spans="1:10" s="9" customFormat="1" ht="16.5">
      <c r="A273" s="16"/>
      <c r="B273" s="4"/>
      <c r="C273" s="4"/>
      <c r="D273" s="5"/>
      <c r="E273" s="5"/>
      <c r="G273" s="1"/>
      <c r="H273" s="1"/>
      <c r="I273" s="1"/>
      <c r="J273" s="1"/>
    </row>
    <row r="274" spans="1:10" s="9" customFormat="1" ht="16.5">
      <c r="A274" s="16"/>
      <c r="B274" s="4"/>
      <c r="C274" s="4"/>
      <c r="D274" s="5"/>
      <c r="E274" s="5"/>
      <c r="G274" s="1"/>
      <c r="H274" s="1"/>
      <c r="I274" s="1"/>
      <c r="J274" s="1"/>
    </row>
    <row r="275" spans="1:10" s="9" customFormat="1" ht="16.5">
      <c r="A275" s="16"/>
      <c r="B275" s="4"/>
      <c r="C275" s="4"/>
      <c r="D275" s="5"/>
      <c r="E275" s="5"/>
      <c r="G275" s="1"/>
      <c r="H275" s="1"/>
      <c r="I275" s="1"/>
      <c r="J275" s="1"/>
    </row>
    <row r="276" spans="1:10" s="9" customFormat="1" ht="16.5">
      <c r="A276" s="16"/>
      <c r="B276" s="4"/>
      <c r="C276" s="4"/>
      <c r="D276" s="5"/>
      <c r="E276" s="5"/>
      <c r="G276" s="1"/>
      <c r="H276" s="1"/>
      <c r="I276" s="1"/>
      <c r="J276" s="1"/>
    </row>
    <row r="277" spans="1:10" s="9" customFormat="1" ht="16.5">
      <c r="A277" s="16"/>
      <c r="B277" s="4"/>
      <c r="C277" s="4"/>
      <c r="D277" s="5"/>
      <c r="E277" s="5"/>
      <c r="G277" s="1"/>
      <c r="H277" s="1"/>
      <c r="I277" s="1"/>
      <c r="J277" s="1"/>
    </row>
    <row r="278" spans="1:10" s="9" customFormat="1" ht="16.5">
      <c r="A278" s="16"/>
      <c r="B278" s="4"/>
      <c r="C278" s="4"/>
      <c r="D278" s="5"/>
      <c r="E278" s="5"/>
      <c r="G278" s="1"/>
      <c r="H278" s="1"/>
      <c r="I278" s="1"/>
      <c r="J278" s="1"/>
    </row>
    <row r="279" spans="1:10" s="9" customFormat="1" ht="16.5">
      <c r="A279" s="16"/>
      <c r="B279" s="4"/>
      <c r="C279" s="4"/>
      <c r="D279" s="5"/>
      <c r="E279" s="5"/>
      <c r="G279" s="1"/>
      <c r="H279" s="1"/>
      <c r="I279" s="1"/>
      <c r="J279" s="1"/>
    </row>
    <row r="280" spans="1:10" s="9" customFormat="1" ht="16.5">
      <c r="A280" s="16"/>
      <c r="B280" s="4"/>
      <c r="C280" s="4"/>
      <c r="D280" s="5"/>
      <c r="E280" s="5"/>
      <c r="G280" s="1"/>
      <c r="H280" s="1"/>
      <c r="I280" s="1"/>
      <c r="J280" s="1"/>
    </row>
    <row r="281" spans="1:10" s="9" customFormat="1" ht="16.5">
      <c r="A281" s="16"/>
      <c r="B281" s="4"/>
      <c r="C281" s="4"/>
      <c r="D281" s="5"/>
      <c r="E281" s="5"/>
      <c r="G281" s="1"/>
      <c r="H281" s="1"/>
      <c r="I281" s="1"/>
      <c r="J281" s="1"/>
    </row>
    <row r="282" spans="1:10" s="9" customFormat="1" ht="16.5">
      <c r="A282" s="16"/>
      <c r="B282" s="4"/>
      <c r="C282" s="4"/>
      <c r="D282" s="5"/>
      <c r="E282" s="5"/>
      <c r="G282" s="1"/>
      <c r="H282" s="1"/>
      <c r="I282" s="1"/>
      <c r="J282" s="1"/>
    </row>
    <row r="283" spans="1:10" s="9" customFormat="1" ht="16.5">
      <c r="A283" s="16"/>
      <c r="B283" s="4"/>
      <c r="C283" s="4"/>
      <c r="D283" s="5"/>
      <c r="E283" s="5"/>
      <c r="G283" s="1"/>
      <c r="H283" s="1"/>
      <c r="I283" s="1"/>
      <c r="J283" s="1"/>
    </row>
    <row r="284" spans="1:10" s="9" customFormat="1" ht="16.5">
      <c r="A284" s="16"/>
      <c r="B284" s="4"/>
      <c r="C284" s="4"/>
      <c r="D284" s="5"/>
      <c r="E284" s="5"/>
      <c r="G284" s="1"/>
      <c r="H284" s="1"/>
      <c r="I284" s="1"/>
      <c r="J284" s="1"/>
    </row>
    <row r="285" spans="1:10" s="9" customFormat="1" ht="16.5">
      <c r="A285" s="16"/>
      <c r="B285" s="4"/>
      <c r="C285" s="4"/>
      <c r="D285" s="5"/>
      <c r="E285" s="5"/>
      <c r="G285" s="1"/>
      <c r="H285" s="1"/>
      <c r="I285" s="1"/>
      <c r="J285" s="1"/>
    </row>
    <row r="286" spans="1:10" s="9" customFormat="1" ht="16.5">
      <c r="A286" s="16"/>
      <c r="B286" s="4"/>
      <c r="C286" s="4"/>
      <c r="D286" s="5"/>
      <c r="E286" s="5"/>
      <c r="G286" s="1"/>
      <c r="H286" s="1"/>
      <c r="I286" s="1"/>
      <c r="J286" s="1"/>
    </row>
    <row r="287" spans="1:10" s="9" customFormat="1" ht="16.5">
      <c r="A287" s="16"/>
      <c r="B287" s="4"/>
      <c r="C287" s="4"/>
      <c r="D287" s="5"/>
      <c r="E287" s="5"/>
      <c r="G287" s="1"/>
      <c r="H287" s="1"/>
      <c r="I287" s="1"/>
      <c r="J287" s="1"/>
    </row>
    <row r="288" spans="1:10" s="9" customFormat="1" ht="16.5">
      <c r="A288" s="16"/>
      <c r="B288" s="4"/>
      <c r="C288" s="4"/>
      <c r="D288" s="5"/>
      <c r="E288" s="5"/>
      <c r="G288" s="1"/>
      <c r="H288" s="1"/>
      <c r="I288" s="1"/>
      <c r="J288" s="1"/>
    </row>
    <row r="289" spans="1:10" s="9" customFormat="1" ht="16.5">
      <c r="A289" s="16"/>
      <c r="B289" s="4"/>
      <c r="C289" s="4"/>
      <c r="D289" s="5"/>
      <c r="E289" s="5"/>
      <c r="G289" s="1"/>
      <c r="H289" s="1"/>
      <c r="I289" s="1"/>
      <c r="J289" s="1"/>
    </row>
    <row r="290" spans="1:10" s="9" customFormat="1" ht="16.5">
      <c r="A290" s="16"/>
      <c r="B290" s="4"/>
      <c r="C290" s="4"/>
      <c r="D290" s="5"/>
      <c r="E290" s="5"/>
      <c r="G290" s="1"/>
      <c r="H290" s="1"/>
      <c r="I290" s="1"/>
      <c r="J290" s="1"/>
    </row>
    <row r="291" spans="1:10" s="9" customFormat="1" ht="16.5">
      <c r="A291" s="16"/>
      <c r="B291" s="4"/>
      <c r="C291" s="4"/>
      <c r="D291" s="5"/>
      <c r="E291" s="5"/>
      <c r="G291" s="1"/>
      <c r="H291" s="1"/>
      <c r="I291" s="1"/>
      <c r="J291" s="1"/>
    </row>
    <row r="292" spans="1:10" s="9" customFormat="1" ht="16.5">
      <c r="A292" s="16"/>
      <c r="B292" s="4"/>
      <c r="C292" s="4"/>
      <c r="D292" s="5"/>
      <c r="E292" s="5"/>
      <c r="G292" s="1"/>
      <c r="H292" s="1"/>
      <c r="I292" s="1"/>
      <c r="J292" s="1"/>
    </row>
    <row r="293" spans="1:10" s="9" customFormat="1" ht="16.5">
      <c r="A293" s="16"/>
      <c r="B293" s="4"/>
      <c r="C293" s="4"/>
      <c r="D293" s="5"/>
      <c r="E293" s="5"/>
      <c r="G293" s="1"/>
      <c r="H293" s="1"/>
      <c r="I293" s="1"/>
      <c r="J293" s="1"/>
    </row>
    <row r="294" spans="1:10" s="9" customFormat="1" ht="16.5">
      <c r="A294" s="16"/>
      <c r="B294" s="4"/>
      <c r="C294" s="4"/>
      <c r="D294" s="5"/>
      <c r="E294" s="5"/>
      <c r="G294" s="1"/>
      <c r="H294" s="1"/>
      <c r="I294" s="1"/>
      <c r="J294" s="1"/>
    </row>
    <row r="295" spans="1:10" s="9" customFormat="1" ht="16.5">
      <c r="A295" s="16"/>
      <c r="B295" s="4"/>
      <c r="C295" s="4"/>
      <c r="D295" s="5"/>
      <c r="E295" s="5"/>
      <c r="G295" s="1"/>
      <c r="H295" s="1"/>
      <c r="I295" s="1"/>
      <c r="J295" s="1"/>
    </row>
    <row r="296" spans="1:10" s="9" customFormat="1" ht="16.5">
      <c r="A296" s="16"/>
      <c r="B296" s="4"/>
      <c r="C296" s="4"/>
      <c r="D296" s="5"/>
      <c r="E296" s="5"/>
      <c r="G296" s="1"/>
      <c r="H296" s="1"/>
      <c r="I296" s="1"/>
      <c r="J296" s="1"/>
    </row>
    <row r="297" spans="1:10" s="9" customFormat="1" ht="16.5">
      <c r="A297" s="16"/>
      <c r="B297" s="4"/>
      <c r="C297" s="4"/>
      <c r="D297" s="5"/>
      <c r="E297" s="5"/>
      <c r="G297" s="1"/>
      <c r="H297" s="1"/>
      <c r="I297" s="1"/>
      <c r="J297" s="1"/>
    </row>
    <row r="298" spans="1:10" s="9" customFormat="1" ht="16.5">
      <c r="A298" s="16"/>
      <c r="B298" s="4"/>
      <c r="C298" s="4"/>
      <c r="D298" s="5"/>
      <c r="E298" s="5"/>
      <c r="G298" s="1"/>
      <c r="H298" s="1"/>
      <c r="I298" s="1"/>
      <c r="J298" s="1"/>
    </row>
    <row r="299" spans="1:10" s="9" customFormat="1" ht="16.5">
      <c r="A299" s="16"/>
      <c r="B299" s="4"/>
      <c r="C299" s="4"/>
      <c r="D299" s="5"/>
      <c r="E299" s="5"/>
      <c r="G299" s="1"/>
      <c r="H299" s="1"/>
      <c r="I299" s="1"/>
      <c r="J299" s="1"/>
    </row>
    <row r="300" spans="1:10" s="9" customFormat="1" ht="16.5">
      <c r="A300" s="16"/>
      <c r="B300" s="4"/>
      <c r="C300" s="4"/>
      <c r="D300" s="5"/>
      <c r="E300" s="5"/>
      <c r="G300" s="1"/>
      <c r="H300" s="1"/>
      <c r="I300" s="1"/>
      <c r="J300" s="1"/>
    </row>
    <row r="301" spans="1:10" s="9" customFormat="1" ht="16.5">
      <c r="A301" s="16"/>
      <c r="B301" s="4"/>
      <c r="C301" s="4"/>
      <c r="D301" s="5"/>
      <c r="E301" s="5"/>
      <c r="G301" s="1"/>
      <c r="H301" s="1"/>
      <c r="I301" s="1"/>
      <c r="J301" s="1"/>
    </row>
    <row r="302" spans="1:10" s="9" customFormat="1" ht="16.5">
      <c r="A302" s="16"/>
      <c r="B302" s="4"/>
      <c r="C302" s="4"/>
      <c r="D302" s="5"/>
      <c r="E302" s="5"/>
      <c r="G302" s="1"/>
      <c r="H302" s="1"/>
      <c r="I302" s="1"/>
      <c r="J302" s="1"/>
    </row>
    <row r="303" spans="1:10" s="9" customFormat="1" ht="16.5">
      <c r="A303" s="16"/>
      <c r="B303" s="4"/>
      <c r="C303" s="4"/>
      <c r="D303" s="5"/>
      <c r="E303" s="5"/>
      <c r="G303" s="1"/>
      <c r="H303" s="1"/>
      <c r="I303" s="1"/>
      <c r="J303" s="1"/>
    </row>
    <row r="304" spans="1:10" s="9" customFormat="1" ht="16.5">
      <c r="A304" s="16"/>
      <c r="B304" s="4"/>
      <c r="C304" s="4"/>
      <c r="D304" s="5"/>
      <c r="E304" s="5"/>
      <c r="G304" s="1"/>
      <c r="H304" s="1"/>
      <c r="I304" s="1"/>
      <c r="J304" s="1"/>
    </row>
    <row r="305" spans="1:10" s="9" customFormat="1" ht="16.5">
      <c r="A305" s="16"/>
      <c r="B305" s="4"/>
      <c r="C305" s="4"/>
      <c r="D305" s="5"/>
      <c r="E305" s="5"/>
      <c r="G305" s="1"/>
      <c r="H305" s="1"/>
      <c r="I305" s="1"/>
      <c r="J305" s="1"/>
    </row>
    <row r="306" spans="1:10" s="9" customFormat="1" ht="16.5">
      <c r="A306" s="16"/>
      <c r="B306" s="4"/>
      <c r="C306" s="4"/>
      <c r="D306" s="5"/>
      <c r="E306" s="5"/>
      <c r="G306" s="1"/>
      <c r="H306" s="1"/>
      <c r="I306" s="1"/>
      <c r="J306" s="1"/>
    </row>
    <row r="307" spans="1:10" s="9" customFormat="1" ht="16.5">
      <c r="A307" s="16"/>
      <c r="B307" s="4"/>
      <c r="C307" s="4"/>
      <c r="D307" s="5"/>
      <c r="E307" s="5"/>
      <c r="G307" s="1"/>
      <c r="H307" s="1"/>
      <c r="I307" s="1"/>
      <c r="J307" s="1"/>
    </row>
    <row r="308" spans="1:10" s="9" customFormat="1" ht="16.5">
      <c r="A308" s="16"/>
      <c r="B308" s="4"/>
      <c r="C308" s="4"/>
      <c r="D308" s="5"/>
      <c r="E308" s="5"/>
      <c r="G308" s="1"/>
      <c r="H308" s="1"/>
      <c r="I308" s="1"/>
      <c r="J308" s="1"/>
    </row>
    <row r="309" spans="1:10" s="9" customFormat="1" ht="16.5">
      <c r="A309" s="16"/>
      <c r="B309" s="4"/>
      <c r="C309" s="4"/>
      <c r="D309" s="5"/>
      <c r="E309" s="5"/>
      <c r="G309" s="1"/>
      <c r="H309" s="1"/>
      <c r="I309" s="1"/>
      <c r="J309" s="1"/>
    </row>
    <row r="310" spans="1:10" s="9" customFormat="1" ht="16.5">
      <c r="A310" s="16"/>
      <c r="B310" s="4"/>
      <c r="C310" s="4"/>
      <c r="D310" s="5"/>
      <c r="E310" s="5"/>
      <c r="G310" s="1"/>
      <c r="H310" s="1"/>
      <c r="I310" s="1"/>
      <c r="J310" s="1"/>
    </row>
    <row r="311" spans="1:10" s="9" customFormat="1" ht="16.5">
      <c r="A311" s="16"/>
      <c r="B311" s="4"/>
      <c r="C311" s="4"/>
      <c r="D311" s="5"/>
      <c r="E311" s="5"/>
      <c r="G311" s="1"/>
      <c r="H311" s="1"/>
      <c r="I311" s="1"/>
      <c r="J311" s="1"/>
    </row>
    <row r="312" spans="1:10" s="9" customFormat="1">
      <c r="A312" s="17"/>
      <c r="B312" s="6"/>
      <c r="D312" s="10"/>
      <c r="E312" s="10"/>
      <c r="G312" s="1"/>
      <c r="H312" s="1"/>
      <c r="I312" s="1"/>
      <c r="J312" s="1"/>
    </row>
    <row r="313" spans="1:10" s="9" customFormat="1">
      <c r="A313" s="17"/>
      <c r="B313" s="6"/>
      <c r="D313" s="10"/>
      <c r="E313" s="10"/>
      <c r="G313" s="1"/>
      <c r="H313" s="1"/>
      <c r="I313" s="1"/>
      <c r="J313" s="1"/>
    </row>
    <row r="314" spans="1:10" s="9" customFormat="1">
      <c r="A314" s="17"/>
      <c r="B314" s="6"/>
      <c r="D314" s="10"/>
      <c r="E314" s="10"/>
      <c r="G314" s="1"/>
      <c r="H314" s="1"/>
      <c r="I314" s="1"/>
      <c r="J314" s="1"/>
    </row>
    <row r="315" spans="1:10" s="9" customFormat="1">
      <c r="A315" s="17"/>
      <c r="B315" s="6"/>
      <c r="D315" s="10"/>
      <c r="E315" s="10"/>
      <c r="G315" s="1"/>
      <c r="H315" s="1"/>
      <c r="I315" s="1"/>
      <c r="J315" s="1"/>
    </row>
    <row r="316" spans="1:10" s="9" customFormat="1">
      <c r="A316" s="17"/>
      <c r="B316" s="6"/>
      <c r="D316" s="10"/>
      <c r="E316" s="10"/>
      <c r="G316" s="1"/>
      <c r="H316" s="1"/>
      <c r="I316" s="1"/>
      <c r="J316" s="1"/>
    </row>
    <row r="317" spans="1:10" s="9" customFormat="1">
      <c r="A317" s="17"/>
      <c r="B317" s="6"/>
      <c r="D317" s="10"/>
      <c r="E317" s="10"/>
      <c r="G317" s="1"/>
      <c r="H317" s="1"/>
      <c r="I317" s="1"/>
      <c r="J317" s="1"/>
    </row>
    <row r="318" spans="1:10" s="9" customFormat="1">
      <c r="A318" s="17"/>
      <c r="B318" s="6"/>
      <c r="D318" s="10"/>
      <c r="E318" s="10"/>
      <c r="G318" s="1"/>
      <c r="H318" s="1"/>
      <c r="I318" s="1"/>
      <c r="J318" s="1"/>
    </row>
    <row r="319" spans="1:10" s="9" customFormat="1">
      <c r="A319" s="17"/>
      <c r="B319" s="6"/>
      <c r="D319" s="10"/>
      <c r="E319" s="10"/>
      <c r="G319" s="1"/>
      <c r="H319" s="1"/>
      <c r="I319" s="1"/>
      <c r="J319" s="1"/>
    </row>
    <row r="320" spans="1:10" s="9" customFormat="1">
      <c r="A320" s="17"/>
      <c r="B320" s="6"/>
      <c r="D320" s="10"/>
      <c r="E320" s="10"/>
      <c r="G320" s="1"/>
      <c r="H320" s="1"/>
      <c r="I320" s="1"/>
      <c r="J320" s="1"/>
    </row>
    <row r="321" spans="1:10" s="9" customFormat="1">
      <c r="A321" s="17"/>
      <c r="B321" s="6"/>
      <c r="D321" s="10"/>
      <c r="E321" s="10"/>
      <c r="G321" s="1"/>
      <c r="H321" s="1"/>
      <c r="I321" s="1"/>
      <c r="J321" s="1"/>
    </row>
    <row r="322" spans="1:10" s="6" customFormat="1">
      <c r="A322" s="17"/>
      <c r="C322" s="9"/>
      <c r="D322" s="10"/>
      <c r="E322" s="10"/>
      <c r="F322" s="9"/>
      <c r="G322" s="1"/>
      <c r="H322" s="1"/>
      <c r="I322" s="1"/>
      <c r="J322" s="1"/>
    </row>
    <row r="323" spans="1:10" s="6" customFormat="1">
      <c r="A323" s="17"/>
      <c r="C323" s="9"/>
      <c r="D323" s="10"/>
      <c r="E323" s="10"/>
      <c r="F323" s="9"/>
      <c r="G323" s="1"/>
      <c r="H323" s="1"/>
      <c r="I323" s="1"/>
      <c r="J323" s="1"/>
    </row>
    <row r="324" spans="1:10" s="6" customFormat="1">
      <c r="A324" s="17"/>
      <c r="C324" s="9"/>
      <c r="D324" s="10"/>
      <c r="E324" s="10"/>
      <c r="F324" s="9"/>
      <c r="G324" s="1"/>
      <c r="H324" s="1"/>
      <c r="I324" s="1"/>
      <c r="J324" s="1"/>
    </row>
    <row r="325" spans="1:10" s="6" customFormat="1">
      <c r="A325" s="17"/>
      <c r="C325" s="9"/>
      <c r="D325" s="10"/>
      <c r="E325" s="10"/>
      <c r="F325" s="9"/>
      <c r="G325" s="1"/>
      <c r="H325" s="1"/>
      <c r="I325" s="1"/>
      <c r="J325" s="1"/>
    </row>
    <row r="326" spans="1:10" s="6" customFormat="1">
      <c r="A326" s="17"/>
      <c r="C326" s="9"/>
      <c r="D326" s="10"/>
      <c r="E326" s="10"/>
      <c r="F326" s="9"/>
      <c r="G326" s="1"/>
      <c r="H326" s="1"/>
      <c r="I326" s="1"/>
      <c r="J326" s="1"/>
    </row>
    <row r="327" spans="1:10" s="6" customFormat="1">
      <c r="A327" s="17"/>
      <c r="C327" s="9"/>
      <c r="D327" s="10"/>
      <c r="E327" s="10"/>
      <c r="F327" s="9"/>
      <c r="G327" s="1"/>
      <c r="H327" s="1"/>
      <c r="I327" s="1"/>
      <c r="J327" s="1"/>
    </row>
    <row r="328" spans="1:10" s="6" customFormat="1">
      <c r="A328" s="17"/>
      <c r="C328" s="9"/>
      <c r="D328" s="10"/>
      <c r="E328" s="10"/>
      <c r="F328" s="9"/>
      <c r="G328" s="1"/>
      <c r="H328" s="1"/>
      <c r="I328" s="1"/>
      <c r="J328" s="1"/>
    </row>
    <row r="329" spans="1:10" s="6" customFormat="1">
      <c r="A329" s="17"/>
      <c r="C329" s="9"/>
      <c r="D329" s="10"/>
      <c r="E329" s="10"/>
      <c r="F329" s="9"/>
      <c r="G329" s="1"/>
      <c r="H329" s="1"/>
      <c r="I329" s="1"/>
      <c r="J329" s="1"/>
    </row>
    <row r="330" spans="1:10" s="6" customFormat="1">
      <c r="A330" s="17"/>
      <c r="C330" s="9"/>
      <c r="D330" s="10"/>
      <c r="E330" s="10"/>
      <c r="F330" s="9"/>
      <c r="G330" s="1"/>
      <c r="H330" s="1"/>
      <c r="I330" s="1"/>
      <c r="J330" s="1"/>
    </row>
    <row r="331" spans="1:10" s="6" customFormat="1">
      <c r="A331" s="17"/>
      <c r="C331" s="9"/>
      <c r="D331" s="10"/>
      <c r="E331" s="10"/>
      <c r="F331" s="9"/>
      <c r="G331" s="1"/>
      <c r="H331" s="1"/>
      <c r="I331" s="1"/>
      <c r="J331" s="1"/>
    </row>
    <row r="332" spans="1:10" s="6" customFormat="1">
      <c r="A332" s="17"/>
      <c r="C332" s="9"/>
      <c r="D332" s="10"/>
      <c r="E332" s="10"/>
      <c r="F332" s="9"/>
      <c r="G332" s="1"/>
      <c r="H332" s="1"/>
      <c r="I332" s="1"/>
      <c r="J332" s="1"/>
    </row>
    <row r="333" spans="1:10" s="6" customFormat="1">
      <c r="A333" s="17"/>
      <c r="C333" s="9"/>
      <c r="D333" s="10"/>
      <c r="E333" s="10"/>
      <c r="F333" s="9"/>
      <c r="G333" s="1"/>
      <c r="H333" s="1"/>
      <c r="I333" s="1"/>
      <c r="J333" s="1"/>
    </row>
    <row r="334" spans="1:10" s="6" customFormat="1">
      <c r="A334" s="17"/>
      <c r="C334" s="9"/>
      <c r="D334" s="10"/>
      <c r="E334" s="10"/>
      <c r="F334" s="9"/>
      <c r="G334" s="1"/>
      <c r="H334" s="1"/>
      <c r="I334" s="1"/>
      <c r="J334" s="1"/>
    </row>
    <row r="335" spans="1:10" s="6" customFormat="1">
      <c r="A335" s="17"/>
      <c r="C335" s="9"/>
      <c r="D335" s="10"/>
      <c r="E335" s="10"/>
      <c r="F335" s="9"/>
      <c r="G335" s="1"/>
      <c r="H335" s="1"/>
      <c r="I335" s="1"/>
      <c r="J335" s="1"/>
    </row>
    <row r="336" spans="1:10" s="6" customFormat="1">
      <c r="A336" s="17"/>
      <c r="C336" s="9"/>
      <c r="D336" s="10"/>
      <c r="E336" s="10"/>
      <c r="F336" s="9"/>
      <c r="G336" s="1"/>
      <c r="H336" s="1"/>
      <c r="I336" s="1"/>
      <c r="J336" s="1"/>
    </row>
    <row r="337" spans="1:10" s="6" customFormat="1">
      <c r="A337" s="17"/>
      <c r="C337" s="9"/>
      <c r="D337" s="10"/>
      <c r="E337" s="10"/>
      <c r="F337" s="9"/>
      <c r="G337" s="1"/>
      <c r="H337" s="1"/>
      <c r="I337" s="1"/>
      <c r="J337" s="1"/>
    </row>
    <row r="338" spans="1:10" s="6" customFormat="1">
      <c r="A338" s="17"/>
      <c r="C338" s="9"/>
      <c r="D338" s="10"/>
      <c r="E338" s="10"/>
      <c r="F338" s="9"/>
      <c r="G338" s="1"/>
      <c r="H338" s="1"/>
      <c r="I338" s="1"/>
      <c r="J338" s="1"/>
    </row>
    <row r="339" spans="1:10" s="6" customFormat="1">
      <c r="A339" s="17"/>
      <c r="C339" s="9"/>
      <c r="D339" s="10"/>
      <c r="E339" s="10"/>
      <c r="F339" s="9"/>
      <c r="G339" s="1"/>
      <c r="H339" s="1"/>
      <c r="I339" s="1"/>
      <c r="J339" s="1"/>
    </row>
    <row r="340" spans="1:10" s="6" customFormat="1">
      <c r="A340" s="17"/>
      <c r="C340" s="9"/>
      <c r="D340" s="10"/>
      <c r="E340" s="10"/>
      <c r="F340" s="9"/>
      <c r="G340" s="1"/>
      <c r="H340" s="1"/>
      <c r="I340" s="1"/>
      <c r="J340" s="1"/>
    </row>
    <row r="341" spans="1:10" s="6" customFormat="1">
      <c r="A341" s="17"/>
      <c r="C341" s="9"/>
      <c r="D341" s="10"/>
      <c r="E341" s="10"/>
      <c r="F341" s="9"/>
      <c r="G341" s="1"/>
      <c r="H341" s="1"/>
      <c r="I341" s="1"/>
      <c r="J341" s="1"/>
    </row>
    <row r="342" spans="1:10" s="6" customFormat="1">
      <c r="A342" s="17"/>
      <c r="C342" s="9"/>
      <c r="D342" s="10"/>
      <c r="E342" s="10"/>
      <c r="F342" s="9"/>
      <c r="G342" s="1"/>
      <c r="H342" s="1"/>
      <c r="I342" s="1"/>
      <c r="J342" s="1"/>
    </row>
    <row r="343" spans="1:10" s="6" customFormat="1">
      <c r="A343" s="17"/>
      <c r="C343" s="9"/>
      <c r="D343" s="10"/>
      <c r="E343" s="10"/>
      <c r="F343" s="9"/>
      <c r="G343" s="1"/>
      <c r="H343" s="1"/>
      <c r="I343" s="1"/>
      <c r="J343" s="1"/>
    </row>
    <row r="344" spans="1:10" s="6" customFormat="1">
      <c r="A344" s="17"/>
      <c r="C344" s="9"/>
      <c r="D344" s="10"/>
      <c r="E344" s="10"/>
      <c r="F344" s="9"/>
      <c r="G344" s="1"/>
      <c r="H344" s="1"/>
      <c r="I344" s="1"/>
      <c r="J344" s="1"/>
    </row>
    <row r="345" spans="1:10" s="6" customFormat="1">
      <c r="A345" s="17"/>
      <c r="C345" s="9"/>
      <c r="D345" s="10"/>
      <c r="E345" s="10"/>
      <c r="F345" s="9"/>
      <c r="G345" s="1"/>
      <c r="H345" s="1"/>
      <c r="I345" s="1"/>
      <c r="J345" s="1"/>
    </row>
    <row r="346" spans="1:10" s="6" customFormat="1">
      <c r="A346" s="17"/>
      <c r="C346" s="9"/>
      <c r="D346" s="10"/>
      <c r="E346" s="10"/>
      <c r="F346" s="9"/>
      <c r="G346" s="1"/>
      <c r="H346" s="1"/>
      <c r="I346" s="1"/>
      <c r="J346" s="1"/>
    </row>
    <row r="347" spans="1:10" s="6" customFormat="1">
      <c r="A347" s="17"/>
      <c r="C347" s="9"/>
      <c r="D347" s="10"/>
      <c r="E347" s="10"/>
      <c r="F347" s="9"/>
      <c r="G347" s="1"/>
      <c r="H347" s="1"/>
      <c r="I347" s="1"/>
      <c r="J347" s="1"/>
    </row>
    <row r="348" spans="1:10" s="6" customFormat="1">
      <c r="A348" s="17"/>
      <c r="C348" s="9"/>
      <c r="D348" s="10"/>
      <c r="E348" s="10"/>
      <c r="F348" s="9"/>
      <c r="G348" s="1"/>
      <c r="H348" s="1"/>
      <c r="I348" s="1"/>
      <c r="J348" s="1"/>
    </row>
    <row r="349" spans="1:10" s="6" customFormat="1">
      <c r="A349" s="17"/>
      <c r="C349" s="9"/>
      <c r="D349" s="10"/>
      <c r="E349" s="10"/>
      <c r="F349" s="9"/>
      <c r="G349" s="1"/>
      <c r="H349" s="1"/>
      <c r="I349" s="1"/>
      <c r="J349" s="1"/>
    </row>
    <row r="350" spans="1:10" s="6" customFormat="1">
      <c r="A350" s="17"/>
      <c r="C350" s="9"/>
      <c r="D350" s="10"/>
      <c r="E350" s="10"/>
      <c r="F350" s="9"/>
      <c r="G350" s="1"/>
      <c r="H350" s="1"/>
      <c r="I350" s="1"/>
      <c r="J350" s="1"/>
    </row>
    <row r="351" spans="1:10" s="6" customFormat="1">
      <c r="A351" s="17"/>
      <c r="C351" s="9"/>
      <c r="D351" s="10"/>
      <c r="E351" s="10"/>
      <c r="F351" s="9"/>
      <c r="G351" s="1"/>
      <c r="H351" s="1"/>
      <c r="I351" s="1"/>
      <c r="J351" s="1"/>
    </row>
    <row r="352" spans="1:10" s="6" customFormat="1">
      <c r="A352" s="17"/>
      <c r="C352" s="9"/>
      <c r="D352" s="10"/>
      <c r="E352" s="10"/>
      <c r="F352" s="9"/>
      <c r="G352" s="1"/>
      <c r="H352" s="1"/>
      <c r="I352" s="1"/>
      <c r="J352" s="1"/>
    </row>
    <row r="353" spans="1:10" s="6" customFormat="1">
      <c r="A353" s="17"/>
      <c r="C353" s="9"/>
      <c r="D353" s="10"/>
      <c r="E353" s="10"/>
      <c r="F353" s="9"/>
      <c r="G353" s="1"/>
      <c r="H353" s="1"/>
      <c r="I353" s="1"/>
      <c r="J353" s="1"/>
    </row>
    <row r="354" spans="1:10" s="6" customFormat="1">
      <c r="A354" s="17"/>
      <c r="C354" s="9"/>
      <c r="D354" s="10"/>
      <c r="E354" s="10"/>
      <c r="F354" s="9"/>
      <c r="G354" s="1"/>
      <c r="H354" s="1"/>
      <c r="I354" s="1"/>
      <c r="J354" s="1"/>
    </row>
    <row r="355" spans="1:10" s="6" customFormat="1">
      <c r="A355" s="17"/>
      <c r="C355" s="9"/>
      <c r="D355" s="10"/>
      <c r="E355" s="10"/>
      <c r="F355" s="9"/>
      <c r="G355" s="1"/>
      <c r="H355" s="1"/>
      <c r="I355" s="1"/>
      <c r="J355" s="1"/>
    </row>
    <row r="356" spans="1:10" s="6" customFormat="1">
      <c r="A356" s="17"/>
      <c r="C356" s="9"/>
      <c r="D356" s="10"/>
      <c r="E356" s="10"/>
      <c r="F356" s="9"/>
      <c r="G356" s="1"/>
      <c r="H356" s="1"/>
      <c r="I356" s="1"/>
      <c r="J356" s="1"/>
    </row>
    <row r="357" spans="1:10" s="6" customFormat="1">
      <c r="A357" s="17"/>
      <c r="C357" s="9"/>
      <c r="D357" s="10"/>
      <c r="E357" s="10"/>
      <c r="F357" s="9"/>
      <c r="G357" s="1"/>
      <c r="H357" s="1"/>
      <c r="I357" s="1"/>
      <c r="J357" s="1"/>
    </row>
    <row r="358" spans="1:10" s="6" customFormat="1">
      <c r="A358" s="17"/>
      <c r="C358" s="9"/>
      <c r="D358" s="10"/>
      <c r="E358" s="10"/>
      <c r="F358" s="9"/>
      <c r="G358" s="1"/>
      <c r="H358" s="1"/>
      <c r="I358" s="1"/>
      <c r="J358" s="1"/>
    </row>
    <row r="359" spans="1:10" s="6" customFormat="1">
      <c r="A359" s="17"/>
      <c r="C359" s="9"/>
      <c r="D359" s="10"/>
      <c r="E359" s="10"/>
      <c r="F359" s="9"/>
      <c r="G359" s="1"/>
      <c r="H359" s="1"/>
      <c r="I359" s="1"/>
      <c r="J359" s="1"/>
    </row>
    <row r="360" spans="1:10" s="6" customFormat="1">
      <c r="A360" s="17"/>
      <c r="C360" s="9"/>
      <c r="D360" s="10"/>
      <c r="E360" s="10"/>
      <c r="F360" s="9"/>
      <c r="G360" s="1"/>
      <c r="H360" s="1"/>
      <c r="I360" s="1"/>
      <c r="J360" s="1"/>
    </row>
    <row r="361" spans="1:10" s="6" customFormat="1">
      <c r="A361" s="17"/>
      <c r="C361" s="9"/>
      <c r="D361" s="10"/>
      <c r="E361" s="10"/>
      <c r="F361" s="9"/>
      <c r="G361" s="1"/>
      <c r="H361" s="1"/>
      <c r="I361" s="1"/>
      <c r="J361" s="1"/>
    </row>
    <row r="362" spans="1:10" s="6" customFormat="1">
      <c r="A362" s="17"/>
      <c r="C362" s="9"/>
      <c r="D362" s="10"/>
      <c r="E362" s="10"/>
      <c r="F362" s="9"/>
      <c r="G362" s="1"/>
      <c r="H362" s="1"/>
      <c r="I362" s="1"/>
      <c r="J362" s="1"/>
    </row>
    <row r="363" spans="1:10" s="6" customFormat="1">
      <c r="A363" s="17"/>
      <c r="C363" s="9"/>
      <c r="D363" s="10"/>
      <c r="E363" s="10"/>
      <c r="F363" s="9"/>
      <c r="G363" s="1"/>
      <c r="H363" s="1"/>
      <c r="I363" s="1"/>
      <c r="J363" s="1"/>
    </row>
    <row r="364" spans="1:10" s="6" customFormat="1">
      <c r="A364" s="17"/>
      <c r="C364" s="9"/>
      <c r="D364" s="10"/>
      <c r="E364" s="10"/>
      <c r="F364" s="9"/>
      <c r="G364" s="1"/>
      <c r="H364" s="1"/>
      <c r="I364" s="1"/>
      <c r="J364" s="1"/>
    </row>
    <row r="365" spans="1:10" s="6" customFormat="1">
      <c r="A365" s="17"/>
      <c r="C365" s="9"/>
      <c r="D365" s="10"/>
      <c r="E365" s="10"/>
      <c r="F365" s="9"/>
      <c r="G365" s="1"/>
      <c r="H365" s="1"/>
      <c r="I365" s="1"/>
      <c r="J365" s="1"/>
    </row>
    <row r="366" spans="1:10" s="6" customFormat="1">
      <c r="A366" s="17"/>
      <c r="C366" s="9"/>
      <c r="D366" s="10"/>
      <c r="E366" s="10"/>
      <c r="F366" s="9"/>
      <c r="G366" s="1"/>
      <c r="H366" s="1"/>
      <c r="I366" s="1"/>
      <c r="J366" s="1"/>
    </row>
    <row r="367" spans="1:10" s="6" customFormat="1">
      <c r="A367" s="17"/>
      <c r="C367" s="9"/>
      <c r="D367" s="10"/>
      <c r="E367" s="10"/>
      <c r="F367" s="9"/>
      <c r="G367" s="1"/>
      <c r="H367" s="1"/>
      <c r="I367" s="1"/>
      <c r="J367" s="1"/>
    </row>
    <row r="368" spans="1:10" s="6" customFormat="1">
      <c r="A368" s="17"/>
      <c r="C368" s="9"/>
      <c r="D368" s="10"/>
      <c r="E368" s="10"/>
      <c r="F368" s="9"/>
      <c r="G368" s="1"/>
      <c r="H368" s="1"/>
      <c r="I368" s="1"/>
      <c r="J368" s="1"/>
    </row>
    <row r="369" spans="1:10" s="6" customFormat="1">
      <c r="A369" s="17"/>
      <c r="C369" s="9"/>
      <c r="D369" s="10"/>
      <c r="E369" s="10"/>
      <c r="F369" s="9"/>
      <c r="G369" s="1"/>
      <c r="H369" s="1"/>
      <c r="I369" s="1"/>
      <c r="J369" s="1"/>
    </row>
    <row r="370" spans="1:10" s="6" customFormat="1">
      <c r="A370" s="17"/>
      <c r="C370" s="9"/>
      <c r="D370" s="10"/>
      <c r="E370" s="10"/>
      <c r="F370" s="9"/>
      <c r="G370" s="1"/>
      <c r="H370" s="1"/>
      <c r="I370" s="1"/>
      <c r="J370" s="1"/>
    </row>
    <row r="371" spans="1:10" s="6" customFormat="1">
      <c r="A371" s="17"/>
      <c r="C371" s="9"/>
      <c r="D371" s="10"/>
      <c r="E371" s="10"/>
      <c r="F371" s="9"/>
      <c r="G371" s="1"/>
      <c r="H371" s="1"/>
      <c r="I371" s="1"/>
      <c r="J371" s="1"/>
    </row>
    <row r="372" spans="1:10" s="6" customFormat="1">
      <c r="A372" s="17"/>
      <c r="C372" s="9"/>
      <c r="D372" s="10"/>
      <c r="E372" s="10"/>
      <c r="F372" s="9"/>
      <c r="G372" s="1"/>
      <c r="H372" s="1"/>
      <c r="I372" s="1"/>
      <c r="J372" s="1"/>
    </row>
    <row r="373" spans="1:10" s="6" customFormat="1">
      <c r="A373" s="17"/>
      <c r="C373" s="9"/>
      <c r="D373" s="10"/>
      <c r="E373" s="10"/>
      <c r="F373" s="9"/>
      <c r="G373" s="1"/>
      <c r="H373" s="1"/>
      <c r="I373" s="1"/>
      <c r="J373" s="1"/>
    </row>
    <row r="374" spans="1:10" s="6" customFormat="1">
      <c r="A374" s="17"/>
      <c r="C374" s="9"/>
      <c r="D374" s="10"/>
      <c r="E374" s="10"/>
      <c r="F374" s="9"/>
      <c r="G374" s="1"/>
      <c r="H374" s="1"/>
      <c r="I374" s="1"/>
      <c r="J374" s="1"/>
    </row>
    <row r="375" spans="1:10" s="6" customFormat="1">
      <c r="A375" s="17"/>
      <c r="C375" s="9"/>
      <c r="D375" s="10"/>
      <c r="E375" s="10"/>
      <c r="F375" s="9"/>
      <c r="G375" s="1"/>
      <c r="H375" s="1"/>
      <c r="I375" s="1"/>
      <c r="J375" s="1"/>
    </row>
    <row r="376" spans="1:10" s="6" customFormat="1">
      <c r="A376" s="17"/>
      <c r="C376" s="9"/>
      <c r="D376" s="10"/>
      <c r="E376" s="10"/>
      <c r="F376" s="9"/>
      <c r="G376" s="1"/>
      <c r="H376" s="1"/>
      <c r="I376" s="1"/>
      <c r="J376" s="1"/>
    </row>
    <row r="377" spans="1:10" s="6" customFormat="1">
      <c r="A377" s="17"/>
      <c r="C377" s="9"/>
      <c r="D377" s="10"/>
      <c r="E377" s="10"/>
      <c r="F377" s="9"/>
      <c r="G377" s="1"/>
      <c r="H377" s="1"/>
      <c r="I377" s="1"/>
      <c r="J377" s="1"/>
    </row>
    <row r="378" spans="1:10" s="6" customFormat="1">
      <c r="A378" s="17"/>
      <c r="C378" s="9"/>
      <c r="D378" s="10"/>
      <c r="E378" s="10"/>
      <c r="F378" s="9"/>
      <c r="G378" s="1"/>
      <c r="H378" s="1"/>
      <c r="I378" s="1"/>
      <c r="J378" s="1"/>
    </row>
    <row r="379" spans="1:10" s="6" customFormat="1">
      <c r="A379" s="17"/>
      <c r="C379" s="9"/>
      <c r="D379" s="10"/>
      <c r="E379" s="10"/>
      <c r="F379" s="9"/>
      <c r="G379" s="1"/>
      <c r="H379" s="1"/>
      <c r="I379" s="1"/>
      <c r="J379" s="1"/>
    </row>
    <row r="380" spans="1:10" s="6" customFormat="1">
      <c r="A380" s="17"/>
      <c r="C380" s="9"/>
      <c r="D380" s="10"/>
      <c r="E380" s="10"/>
      <c r="F380" s="9"/>
      <c r="G380" s="1"/>
      <c r="H380" s="1"/>
      <c r="I380" s="1"/>
      <c r="J380" s="1"/>
    </row>
    <row r="381" spans="1:10" s="6" customFormat="1">
      <c r="A381" s="17"/>
      <c r="C381" s="9"/>
      <c r="D381" s="10"/>
      <c r="E381" s="10"/>
      <c r="F381" s="9"/>
      <c r="G381" s="1"/>
      <c r="H381" s="1"/>
      <c r="I381" s="1"/>
      <c r="J381" s="1"/>
    </row>
    <row r="382" spans="1:10" s="6" customFormat="1">
      <c r="A382" s="17"/>
      <c r="C382" s="9"/>
      <c r="D382" s="10"/>
      <c r="E382" s="10"/>
      <c r="F382" s="9"/>
      <c r="G382" s="1"/>
      <c r="H382" s="1"/>
      <c r="I382" s="1"/>
      <c r="J382" s="1"/>
    </row>
    <row r="383" spans="1:10" s="6" customFormat="1">
      <c r="A383" s="17"/>
      <c r="C383" s="9"/>
      <c r="D383" s="10"/>
      <c r="E383" s="10"/>
      <c r="F383" s="9"/>
      <c r="G383" s="1"/>
      <c r="H383" s="1"/>
      <c r="I383" s="1"/>
      <c r="J383" s="1"/>
    </row>
    <row r="384" spans="1:10" s="6" customFormat="1">
      <c r="A384" s="17"/>
      <c r="C384" s="9"/>
      <c r="D384" s="10"/>
      <c r="E384" s="10"/>
      <c r="F384" s="9"/>
      <c r="G384" s="1"/>
      <c r="H384" s="1"/>
      <c r="I384" s="1"/>
      <c r="J384" s="1"/>
    </row>
    <row r="385" spans="1:10" s="6" customFormat="1">
      <c r="A385" s="17"/>
      <c r="C385" s="9"/>
      <c r="D385" s="10"/>
      <c r="E385" s="10"/>
      <c r="F385" s="9"/>
      <c r="G385" s="1"/>
      <c r="H385" s="1"/>
      <c r="I385" s="1"/>
      <c r="J385" s="1"/>
    </row>
    <row r="386" spans="1:10" s="6" customFormat="1">
      <c r="A386" s="17"/>
      <c r="C386" s="9"/>
      <c r="D386" s="10"/>
      <c r="E386" s="10"/>
      <c r="F386" s="9"/>
      <c r="G386" s="1"/>
      <c r="H386" s="1"/>
      <c r="I386" s="1"/>
      <c r="J386" s="1"/>
    </row>
    <row r="387" spans="1:10" s="6" customFormat="1">
      <c r="A387" s="17"/>
      <c r="C387" s="9"/>
      <c r="D387" s="10"/>
      <c r="E387" s="10"/>
      <c r="F387" s="9"/>
      <c r="G387" s="1"/>
      <c r="H387" s="1"/>
      <c r="I387" s="1"/>
      <c r="J387" s="1"/>
    </row>
    <row r="388" spans="1:10" s="6" customFormat="1">
      <c r="A388" s="17"/>
      <c r="C388" s="9"/>
      <c r="D388" s="10"/>
      <c r="E388" s="10"/>
      <c r="F388" s="9"/>
      <c r="G388" s="1"/>
      <c r="H388" s="1"/>
      <c r="I388" s="1"/>
      <c r="J388" s="1"/>
    </row>
    <row r="389" spans="1:10" s="6" customFormat="1">
      <c r="A389" s="17"/>
      <c r="C389" s="9"/>
      <c r="D389" s="10"/>
      <c r="E389" s="10"/>
      <c r="F389" s="9"/>
      <c r="G389" s="1"/>
      <c r="H389" s="1"/>
      <c r="I389" s="1"/>
      <c r="J389" s="1"/>
    </row>
    <row r="390" spans="1:10" s="6" customFormat="1">
      <c r="A390" s="17"/>
      <c r="C390" s="9"/>
      <c r="D390" s="10"/>
      <c r="E390" s="10"/>
      <c r="F390" s="9"/>
      <c r="G390" s="1"/>
      <c r="H390" s="1"/>
      <c r="I390" s="1"/>
      <c r="J390" s="1"/>
    </row>
    <row r="391" spans="1:10" s="6" customFormat="1">
      <c r="A391" s="17"/>
      <c r="C391" s="9"/>
      <c r="D391" s="10"/>
      <c r="E391" s="10"/>
      <c r="F391" s="9"/>
      <c r="G391" s="1"/>
      <c r="H391" s="1"/>
      <c r="I391" s="1"/>
      <c r="J391" s="1"/>
    </row>
    <row r="392" spans="1:10" s="6" customFormat="1">
      <c r="A392" s="17"/>
      <c r="C392" s="9"/>
      <c r="D392" s="10"/>
      <c r="E392" s="10"/>
      <c r="F392" s="9"/>
      <c r="G392" s="1"/>
      <c r="H392" s="1"/>
      <c r="I392" s="1"/>
      <c r="J392" s="1"/>
    </row>
    <row r="393" spans="1:10" s="6" customFormat="1">
      <c r="A393" s="17"/>
      <c r="C393" s="9"/>
      <c r="D393" s="10"/>
      <c r="E393" s="10"/>
      <c r="F393" s="9"/>
      <c r="G393" s="1"/>
      <c r="H393" s="1"/>
      <c r="I393" s="1"/>
      <c r="J393" s="1"/>
    </row>
    <row r="394" spans="1:10" s="6" customFormat="1">
      <c r="A394" s="17"/>
      <c r="C394" s="9"/>
      <c r="D394" s="10"/>
      <c r="E394" s="10"/>
      <c r="F394" s="9"/>
      <c r="G394" s="1"/>
      <c r="H394" s="1"/>
      <c r="I394" s="1"/>
      <c r="J394" s="1"/>
    </row>
    <row r="395" spans="1:10" s="6" customFormat="1">
      <c r="A395" s="17"/>
      <c r="C395" s="9"/>
      <c r="D395" s="10"/>
      <c r="E395" s="10"/>
      <c r="F395" s="9"/>
      <c r="G395" s="1"/>
      <c r="H395" s="1"/>
      <c r="I395" s="1"/>
      <c r="J395" s="1"/>
    </row>
    <row r="396" spans="1:10" s="6" customFormat="1">
      <c r="A396" s="17"/>
      <c r="C396" s="9"/>
      <c r="D396" s="10"/>
      <c r="E396" s="10"/>
      <c r="F396" s="9"/>
      <c r="G396" s="1"/>
      <c r="H396" s="1"/>
      <c r="I396" s="1"/>
      <c r="J396" s="1"/>
    </row>
    <row r="397" spans="1:10" s="6" customFormat="1">
      <c r="A397" s="17"/>
      <c r="C397" s="9"/>
      <c r="D397" s="10"/>
      <c r="E397" s="10"/>
      <c r="F397" s="9"/>
      <c r="G397" s="1"/>
      <c r="H397" s="1"/>
      <c r="I397" s="1"/>
      <c r="J397" s="1"/>
    </row>
    <row r="398" spans="1:10" s="6" customFormat="1">
      <c r="A398" s="17"/>
      <c r="C398" s="9"/>
      <c r="D398" s="10"/>
      <c r="E398" s="10"/>
      <c r="F398" s="9"/>
      <c r="G398" s="1"/>
      <c r="H398" s="1"/>
      <c r="I398" s="1"/>
      <c r="J398" s="1"/>
    </row>
    <row r="399" spans="1:10" s="6" customFormat="1">
      <c r="A399" s="17"/>
      <c r="C399" s="9"/>
      <c r="D399" s="10"/>
      <c r="E399" s="10"/>
      <c r="F399" s="9"/>
      <c r="G399" s="1"/>
      <c r="H399" s="1"/>
      <c r="I399" s="1"/>
      <c r="J399" s="1"/>
    </row>
    <row r="400" spans="1:10" s="6" customFormat="1">
      <c r="A400" s="17"/>
      <c r="C400" s="9"/>
      <c r="D400" s="10"/>
      <c r="E400" s="10"/>
      <c r="F400" s="9"/>
      <c r="G400" s="1"/>
      <c r="H400" s="1"/>
      <c r="I400" s="1"/>
      <c r="J400" s="1"/>
    </row>
    <row r="401" spans="1:10" s="6" customFormat="1">
      <c r="A401" s="17"/>
      <c r="C401" s="9"/>
      <c r="D401" s="10"/>
      <c r="E401" s="10"/>
      <c r="F401" s="9"/>
      <c r="G401" s="1"/>
      <c r="H401" s="1"/>
      <c r="I401" s="1"/>
      <c r="J401" s="1"/>
    </row>
    <row r="402" spans="1:10" s="6" customFormat="1">
      <c r="A402" s="17"/>
      <c r="C402" s="9"/>
      <c r="D402" s="10"/>
      <c r="E402" s="10"/>
      <c r="F402" s="9"/>
      <c r="G402" s="1"/>
      <c r="H402" s="1"/>
      <c r="I402" s="1"/>
      <c r="J402" s="1"/>
    </row>
    <row r="403" spans="1:10" s="6" customFormat="1">
      <c r="A403" s="17"/>
      <c r="C403" s="9"/>
      <c r="D403" s="10"/>
      <c r="E403" s="10"/>
      <c r="F403" s="9"/>
      <c r="G403" s="1"/>
      <c r="H403" s="1"/>
      <c r="I403" s="1"/>
      <c r="J403" s="1"/>
    </row>
    <row r="404" spans="1:10" s="6" customFormat="1">
      <c r="A404" s="17"/>
      <c r="C404" s="9"/>
      <c r="D404" s="10"/>
      <c r="E404" s="10"/>
      <c r="F404" s="9"/>
      <c r="G404" s="1"/>
      <c r="H404" s="1"/>
      <c r="I404" s="1"/>
      <c r="J404" s="1"/>
    </row>
    <row r="405" spans="1:10" s="6" customFormat="1">
      <c r="A405" s="17"/>
      <c r="C405" s="9"/>
      <c r="D405" s="10"/>
      <c r="E405" s="10"/>
      <c r="F405" s="9"/>
      <c r="G405" s="1"/>
      <c r="H405" s="1"/>
      <c r="I405" s="1"/>
      <c r="J405" s="1"/>
    </row>
    <row r="406" spans="1:10" s="6" customFormat="1">
      <c r="A406" s="17"/>
      <c r="C406" s="9"/>
      <c r="D406" s="10"/>
      <c r="E406" s="10"/>
      <c r="F406" s="9"/>
      <c r="G406" s="1"/>
      <c r="H406" s="1"/>
      <c r="I406" s="1"/>
      <c r="J406" s="1"/>
    </row>
    <row r="407" spans="1:10" s="6" customFormat="1">
      <c r="A407" s="17"/>
      <c r="C407" s="9"/>
      <c r="D407" s="10"/>
      <c r="E407" s="10"/>
      <c r="F407" s="9"/>
      <c r="G407" s="1"/>
      <c r="H407" s="1"/>
      <c r="I407" s="1"/>
      <c r="J407" s="1"/>
    </row>
    <row r="408" spans="1:10" s="6" customFormat="1">
      <c r="A408" s="17"/>
      <c r="C408" s="9"/>
      <c r="D408" s="10"/>
      <c r="E408" s="10"/>
      <c r="F408" s="9"/>
      <c r="G408" s="1"/>
      <c r="H408" s="1"/>
      <c r="I408" s="1"/>
      <c r="J408" s="1"/>
    </row>
    <row r="409" spans="1:10" s="6" customFormat="1">
      <c r="A409" s="17"/>
      <c r="C409" s="9"/>
      <c r="D409" s="10"/>
      <c r="E409" s="10"/>
      <c r="F409" s="9"/>
      <c r="G409" s="1"/>
      <c r="H409" s="1"/>
      <c r="I409" s="1"/>
      <c r="J409" s="1"/>
    </row>
    <row r="410" spans="1:10" s="6" customFormat="1">
      <c r="A410" s="17"/>
      <c r="C410" s="9"/>
      <c r="D410" s="10"/>
      <c r="E410" s="10"/>
      <c r="F410" s="9"/>
      <c r="G410" s="1"/>
      <c r="H410" s="1"/>
      <c r="I410" s="1"/>
      <c r="J410" s="1"/>
    </row>
    <row r="411" spans="1:10" s="6" customFormat="1">
      <c r="A411" s="17"/>
      <c r="C411" s="9"/>
      <c r="D411" s="10"/>
      <c r="E411" s="10"/>
      <c r="F411" s="9"/>
      <c r="G411" s="1"/>
      <c r="H411" s="1"/>
      <c r="I411" s="1"/>
      <c r="J411" s="1"/>
    </row>
    <row r="412" spans="1:10" s="6" customFormat="1">
      <c r="A412" s="17"/>
      <c r="C412" s="9"/>
      <c r="D412" s="10"/>
      <c r="E412" s="10"/>
      <c r="F412" s="9"/>
      <c r="G412" s="1"/>
      <c r="H412" s="1"/>
      <c r="I412" s="1"/>
      <c r="J412" s="1"/>
    </row>
    <row r="413" spans="1:10" s="6" customFormat="1">
      <c r="A413" s="17"/>
      <c r="C413" s="9"/>
      <c r="D413" s="10"/>
      <c r="E413" s="10"/>
      <c r="F413" s="9"/>
      <c r="G413" s="1"/>
      <c r="H413" s="1"/>
      <c r="I413" s="1"/>
      <c r="J413" s="1"/>
    </row>
    <row r="414" spans="1:10" s="6" customFormat="1">
      <c r="A414" s="17"/>
      <c r="C414" s="9"/>
      <c r="D414" s="10"/>
      <c r="E414" s="10"/>
      <c r="F414" s="9"/>
      <c r="G414" s="1"/>
      <c r="H414" s="1"/>
      <c r="I414" s="1"/>
      <c r="J414" s="1"/>
    </row>
    <row r="415" spans="1:10" s="6" customFormat="1">
      <c r="A415" s="17"/>
      <c r="C415" s="9"/>
      <c r="D415" s="10"/>
      <c r="E415" s="10"/>
      <c r="F415" s="9"/>
      <c r="G415" s="1"/>
      <c r="H415" s="1"/>
      <c r="I415" s="1"/>
      <c r="J415" s="1"/>
    </row>
    <row r="416" spans="1:10" s="6" customFormat="1">
      <c r="A416" s="17"/>
      <c r="C416" s="9"/>
      <c r="D416" s="10"/>
      <c r="E416" s="10"/>
      <c r="F416" s="9"/>
      <c r="G416" s="1"/>
      <c r="H416" s="1"/>
      <c r="I416" s="1"/>
      <c r="J416" s="1"/>
    </row>
    <row r="417" spans="1:10" s="6" customFormat="1">
      <c r="A417" s="17"/>
      <c r="C417" s="9"/>
      <c r="D417" s="10"/>
      <c r="E417" s="10"/>
      <c r="F417" s="9"/>
      <c r="G417" s="1"/>
      <c r="H417" s="1"/>
      <c r="I417" s="1"/>
      <c r="J417" s="1"/>
    </row>
    <row r="418" spans="1:10" s="6" customFormat="1">
      <c r="A418" s="17"/>
      <c r="C418" s="9"/>
      <c r="D418" s="10"/>
      <c r="E418" s="10"/>
      <c r="F418" s="9"/>
      <c r="G418" s="1"/>
      <c r="H418" s="1"/>
      <c r="I418" s="1"/>
      <c r="J418" s="1"/>
    </row>
    <row r="419" spans="1:10" s="6" customFormat="1">
      <c r="A419" s="17"/>
      <c r="C419" s="9"/>
      <c r="D419" s="10"/>
      <c r="E419" s="10"/>
      <c r="F419" s="9"/>
      <c r="G419" s="1"/>
      <c r="H419" s="1"/>
      <c r="I419" s="1"/>
      <c r="J419" s="1"/>
    </row>
    <row r="420" spans="1:10" s="6" customFormat="1">
      <c r="A420" s="17"/>
      <c r="C420" s="9"/>
      <c r="D420" s="10"/>
      <c r="E420" s="10"/>
      <c r="F420" s="9"/>
      <c r="G420" s="1"/>
      <c r="H420" s="1"/>
      <c r="I420" s="1"/>
      <c r="J420" s="1"/>
    </row>
    <row r="421" spans="1:10" s="6" customFormat="1">
      <c r="A421" s="17"/>
      <c r="C421" s="9"/>
      <c r="D421" s="10"/>
      <c r="E421" s="10"/>
      <c r="F421" s="9"/>
      <c r="G421" s="1"/>
      <c r="H421" s="1"/>
      <c r="I421" s="1"/>
      <c r="J421" s="1"/>
    </row>
    <row r="422" spans="1:10" s="6" customFormat="1">
      <c r="A422" s="17"/>
      <c r="C422" s="9"/>
      <c r="D422" s="10"/>
      <c r="E422" s="10"/>
      <c r="F422" s="9"/>
      <c r="G422" s="1"/>
      <c r="H422" s="1"/>
      <c r="I422" s="1"/>
      <c r="J422" s="1"/>
    </row>
    <row r="423" spans="1:10" s="6" customFormat="1">
      <c r="A423" s="17"/>
      <c r="C423" s="9"/>
      <c r="D423" s="10"/>
      <c r="E423" s="10"/>
      <c r="F423" s="9"/>
      <c r="G423" s="1"/>
      <c r="H423" s="1"/>
      <c r="I423" s="1"/>
      <c r="J423" s="1"/>
    </row>
    <row r="424" spans="1:10" s="6" customFormat="1">
      <c r="A424" s="17"/>
      <c r="C424" s="9"/>
      <c r="D424" s="10"/>
      <c r="E424" s="10"/>
      <c r="F424" s="9"/>
      <c r="G424" s="1"/>
      <c r="H424" s="1"/>
      <c r="I424" s="1"/>
      <c r="J424" s="1"/>
    </row>
    <row r="425" spans="1:10" s="6" customFormat="1">
      <c r="A425" s="17"/>
      <c r="C425" s="9"/>
      <c r="D425" s="10"/>
      <c r="E425" s="10"/>
      <c r="F425" s="9"/>
      <c r="G425" s="1"/>
      <c r="H425" s="1"/>
      <c r="I425" s="1"/>
      <c r="J425" s="1"/>
    </row>
    <row r="426" spans="1:10" s="6" customFormat="1">
      <c r="A426" s="17"/>
      <c r="C426" s="9"/>
      <c r="D426" s="10"/>
      <c r="E426" s="10"/>
      <c r="F426" s="9"/>
      <c r="G426" s="1"/>
      <c r="H426" s="1"/>
      <c r="I426" s="1"/>
      <c r="J426" s="1"/>
    </row>
    <row r="427" spans="1:10" s="6" customFormat="1">
      <c r="A427" s="17"/>
      <c r="C427" s="9"/>
      <c r="D427" s="10"/>
      <c r="E427" s="10"/>
      <c r="F427" s="9"/>
      <c r="G427" s="1"/>
      <c r="H427" s="1"/>
      <c r="I427" s="1"/>
      <c r="J427" s="1"/>
    </row>
    <row r="428" spans="1:10" s="6" customFormat="1">
      <c r="A428" s="17"/>
      <c r="C428" s="9"/>
      <c r="D428" s="10"/>
      <c r="E428" s="10"/>
      <c r="F428" s="9"/>
      <c r="G428" s="1"/>
      <c r="H428" s="1"/>
      <c r="I428" s="1"/>
      <c r="J428" s="1"/>
    </row>
    <row r="429" spans="1:10" s="6" customFormat="1">
      <c r="A429" s="17"/>
      <c r="C429" s="9"/>
      <c r="D429" s="10"/>
      <c r="E429" s="10"/>
      <c r="F429" s="9"/>
      <c r="G429" s="1"/>
      <c r="H429" s="1"/>
      <c r="I429" s="1"/>
      <c r="J429" s="1"/>
    </row>
    <row r="430" spans="1:10" s="6" customFormat="1">
      <c r="A430" s="17"/>
      <c r="C430" s="9"/>
      <c r="D430" s="10"/>
      <c r="E430" s="10"/>
      <c r="F430" s="9"/>
      <c r="G430" s="1"/>
      <c r="H430" s="1"/>
      <c r="I430" s="1"/>
      <c r="J430" s="1"/>
    </row>
    <row r="431" spans="1:10" s="6" customFormat="1">
      <c r="A431" s="17"/>
      <c r="C431" s="9"/>
      <c r="D431" s="10"/>
      <c r="E431" s="10"/>
      <c r="F431" s="9"/>
      <c r="G431" s="1"/>
      <c r="H431" s="1"/>
      <c r="I431" s="1"/>
      <c r="J431" s="1"/>
    </row>
    <row r="432" spans="1:10" s="6" customFormat="1">
      <c r="A432" s="17"/>
      <c r="C432" s="9"/>
      <c r="D432" s="10"/>
      <c r="E432" s="10"/>
      <c r="F432" s="9"/>
      <c r="G432" s="1"/>
      <c r="H432" s="1"/>
      <c r="I432" s="1"/>
      <c r="J432" s="1"/>
    </row>
    <row r="433" spans="1:10" s="6" customFormat="1">
      <c r="A433" s="17"/>
      <c r="C433" s="9"/>
      <c r="D433" s="10"/>
      <c r="E433" s="10"/>
      <c r="F433" s="9"/>
      <c r="G433" s="1"/>
      <c r="H433" s="1"/>
      <c r="I433" s="1"/>
      <c r="J433" s="1"/>
    </row>
    <row r="434" spans="1:10" s="6" customFormat="1">
      <c r="A434" s="17"/>
      <c r="C434" s="9"/>
      <c r="D434" s="10"/>
      <c r="E434" s="10"/>
      <c r="F434" s="9"/>
      <c r="G434" s="1"/>
      <c r="H434" s="1"/>
      <c r="I434" s="1"/>
      <c r="J434" s="1"/>
    </row>
    <row r="435" spans="1:10" s="6" customFormat="1">
      <c r="A435" s="17"/>
      <c r="C435" s="9"/>
      <c r="D435" s="10"/>
      <c r="E435" s="10"/>
      <c r="F435" s="9"/>
      <c r="G435" s="1"/>
      <c r="H435" s="1"/>
      <c r="I435" s="1"/>
      <c r="J435" s="1"/>
    </row>
    <row r="436" spans="1:10" s="6" customFormat="1">
      <c r="A436" s="17"/>
      <c r="C436" s="9"/>
      <c r="D436" s="10"/>
      <c r="E436" s="10"/>
      <c r="F436" s="9"/>
      <c r="G436" s="1"/>
      <c r="H436" s="1"/>
      <c r="I436" s="1"/>
      <c r="J436" s="1"/>
    </row>
    <row r="437" spans="1:10" s="6" customFormat="1">
      <c r="A437" s="17"/>
      <c r="C437" s="9"/>
      <c r="D437" s="10"/>
      <c r="E437" s="10"/>
      <c r="F437" s="9"/>
      <c r="G437" s="1"/>
      <c r="H437" s="1"/>
      <c r="I437" s="1"/>
      <c r="J437" s="1"/>
    </row>
    <row r="438" spans="1:10" s="6" customFormat="1">
      <c r="A438" s="17"/>
      <c r="C438" s="9"/>
      <c r="D438" s="10"/>
      <c r="E438" s="10"/>
      <c r="F438" s="9"/>
      <c r="G438" s="1"/>
      <c r="H438" s="1"/>
      <c r="I438" s="1"/>
      <c r="J438" s="1"/>
    </row>
    <row r="439" spans="1:10" s="6" customFormat="1">
      <c r="A439" s="17"/>
      <c r="C439" s="9"/>
      <c r="D439" s="10"/>
      <c r="E439" s="10"/>
      <c r="F439" s="9"/>
      <c r="G439" s="1"/>
      <c r="H439" s="1"/>
      <c r="I439" s="1"/>
      <c r="J439" s="1"/>
    </row>
    <row r="440" spans="1:10" s="6" customFormat="1">
      <c r="A440" s="17"/>
      <c r="C440" s="9"/>
      <c r="D440" s="10"/>
      <c r="E440" s="10"/>
      <c r="F440" s="9"/>
      <c r="G440" s="1"/>
      <c r="H440" s="1"/>
      <c r="I440" s="1"/>
      <c r="J440" s="1"/>
    </row>
    <row r="441" spans="1:10" s="6" customFormat="1">
      <c r="A441" s="17"/>
      <c r="C441" s="9"/>
      <c r="D441" s="10"/>
      <c r="E441" s="10"/>
      <c r="F441" s="9"/>
      <c r="G441" s="1"/>
      <c r="H441" s="1"/>
      <c r="I441" s="1"/>
      <c r="J441" s="1"/>
    </row>
    <row r="442" spans="1:10" s="6" customFormat="1">
      <c r="A442" s="17"/>
      <c r="C442" s="9"/>
      <c r="D442" s="10"/>
      <c r="E442" s="10"/>
      <c r="F442" s="9"/>
      <c r="G442" s="1"/>
      <c r="H442" s="1"/>
      <c r="I442" s="1"/>
      <c r="J442" s="1"/>
    </row>
    <row r="443" spans="1:10" s="6" customFormat="1">
      <c r="A443" s="17"/>
      <c r="C443" s="9"/>
      <c r="D443" s="10"/>
      <c r="E443" s="10"/>
      <c r="F443" s="9"/>
      <c r="G443" s="1"/>
      <c r="H443" s="1"/>
      <c r="I443" s="1"/>
      <c r="J443" s="1"/>
    </row>
    <row r="444" spans="1:10" s="6" customFormat="1">
      <c r="A444" s="17"/>
      <c r="C444" s="9"/>
      <c r="D444" s="10"/>
      <c r="E444" s="10"/>
      <c r="F444" s="9"/>
      <c r="G444" s="1"/>
      <c r="H444" s="1"/>
      <c r="I444" s="1"/>
      <c r="J444" s="1"/>
    </row>
    <row r="445" spans="1:10" s="6" customFormat="1">
      <c r="A445" s="17"/>
      <c r="C445" s="9"/>
      <c r="D445" s="10"/>
      <c r="E445" s="10"/>
      <c r="F445" s="9"/>
      <c r="G445" s="1"/>
      <c r="H445" s="1"/>
      <c r="I445" s="1"/>
      <c r="J445" s="1"/>
    </row>
    <row r="446" spans="1:10" s="6" customFormat="1">
      <c r="A446" s="17"/>
      <c r="C446" s="9"/>
      <c r="D446" s="10"/>
      <c r="E446" s="10"/>
      <c r="F446" s="9"/>
      <c r="G446" s="1"/>
      <c r="H446" s="1"/>
      <c r="I446" s="1"/>
      <c r="J446" s="1"/>
    </row>
    <row r="447" spans="1:10" s="6" customFormat="1">
      <c r="A447" s="17"/>
      <c r="C447" s="9"/>
      <c r="D447" s="10"/>
      <c r="E447" s="10"/>
      <c r="F447" s="9"/>
      <c r="G447" s="1"/>
      <c r="H447" s="1"/>
      <c r="I447" s="1"/>
      <c r="J447" s="1"/>
    </row>
    <row r="448" spans="1:10" s="6" customFormat="1">
      <c r="A448" s="17"/>
      <c r="C448" s="9"/>
      <c r="D448" s="10"/>
      <c r="E448" s="10"/>
      <c r="F448" s="9"/>
      <c r="G448" s="1"/>
      <c r="H448" s="1"/>
      <c r="I448" s="1"/>
      <c r="J448" s="1"/>
    </row>
    <row r="449" spans="1:10" s="6" customFormat="1">
      <c r="A449" s="17"/>
      <c r="C449" s="9"/>
      <c r="D449" s="10"/>
      <c r="E449" s="10"/>
      <c r="F449" s="9"/>
      <c r="G449" s="1"/>
      <c r="H449" s="1"/>
      <c r="I449" s="1"/>
      <c r="J449" s="1"/>
    </row>
    <row r="450" spans="1:10" s="6" customFormat="1">
      <c r="A450" s="17"/>
      <c r="C450" s="9"/>
      <c r="D450" s="10"/>
      <c r="E450" s="10"/>
      <c r="F450" s="9"/>
      <c r="G450" s="1"/>
      <c r="H450" s="1"/>
      <c r="I450" s="1"/>
      <c r="J450" s="1"/>
    </row>
    <row r="451" spans="1:10" s="6" customFormat="1">
      <c r="A451" s="17"/>
      <c r="C451" s="9"/>
      <c r="D451" s="10"/>
      <c r="E451" s="10"/>
      <c r="F451" s="9"/>
      <c r="G451" s="1"/>
      <c r="H451" s="1"/>
      <c r="I451" s="1"/>
      <c r="J451" s="1"/>
    </row>
    <row r="452" spans="1:10" s="6" customFormat="1">
      <c r="A452" s="17"/>
      <c r="C452" s="9"/>
      <c r="D452" s="10"/>
      <c r="E452" s="10"/>
      <c r="F452" s="9"/>
      <c r="G452" s="1"/>
      <c r="H452" s="1"/>
      <c r="I452" s="1"/>
      <c r="J452" s="1"/>
    </row>
    <row r="453" spans="1:10" s="6" customFormat="1">
      <c r="A453" s="17"/>
      <c r="C453" s="9"/>
      <c r="D453" s="10"/>
      <c r="E453" s="10"/>
      <c r="F453" s="9"/>
      <c r="G453" s="1"/>
      <c r="H453" s="1"/>
      <c r="I453" s="1"/>
      <c r="J453" s="1"/>
    </row>
    <row r="454" spans="1:10" s="6" customFormat="1">
      <c r="A454" s="17"/>
      <c r="C454" s="9"/>
      <c r="D454" s="10"/>
      <c r="E454" s="10"/>
      <c r="F454" s="9"/>
      <c r="G454" s="1"/>
      <c r="H454" s="1"/>
      <c r="I454" s="1"/>
      <c r="J454" s="1"/>
    </row>
    <row r="455" spans="1:10" s="6" customFormat="1">
      <c r="A455" s="17"/>
      <c r="C455" s="9"/>
      <c r="D455" s="10"/>
      <c r="E455" s="10"/>
      <c r="F455" s="9"/>
      <c r="G455" s="1"/>
      <c r="H455" s="1"/>
      <c r="I455" s="1"/>
      <c r="J455" s="1"/>
    </row>
    <row r="456" spans="1:10" s="6" customFormat="1">
      <c r="A456" s="17"/>
      <c r="C456" s="9"/>
      <c r="D456" s="10"/>
      <c r="E456" s="10"/>
      <c r="F456" s="9"/>
      <c r="G456" s="1"/>
      <c r="H456" s="1"/>
      <c r="I456" s="1"/>
      <c r="J456" s="1"/>
    </row>
    <row r="457" spans="1:10" s="6" customFormat="1">
      <c r="A457" s="17"/>
      <c r="C457" s="9"/>
      <c r="D457" s="10"/>
      <c r="E457" s="10"/>
      <c r="F457" s="9"/>
      <c r="G457" s="1"/>
      <c r="H457" s="1"/>
      <c r="I457" s="1"/>
      <c r="J457" s="1"/>
    </row>
    <row r="458" spans="1:10" s="6" customFormat="1">
      <c r="A458" s="17"/>
      <c r="C458" s="9"/>
      <c r="D458" s="10"/>
      <c r="E458" s="10"/>
      <c r="F458" s="9"/>
      <c r="G458" s="1"/>
      <c r="H458" s="1"/>
      <c r="I458" s="1"/>
      <c r="J458" s="1"/>
    </row>
    <row r="459" spans="1:10" s="6" customFormat="1">
      <c r="A459" s="17"/>
      <c r="C459" s="9"/>
      <c r="D459" s="10"/>
      <c r="E459" s="10"/>
      <c r="F459" s="9"/>
      <c r="G459" s="1"/>
      <c r="H459" s="1"/>
      <c r="I459" s="1"/>
      <c r="J459" s="1"/>
    </row>
    <row r="460" spans="1:10" s="6" customFormat="1">
      <c r="A460" s="17"/>
      <c r="C460" s="9"/>
      <c r="D460" s="10"/>
      <c r="E460" s="10"/>
      <c r="F460" s="9"/>
      <c r="G460" s="1"/>
      <c r="H460" s="1"/>
      <c r="I460" s="1"/>
      <c r="J460" s="1"/>
    </row>
    <row r="461" spans="1:10" s="6" customFormat="1">
      <c r="A461" s="17"/>
      <c r="C461" s="9"/>
      <c r="D461" s="10"/>
      <c r="E461" s="10"/>
      <c r="F461" s="9"/>
      <c r="G461" s="1"/>
      <c r="H461" s="1"/>
      <c r="I461" s="1"/>
      <c r="J461" s="1"/>
    </row>
    <row r="462" spans="1:10" s="6" customFormat="1">
      <c r="A462" s="17"/>
      <c r="C462" s="9"/>
      <c r="D462" s="10"/>
      <c r="E462" s="10"/>
      <c r="F462" s="9"/>
      <c r="G462" s="1"/>
      <c r="H462" s="1"/>
      <c r="I462" s="1"/>
      <c r="J462" s="1"/>
    </row>
    <row r="463" spans="1:10" s="6" customFormat="1">
      <c r="A463" s="17"/>
      <c r="C463" s="9"/>
      <c r="D463" s="10"/>
      <c r="E463" s="10"/>
      <c r="F463" s="9"/>
      <c r="G463" s="1"/>
      <c r="H463" s="1"/>
      <c r="I463" s="1"/>
      <c r="J463" s="1"/>
    </row>
    <row r="464" spans="1:10" s="6" customFormat="1">
      <c r="A464" s="17"/>
      <c r="C464" s="9"/>
      <c r="D464" s="10"/>
      <c r="E464" s="10"/>
      <c r="F464" s="9"/>
      <c r="G464" s="1"/>
      <c r="H464" s="1"/>
      <c r="I464" s="1"/>
      <c r="J464" s="1"/>
    </row>
    <row r="465" spans="1:10" s="6" customFormat="1">
      <c r="A465" s="17"/>
      <c r="C465" s="9"/>
      <c r="D465" s="10"/>
      <c r="E465" s="10"/>
      <c r="F465" s="9"/>
      <c r="G465" s="1"/>
      <c r="H465" s="1"/>
      <c r="I465" s="1"/>
      <c r="J465" s="1"/>
    </row>
    <row r="466" spans="1:10" s="6" customFormat="1">
      <c r="A466" s="17"/>
      <c r="C466" s="9"/>
      <c r="D466" s="10"/>
      <c r="E466" s="10"/>
      <c r="F466" s="9"/>
      <c r="G466" s="1"/>
      <c r="H466" s="1"/>
      <c r="I466" s="1"/>
      <c r="J466" s="1"/>
    </row>
    <row r="467" spans="1:10" s="6" customFormat="1">
      <c r="A467" s="17"/>
      <c r="C467" s="9"/>
      <c r="D467" s="10"/>
      <c r="E467" s="10"/>
      <c r="F467" s="9"/>
      <c r="G467" s="1"/>
      <c r="H467" s="1"/>
      <c r="I467" s="1"/>
      <c r="J467" s="1"/>
    </row>
    <row r="468" spans="1:10" s="6" customFormat="1">
      <c r="A468" s="17"/>
      <c r="C468" s="9"/>
      <c r="D468" s="10"/>
      <c r="E468" s="10"/>
      <c r="F468" s="9"/>
      <c r="G468" s="1"/>
      <c r="H468" s="1"/>
      <c r="I468" s="1"/>
      <c r="J468" s="1"/>
    </row>
    <row r="469" spans="1:10" s="6" customFormat="1">
      <c r="A469" s="17"/>
      <c r="C469" s="9"/>
      <c r="D469" s="10"/>
      <c r="E469" s="10"/>
      <c r="F469" s="9"/>
      <c r="G469" s="1"/>
      <c r="H469" s="1"/>
      <c r="I469" s="1"/>
      <c r="J469" s="1"/>
    </row>
    <row r="470" spans="1:10" s="6" customFormat="1">
      <c r="A470" s="17"/>
      <c r="C470" s="9"/>
      <c r="D470" s="10"/>
      <c r="E470" s="10"/>
      <c r="F470" s="9"/>
      <c r="G470" s="1"/>
      <c r="H470" s="1"/>
      <c r="I470" s="1"/>
      <c r="J470" s="1"/>
    </row>
    <row r="471" spans="1:10" s="6" customFormat="1">
      <c r="A471" s="17"/>
      <c r="C471" s="9"/>
      <c r="D471" s="10"/>
      <c r="E471" s="10"/>
      <c r="F471" s="9"/>
      <c r="G471" s="1"/>
      <c r="H471" s="1"/>
      <c r="I471" s="1"/>
      <c r="J471" s="1"/>
    </row>
    <row r="472" spans="1:10" s="6" customFormat="1">
      <c r="A472" s="17"/>
      <c r="C472" s="9"/>
      <c r="D472" s="10"/>
      <c r="E472" s="10"/>
      <c r="F472" s="9"/>
      <c r="G472" s="1"/>
      <c r="H472" s="1"/>
      <c r="I472" s="1"/>
      <c r="J472" s="1"/>
    </row>
    <row r="473" spans="1:10" s="6" customFormat="1">
      <c r="A473" s="17"/>
      <c r="C473" s="9"/>
      <c r="D473" s="10"/>
      <c r="E473" s="10"/>
      <c r="F473" s="9"/>
      <c r="G473" s="1"/>
      <c r="H473" s="1"/>
      <c r="I473" s="1"/>
      <c r="J473" s="1"/>
    </row>
    <row r="474" spans="1:10" s="6" customFormat="1">
      <c r="A474" s="17"/>
      <c r="C474" s="9"/>
      <c r="D474" s="10"/>
      <c r="E474" s="10"/>
      <c r="F474" s="9"/>
      <c r="G474" s="1"/>
      <c r="H474" s="1"/>
      <c r="I474" s="1"/>
      <c r="J474" s="1"/>
    </row>
    <row r="475" spans="1:10" s="6" customFormat="1">
      <c r="A475" s="17"/>
      <c r="C475" s="9"/>
      <c r="D475" s="10"/>
      <c r="E475" s="10"/>
      <c r="F475" s="9"/>
      <c r="G475" s="1"/>
      <c r="H475" s="1"/>
      <c r="I475" s="1"/>
      <c r="J475" s="1"/>
    </row>
    <row r="476" spans="1:10" s="6" customFormat="1">
      <c r="A476" s="17"/>
      <c r="C476" s="9"/>
      <c r="D476" s="10"/>
      <c r="E476" s="10"/>
      <c r="F476" s="9"/>
      <c r="G476" s="1"/>
      <c r="H476" s="1"/>
      <c r="I476" s="1"/>
      <c r="J476" s="1"/>
    </row>
    <row r="477" spans="1:10" s="6" customFormat="1">
      <c r="A477" s="17"/>
      <c r="C477" s="9"/>
      <c r="D477" s="10"/>
      <c r="E477" s="10"/>
      <c r="F477" s="9"/>
      <c r="G477" s="1"/>
      <c r="H477" s="1"/>
      <c r="I477" s="1"/>
      <c r="J477" s="1"/>
    </row>
    <row r="478" spans="1:10" s="6" customFormat="1">
      <c r="A478" s="17"/>
      <c r="C478" s="9"/>
      <c r="D478" s="10"/>
      <c r="E478" s="10"/>
      <c r="F478" s="9"/>
      <c r="G478" s="1"/>
      <c r="H478" s="1"/>
      <c r="I478" s="1"/>
      <c r="J478" s="1"/>
    </row>
    <row r="479" spans="1:10" s="6" customFormat="1">
      <c r="A479" s="17"/>
      <c r="C479" s="9"/>
      <c r="D479" s="10"/>
      <c r="E479" s="10"/>
      <c r="F479" s="9"/>
      <c r="G479" s="1"/>
      <c r="H479" s="1"/>
      <c r="I479" s="1"/>
      <c r="J479" s="1"/>
    </row>
    <row r="480" spans="1:10" s="6" customFormat="1">
      <c r="A480" s="17"/>
      <c r="C480" s="9"/>
      <c r="D480" s="10"/>
      <c r="E480" s="10"/>
      <c r="F480" s="9"/>
      <c r="G480" s="1"/>
      <c r="H480" s="1"/>
      <c r="I480" s="1"/>
      <c r="J480" s="1"/>
    </row>
    <row r="481" spans="1:10" s="6" customFormat="1">
      <c r="A481" s="17"/>
      <c r="C481" s="9"/>
      <c r="D481" s="10"/>
      <c r="E481" s="10"/>
      <c r="F481" s="9"/>
      <c r="G481" s="1"/>
      <c r="H481" s="1"/>
      <c r="I481" s="1"/>
      <c r="J481" s="1"/>
    </row>
    <row r="482" spans="1:10" s="6" customFormat="1">
      <c r="A482" s="17"/>
      <c r="C482" s="9"/>
      <c r="D482" s="10"/>
      <c r="E482" s="10"/>
      <c r="F482" s="9"/>
      <c r="G482" s="1"/>
      <c r="H482" s="1"/>
      <c r="I482" s="1"/>
      <c r="J482" s="1"/>
    </row>
    <row r="483" spans="1:10" s="6" customFormat="1">
      <c r="A483" s="17"/>
      <c r="C483" s="9"/>
      <c r="D483" s="10"/>
      <c r="E483" s="10"/>
      <c r="F483" s="9"/>
      <c r="G483" s="1"/>
      <c r="H483" s="1"/>
      <c r="I483" s="1"/>
      <c r="J483" s="1"/>
    </row>
    <row r="484" spans="1:10" s="6" customFormat="1">
      <c r="A484" s="17"/>
      <c r="C484" s="9"/>
      <c r="D484" s="10"/>
      <c r="E484" s="10"/>
      <c r="F484" s="9"/>
      <c r="G484" s="1"/>
      <c r="H484" s="1"/>
      <c r="I484" s="1"/>
      <c r="J484" s="1"/>
    </row>
    <row r="485" spans="1:10" s="6" customFormat="1">
      <c r="A485" s="17"/>
      <c r="C485" s="9"/>
      <c r="D485" s="10"/>
      <c r="E485" s="10"/>
      <c r="F485" s="9"/>
      <c r="G485" s="1"/>
      <c r="H485" s="1"/>
      <c r="I485" s="1"/>
      <c r="J485" s="1"/>
    </row>
    <row r="486" spans="1:10" s="6" customFormat="1">
      <c r="A486" s="17"/>
      <c r="C486" s="9"/>
      <c r="D486" s="10"/>
      <c r="E486" s="10"/>
      <c r="F486" s="9"/>
      <c r="G486" s="1"/>
      <c r="H486" s="1"/>
      <c r="I486" s="1"/>
      <c r="J486" s="1"/>
    </row>
    <row r="487" spans="1:10" s="6" customFormat="1">
      <c r="A487" s="17"/>
      <c r="C487" s="9"/>
      <c r="D487" s="10"/>
      <c r="E487" s="10"/>
      <c r="F487" s="9"/>
      <c r="G487" s="1"/>
      <c r="H487" s="1"/>
      <c r="I487" s="1"/>
      <c r="J487" s="1"/>
    </row>
    <row r="488" spans="1:10" s="6" customFormat="1">
      <c r="A488" s="17"/>
      <c r="C488" s="9"/>
      <c r="D488" s="10"/>
      <c r="E488" s="10"/>
      <c r="F488" s="9"/>
      <c r="G488" s="1"/>
      <c r="H488" s="1"/>
      <c r="I488" s="1"/>
      <c r="J488" s="1"/>
    </row>
    <row r="489" spans="1:10" s="6" customFormat="1">
      <c r="A489" s="17"/>
      <c r="C489" s="9"/>
      <c r="D489" s="10"/>
      <c r="E489" s="10"/>
      <c r="F489" s="9"/>
      <c r="G489" s="1"/>
      <c r="H489" s="1"/>
      <c r="I489" s="1"/>
      <c r="J489" s="1"/>
    </row>
    <row r="490" spans="1:10" s="6" customFormat="1">
      <c r="A490" s="17"/>
      <c r="C490" s="9"/>
      <c r="D490" s="10"/>
      <c r="E490" s="10"/>
      <c r="F490" s="9"/>
      <c r="G490" s="1"/>
      <c r="H490" s="1"/>
      <c r="I490" s="1"/>
      <c r="J490" s="1"/>
    </row>
    <row r="491" spans="1:10" s="6" customFormat="1">
      <c r="A491" s="17"/>
      <c r="C491" s="9"/>
      <c r="D491" s="10"/>
      <c r="E491" s="10"/>
      <c r="F491" s="9"/>
      <c r="G491" s="1"/>
      <c r="H491" s="1"/>
      <c r="I491" s="1"/>
      <c r="J491" s="1"/>
    </row>
    <row r="492" spans="1:10" s="6" customFormat="1">
      <c r="A492" s="17"/>
      <c r="C492" s="9"/>
      <c r="D492" s="10"/>
      <c r="E492" s="10"/>
      <c r="F492" s="9"/>
      <c r="G492" s="1"/>
      <c r="H492" s="1"/>
      <c r="I492" s="1"/>
      <c r="J492" s="1"/>
    </row>
    <row r="493" spans="1:10" s="6" customFormat="1">
      <c r="A493" s="17"/>
      <c r="C493" s="9"/>
      <c r="D493" s="10"/>
      <c r="E493" s="10"/>
      <c r="F493" s="9"/>
      <c r="G493" s="1"/>
      <c r="H493" s="1"/>
      <c r="I493" s="1"/>
      <c r="J493" s="1"/>
    </row>
    <row r="494" spans="1:10" s="6" customFormat="1">
      <c r="A494" s="17"/>
      <c r="C494" s="9"/>
      <c r="D494" s="10"/>
      <c r="E494" s="10"/>
      <c r="F494" s="9"/>
      <c r="G494" s="1"/>
      <c r="H494" s="1"/>
      <c r="I494" s="1"/>
      <c r="J494" s="1"/>
    </row>
    <row r="495" spans="1:10" s="6" customFormat="1">
      <c r="A495" s="17"/>
      <c r="C495" s="9"/>
      <c r="D495" s="10"/>
      <c r="E495" s="10"/>
      <c r="F495" s="9"/>
      <c r="G495" s="1"/>
      <c r="H495" s="1"/>
      <c r="I495" s="1"/>
      <c r="J495" s="1"/>
    </row>
    <row r="496" spans="1:10" s="6" customFormat="1">
      <c r="A496" s="17"/>
      <c r="C496" s="9"/>
      <c r="D496" s="10"/>
      <c r="E496" s="10"/>
      <c r="F496" s="9"/>
      <c r="G496" s="1"/>
      <c r="H496" s="1"/>
      <c r="I496" s="1"/>
      <c r="J496" s="1"/>
    </row>
    <row r="497" spans="1:10" s="6" customFormat="1">
      <c r="A497" s="17"/>
      <c r="C497" s="9"/>
      <c r="D497" s="10"/>
      <c r="E497" s="10"/>
      <c r="F497" s="9"/>
      <c r="G497" s="1"/>
      <c r="H497" s="1"/>
      <c r="I497" s="1"/>
      <c r="J497" s="1"/>
    </row>
    <row r="498" spans="1:10" s="6" customFormat="1">
      <c r="A498" s="17"/>
      <c r="C498" s="9"/>
      <c r="D498" s="10"/>
      <c r="E498" s="10"/>
      <c r="F498" s="9"/>
      <c r="G498" s="1"/>
      <c r="H498" s="1"/>
      <c r="I498" s="1"/>
      <c r="J498" s="1"/>
    </row>
    <row r="499" spans="1:10" s="6" customFormat="1">
      <c r="A499" s="17"/>
      <c r="C499" s="9"/>
      <c r="D499" s="10"/>
      <c r="E499" s="10"/>
      <c r="F499" s="9"/>
      <c r="G499" s="1"/>
      <c r="H499" s="1"/>
      <c r="I499" s="1"/>
      <c r="J499" s="1"/>
    </row>
    <row r="500" spans="1:10" s="6" customFormat="1">
      <c r="A500" s="17"/>
      <c r="C500" s="9"/>
      <c r="D500" s="10"/>
      <c r="E500" s="10"/>
      <c r="F500" s="9"/>
      <c r="G500" s="1"/>
      <c r="H500" s="1"/>
      <c r="I500" s="1"/>
      <c r="J500" s="1"/>
    </row>
    <row r="501" spans="1:10" s="6" customFormat="1">
      <c r="A501" s="17"/>
      <c r="C501" s="9"/>
      <c r="D501" s="10"/>
      <c r="E501" s="10"/>
      <c r="F501" s="9"/>
      <c r="G501" s="1"/>
      <c r="H501" s="1"/>
      <c r="I501" s="1"/>
      <c r="J501" s="1"/>
    </row>
    <row r="502" spans="1:10" s="6" customFormat="1">
      <c r="A502" s="17"/>
      <c r="C502" s="9"/>
      <c r="D502" s="10"/>
      <c r="E502" s="10"/>
      <c r="F502" s="9"/>
      <c r="G502" s="1"/>
      <c r="H502" s="1"/>
      <c r="I502" s="1"/>
      <c r="J502" s="1"/>
    </row>
    <row r="503" spans="1:10" s="6" customFormat="1">
      <c r="A503" s="17"/>
      <c r="C503" s="9"/>
      <c r="D503" s="10"/>
      <c r="E503" s="10"/>
      <c r="F503" s="9"/>
      <c r="G503" s="1"/>
      <c r="H503" s="1"/>
      <c r="I503" s="1"/>
      <c r="J503" s="1"/>
    </row>
    <row r="504" spans="1:10" s="6" customFormat="1">
      <c r="A504" s="17"/>
      <c r="C504" s="9"/>
      <c r="D504" s="10"/>
      <c r="E504" s="10"/>
      <c r="F504" s="9"/>
      <c r="G504" s="1"/>
      <c r="H504" s="1"/>
      <c r="I504" s="1"/>
      <c r="J504" s="1"/>
    </row>
    <row r="505" spans="1:10" s="6" customFormat="1">
      <c r="A505" s="17"/>
      <c r="C505" s="9"/>
      <c r="D505" s="10"/>
      <c r="E505" s="10"/>
      <c r="F505" s="9"/>
      <c r="G505" s="1"/>
      <c r="H505" s="1"/>
      <c r="I505" s="1"/>
      <c r="J505" s="1"/>
    </row>
    <row r="506" spans="1:10" s="6" customFormat="1">
      <c r="A506" s="17"/>
      <c r="C506" s="9"/>
      <c r="D506" s="10"/>
      <c r="E506" s="10"/>
      <c r="F506" s="9"/>
      <c r="G506" s="1"/>
      <c r="H506" s="1"/>
      <c r="I506" s="1"/>
      <c r="J506" s="1"/>
    </row>
    <row r="507" spans="1:10" s="6" customFormat="1">
      <c r="A507" s="17"/>
      <c r="C507" s="9"/>
      <c r="D507" s="10"/>
      <c r="E507" s="10"/>
      <c r="F507" s="9"/>
      <c r="G507" s="1"/>
      <c r="H507" s="1"/>
      <c r="I507" s="1"/>
      <c r="J507" s="1"/>
    </row>
    <row r="508" spans="1:10" s="6" customFormat="1">
      <c r="A508" s="17"/>
      <c r="C508" s="9"/>
      <c r="D508" s="10"/>
      <c r="E508" s="10"/>
      <c r="F508" s="9"/>
      <c r="G508" s="1"/>
      <c r="H508" s="1"/>
      <c r="I508" s="1"/>
      <c r="J508" s="1"/>
    </row>
    <row r="509" spans="1:10" s="6" customFormat="1">
      <c r="A509" s="17"/>
      <c r="C509" s="9"/>
      <c r="D509" s="10"/>
      <c r="E509" s="10"/>
      <c r="F509" s="9"/>
      <c r="G509" s="1"/>
      <c r="H509" s="1"/>
      <c r="I509" s="1"/>
      <c r="J509" s="1"/>
    </row>
    <row r="510" spans="1:10" s="6" customFormat="1">
      <c r="A510" s="17"/>
      <c r="C510" s="9"/>
      <c r="D510" s="10"/>
      <c r="E510" s="10"/>
      <c r="F510" s="9"/>
      <c r="G510" s="1"/>
      <c r="H510" s="1"/>
      <c r="I510" s="1"/>
      <c r="J510" s="1"/>
    </row>
    <row r="511" spans="1:10" s="6" customFormat="1">
      <c r="A511" s="17"/>
      <c r="C511" s="9"/>
      <c r="D511" s="10"/>
      <c r="E511" s="10"/>
      <c r="F511" s="9"/>
      <c r="G511" s="1"/>
      <c r="H511" s="1"/>
      <c r="I511" s="1"/>
      <c r="J511" s="1"/>
    </row>
    <row r="512" spans="1:10" s="6" customFormat="1">
      <c r="A512" s="17"/>
      <c r="C512" s="9"/>
      <c r="D512" s="10"/>
      <c r="E512" s="10"/>
      <c r="F512" s="9"/>
      <c r="G512" s="1"/>
      <c r="H512" s="1"/>
      <c r="I512" s="1"/>
      <c r="J512" s="1"/>
    </row>
    <row r="513" spans="1:10" s="6" customFormat="1">
      <c r="A513" s="17"/>
      <c r="C513" s="9"/>
      <c r="D513" s="10"/>
      <c r="E513" s="10"/>
      <c r="F513" s="9"/>
      <c r="G513" s="1"/>
      <c r="H513" s="1"/>
      <c r="I513" s="1"/>
      <c r="J513" s="1"/>
    </row>
    <row r="514" spans="1:10" s="6" customFormat="1">
      <c r="A514" s="17"/>
      <c r="C514" s="9"/>
      <c r="D514" s="10"/>
      <c r="E514" s="10"/>
      <c r="F514" s="9"/>
      <c r="G514" s="1"/>
      <c r="H514" s="1"/>
      <c r="I514" s="1"/>
      <c r="J514" s="1"/>
    </row>
    <row r="515" spans="1:10" s="6" customFormat="1">
      <c r="A515" s="17"/>
      <c r="C515" s="9"/>
      <c r="D515" s="10"/>
      <c r="E515" s="10"/>
      <c r="F515" s="9"/>
      <c r="G515" s="1"/>
      <c r="H515" s="1"/>
      <c r="I515" s="1"/>
      <c r="J515" s="1"/>
    </row>
    <row r="516" spans="1:10" s="6" customFormat="1">
      <c r="A516" s="17"/>
      <c r="C516" s="9"/>
      <c r="D516" s="10"/>
      <c r="E516" s="10"/>
      <c r="F516" s="9"/>
      <c r="G516" s="1"/>
      <c r="H516" s="1"/>
      <c r="I516" s="1"/>
      <c r="J516" s="1"/>
    </row>
    <row r="517" spans="1:10" s="6" customFormat="1">
      <c r="A517" s="17"/>
      <c r="C517" s="9"/>
      <c r="D517" s="10"/>
      <c r="E517" s="10"/>
      <c r="F517" s="9"/>
      <c r="G517" s="1"/>
      <c r="H517" s="1"/>
      <c r="I517" s="1"/>
      <c r="J517" s="1"/>
    </row>
    <row r="518" spans="1:10" s="6" customFormat="1">
      <c r="A518" s="17"/>
      <c r="C518" s="9"/>
      <c r="D518" s="10"/>
      <c r="E518" s="10"/>
      <c r="F518" s="9"/>
      <c r="G518" s="1"/>
      <c r="H518" s="1"/>
      <c r="I518" s="1"/>
      <c r="J518" s="1"/>
    </row>
    <row r="519" spans="1:10" s="6" customFormat="1">
      <c r="A519" s="17"/>
      <c r="C519" s="9"/>
      <c r="D519" s="10"/>
      <c r="E519" s="10"/>
      <c r="F519" s="9"/>
      <c r="G519" s="1"/>
      <c r="H519" s="1"/>
      <c r="I519" s="1"/>
      <c r="J519" s="1"/>
    </row>
    <row r="520" spans="1:10" s="6" customFormat="1">
      <c r="A520" s="17"/>
      <c r="C520" s="9"/>
      <c r="D520" s="10"/>
      <c r="E520" s="10"/>
      <c r="F520" s="9"/>
      <c r="G520" s="1"/>
      <c r="H520" s="1"/>
      <c r="I520" s="1"/>
      <c r="J520" s="1"/>
    </row>
    <row r="521" spans="1:10" s="6" customFormat="1">
      <c r="A521" s="17"/>
      <c r="C521" s="9"/>
      <c r="D521" s="10"/>
      <c r="E521" s="10"/>
      <c r="F521" s="9"/>
      <c r="G521" s="1"/>
      <c r="H521" s="1"/>
      <c r="I521" s="1"/>
      <c r="J521" s="1"/>
    </row>
    <row r="522" spans="1:10" s="6" customFormat="1">
      <c r="A522" s="17"/>
      <c r="C522" s="9"/>
      <c r="D522" s="10"/>
      <c r="E522" s="10"/>
      <c r="F522" s="9"/>
      <c r="G522" s="1"/>
      <c r="H522" s="1"/>
      <c r="I522" s="1"/>
      <c r="J522" s="1"/>
    </row>
    <row r="523" spans="1:10" s="6" customFormat="1">
      <c r="A523" s="17"/>
      <c r="C523" s="9"/>
      <c r="D523" s="10"/>
      <c r="E523" s="10"/>
      <c r="F523" s="9"/>
      <c r="G523" s="1"/>
      <c r="H523" s="1"/>
      <c r="I523" s="1"/>
      <c r="J523" s="1"/>
    </row>
    <row r="524" spans="1:10" s="6" customFormat="1">
      <c r="A524" s="17"/>
      <c r="C524" s="9"/>
      <c r="D524" s="10"/>
      <c r="E524" s="10"/>
      <c r="F524" s="9"/>
      <c r="G524" s="1"/>
      <c r="H524" s="1"/>
      <c r="I524" s="1"/>
      <c r="J524" s="1"/>
    </row>
    <row r="525" spans="1:10" s="6" customFormat="1">
      <c r="A525" s="17"/>
      <c r="C525" s="9"/>
      <c r="D525" s="10"/>
      <c r="E525" s="10"/>
      <c r="F525" s="9"/>
      <c r="G525" s="1"/>
      <c r="H525" s="1"/>
      <c r="I525" s="1"/>
      <c r="J525" s="1"/>
    </row>
    <row r="526" spans="1:10" s="6" customFormat="1">
      <c r="A526" s="17"/>
      <c r="C526" s="9"/>
      <c r="D526" s="10"/>
      <c r="E526" s="10"/>
      <c r="F526" s="9"/>
      <c r="G526" s="1"/>
      <c r="H526" s="1"/>
      <c r="I526" s="1"/>
      <c r="J526" s="1"/>
    </row>
    <row r="527" spans="1:10" s="6" customFormat="1">
      <c r="A527" s="17"/>
      <c r="C527" s="9"/>
      <c r="D527" s="10"/>
      <c r="E527" s="10"/>
      <c r="F527" s="9"/>
      <c r="G527" s="1"/>
      <c r="H527" s="1"/>
      <c r="I527" s="1"/>
      <c r="J527" s="1"/>
    </row>
    <row r="528" spans="1:10" s="6" customFormat="1">
      <c r="A528" s="17"/>
      <c r="C528" s="9"/>
      <c r="D528" s="10"/>
      <c r="E528" s="10"/>
      <c r="F528" s="9"/>
      <c r="G528" s="1"/>
      <c r="H528" s="1"/>
      <c r="I528" s="1"/>
      <c r="J528" s="1"/>
    </row>
    <row r="529" spans="1:10" s="6" customFormat="1">
      <c r="A529" s="17"/>
      <c r="C529" s="9"/>
      <c r="D529" s="10"/>
      <c r="E529" s="10"/>
      <c r="F529" s="9"/>
      <c r="G529" s="1"/>
      <c r="H529" s="1"/>
      <c r="I529" s="1"/>
      <c r="J529" s="1"/>
    </row>
    <row r="530" spans="1:10" s="6" customFormat="1">
      <c r="A530" s="17"/>
      <c r="C530" s="9"/>
      <c r="D530" s="10"/>
      <c r="E530" s="10"/>
      <c r="F530" s="9"/>
      <c r="G530" s="1"/>
      <c r="H530" s="1"/>
      <c r="I530" s="1"/>
      <c r="J530" s="1"/>
    </row>
    <row r="531" spans="1:10" s="6" customFormat="1">
      <c r="A531" s="17"/>
      <c r="C531" s="9"/>
      <c r="D531" s="10"/>
      <c r="E531" s="10"/>
      <c r="F531" s="9"/>
      <c r="G531" s="1"/>
      <c r="H531" s="1"/>
      <c r="I531" s="1"/>
      <c r="J531" s="1"/>
    </row>
    <row r="532" spans="1:10" s="6" customFormat="1">
      <c r="A532" s="17"/>
      <c r="C532" s="9"/>
      <c r="D532" s="10"/>
      <c r="E532" s="10"/>
      <c r="F532" s="9"/>
      <c r="G532" s="1"/>
      <c r="H532" s="1"/>
      <c r="I532" s="1"/>
      <c r="J532" s="1"/>
    </row>
    <row r="533" spans="1:10" s="6" customFormat="1">
      <c r="A533" s="17"/>
      <c r="C533" s="9"/>
      <c r="D533" s="10"/>
      <c r="E533" s="10"/>
      <c r="F533" s="9"/>
      <c r="G533" s="1"/>
      <c r="H533" s="1"/>
      <c r="I533" s="1"/>
      <c r="J533" s="1"/>
    </row>
    <row r="534" spans="1:10" s="6" customFormat="1">
      <c r="A534" s="17"/>
      <c r="C534" s="9"/>
      <c r="D534" s="10"/>
      <c r="E534" s="10"/>
      <c r="F534" s="9"/>
      <c r="G534" s="1"/>
      <c r="H534" s="1"/>
      <c r="I534" s="1"/>
      <c r="J534" s="1"/>
    </row>
    <row r="535" spans="1:10" s="6" customFormat="1">
      <c r="A535" s="17"/>
      <c r="C535" s="9"/>
      <c r="D535" s="10"/>
      <c r="E535" s="10"/>
      <c r="F535" s="9"/>
      <c r="G535" s="1"/>
      <c r="H535" s="1"/>
      <c r="I535" s="1"/>
      <c r="J535" s="1"/>
    </row>
    <row r="536" spans="1:10" s="6" customFormat="1">
      <c r="A536" s="17"/>
      <c r="C536" s="9"/>
      <c r="D536" s="10"/>
      <c r="E536" s="10"/>
      <c r="F536" s="9"/>
      <c r="G536" s="1"/>
      <c r="H536" s="1"/>
      <c r="I536" s="1"/>
      <c r="J536" s="1"/>
    </row>
    <row r="537" spans="1:10" s="6" customFormat="1">
      <c r="A537" s="17"/>
      <c r="C537" s="9"/>
      <c r="D537" s="10"/>
      <c r="E537" s="10"/>
      <c r="F537" s="9"/>
      <c r="G537" s="1"/>
      <c r="H537" s="1"/>
      <c r="I537" s="1"/>
      <c r="J537" s="1"/>
    </row>
    <row r="538" spans="1:10" s="6" customFormat="1">
      <c r="A538" s="17"/>
      <c r="C538" s="9"/>
      <c r="D538" s="10"/>
      <c r="E538" s="10"/>
      <c r="F538" s="9"/>
      <c r="G538" s="1"/>
      <c r="H538" s="1"/>
      <c r="I538" s="1"/>
      <c r="J538" s="1"/>
    </row>
    <row r="539" spans="1:10" s="6" customFormat="1">
      <c r="A539" s="17"/>
      <c r="C539" s="9"/>
      <c r="D539" s="10"/>
      <c r="E539" s="10"/>
      <c r="F539" s="9"/>
      <c r="G539" s="1"/>
      <c r="H539" s="1"/>
      <c r="I539" s="1"/>
      <c r="J539" s="1"/>
    </row>
    <row r="540" spans="1:10" s="6" customFormat="1">
      <c r="A540" s="17"/>
      <c r="C540" s="9"/>
      <c r="D540" s="10"/>
      <c r="E540" s="10"/>
      <c r="F540" s="9"/>
      <c r="G540" s="1"/>
      <c r="H540" s="1"/>
      <c r="I540" s="1"/>
      <c r="J540" s="1"/>
    </row>
    <row r="541" spans="1:10" s="6" customFormat="1">
      <c r="A541" s="17"/>
      <c r="C541" s="9"/>
      <c r="D541" s="10"/>
      <c r="E541" s="10"/>
      <c r="F541" s="9"/>
      <c r="G541" s="1"/>
      <c r="H541" s="1"/>
      <c r="I541" s="1"/>
      <c r="J541" s="1"/>
    </row>
    <row r="542" spans="1:10" s="6" customFormat="1">
      <c r="A542" s="17"/>
      <c r="C542" s="9"/>
      <c r="D542" s="10"/>
      <c r="E542" s="10"/>
      <c r="F542" s="9"/>
      <c r="G542" s="1"/>
      <c r="H542" s="1"/>
      <c r="I542" s="1"/>
      <c r="J542" s="1"/>
    </row>
    <row r="543" spans="1:10" s="6" customFormat="1">
      <c r="A543" s="17"/>
      <c r="C543" s="9"/>
      <c r="D543" s="10"/>
      <c r="E543" s="10"/>
      <c r="F543" s="9"/>
      <c r="G543" s="1"/>
      <c r="H543" s="1"/>
      <c r="I543" s="1"/>
      <c r="J543" s="1"/>
    </row>
    <row r="544" spans="1:10" s="6" customFormat="1">
      <c r="A544" s="17"/>
      <c r="C544" s="9"/>
      <c r="D544" s="10"/>
      <c r="E544" s="10"/>
      <c r="F544" s="9"/>
      <c r="G544" s="1"/>
      <c r="H544" s="1"/>
      <c r="I544" s="1"/>
      <c r="J544" s="1"/>
    </row>
    <row r="545" spans="1:10" s="6" customFormat="1">
      <c r="A545" s="17"/>
      <c r="C545" s="9"/>
      <c r="D545" s="10"/>
      <c r="E545" s="10"/>
      <c r="F545" s="9"/>
      <c r="G545" s="1"/>
      <c r="H545" s="1"/>
      <c r="I545" s="1"/>
      <c r="J545" s="1"/>
    </row>
    <row r="546" spans="1:10" s="6" customFormat="1">
      <c r="A546" s="17"/>
      <c r="C546" s="9"/>
      <c r="D546" s="10"/>
      <c r="E546" s="10"/>
      <c r="F546" s="9"/>
      <c r="G546" s="1"/>
      <c r="H546" s="1"/>
      <c r="I546" s="1"/>
      <c r="J546" s="1"/>
    </row>
    <row r="547" spans="1:10" s="6" customFormat="1">
      <c r="A547" s="17"/>
      <c r="C547" s="9"/>
      <c r="D547" s="10"/>
      <c r="E547" s="10"/>
      <c r="F547" s="9"/>
      <c r="G547" s="1"/>
      <c r="H547" s="1"/>
      <c r="I547" s="1"/>
      <c r="J547" s="1"/>
    </row>
    <row r="548" spans="1:10" s="6" customFormat="1">
      <c r="A548" s="17"/>
      <c r="C548" s="9"/>
      <c r="D548" s="10"/>
      <c r="E548" s="10"/>
      <c r="F548" s="9"/>
      <c r="G548" s="1"/>
      <c r="H548" s="1"/>
      <c r="I548" s="1"/>
      <c r="J548" s="1"/>
    </row>
    <row r="549" spans="1:10" s="6" customFormat="1">
      <c r="A549" s="17"/>
      <c r="C549" s="9"/>
      <c r="D549" s="10"/>
      <c r="E549" s="10"/>
      <c r="F549" s="9"/>
      <c r="G549" s="1"/>
      <c r="H549" s="1"/>
      <c r="I549" s="1"/>
      <c r="J549" s="1"/>
    </row>
    <row r="550" spans="1:10" s="6" customFormat="1">
      <c r="A550" s="17"/>
      <c r="C550" s="9"/>
      <c r="D550" s="10"/>
      <c r="E550" s="10"/>
      <c r="F550" s="9"/>
      <c r="G550" s="1"/>
      <c r="H550" s="1"/>
      <c r="I550" s="1"/>
      <c r="J550" s="1"/>
    </row>
    <row r="551" spans="1:10" s="6" customFormat="1">
      <c r="A551" s="17"/>
      <c r="C551" s="9"/>
      <c r="D551" s="10"/>
      <c r="E551" s="10"/>
      <c r="F551" s="9"/>
      <c r="G551" s="1"/>
      <c r="H551" s="1"/>
      <c r="I551" s="1"/>
      <c r="J551" s="1"/>
    </row>
    <row r="552" spans="1:10" s="6" customFormat="1">
      <c r="A552" s="17"/>
      <c r="C552" s="9"/>
      <c r="D552" s="10"/>
      <c r="E552" s="10"/>
      <c r="F552" s="9"/>
      <c r="G552" s="1"/>
      <c r="H552" s="1"/>
      <c r="I552" s="1"/>
      <c r="J552" s="1"/>
    </row>
    <row r="553" spans="1:10" s="6" customFormat="1">
      <c r="A553" s="17"/>
      <c r="C553" s="9"/>
      <c r="D553" s="10"/>
      <c r="E553" s="10"/>
      <c r="F553" s="9"/>
      <c r="G553" s="1"/>
      <c r="H553" s="1"/>
      <c r="I553" s="1"/>
      <c r="J553" s="1"/>
    </row>
    <row r="554" spans="1:10" s="6" customFormat="1">
      <c r="A554" s="17"/>
      <c r="C554" s="9"/>
      <c r="D554" s="10"/>
      <c r="E554" s="10"/>
      <c r="F554" s="9"/>
      <c r="G554" s="1"/>
      <c r="H554" s="1"/>
      <c r="I554" s="1"/>
      <c r="J554" s="1"/>
    </row>
    <row r="555" spans="1:10" s="6" customFormat="1">
      <c r="A555" s="17"/>
      <c r="C555" s="9"/>
      <c r="D555" s="10"/>
      <c r="E555" s="10"/>
      <c r="F555" s="9"/>
      <c r="G555" s="1"/>
      <c r="H555" s="1"/>
      <c r="I555" s="1"/>
      <c r="J555" s="1"/>
    </row>
    <row r="556" spans="1:10" s="6" customFormat="1">
      <c r="A556" s="17"/>
      <c r="C556" s="9"/>
      <c r="D556" s="10"/>
      <c r="E556" s="10"/>
      <c r="F556" s="9"/>
      <c r="G556" s="1"/>
      <c r="H556" s="1"/>
      <c r="I556" s="1"/>
      <c r="J556" s="1"/>
    </row>
    <row r="557" spans="1:10" s="6" customFormat="1">
      <c r="A557" s="17"/>
      <c r="C557" s="9"/>
      <c r="D557" s="10"/>
      <c r="E557" s="10"/>
      <c r="F557" s="9"/>
      <c r="G557" s="1"/>
      <c r="H557" s="1"/>
      <c r="I557" s="1"/>
      <c r="J557" s="1"/>
    </row>
    <row r="558" spans="1:10" s="6" customFormat="1">
      <c r="A558" s="17"/>
      <c r="C558" s="9"/>
      <c r="D558" s="10"/>
      <c r="E558" s="10"/>
      <c r="F558" s="9"/>
      <c r="G558" s="1"/>
      <c r="H558" s="1"/>
      <c r="I558" s="1"/>
      <c r="J558" s="1"/>
    </row>
    <row r="559" spans="1:10" s="6" customFormat="1">
      <c r="A559" s="17"/>
      <c r="C559" s="9"/>
      <c r="D559" s="10"/>
      <c r="E559" s="10"/>
      <c r="F559" s="9"/>
      <c r="G559" s="1"/>
      <c r="H559" s="1"/>
      <c r="I559" s="1"/>
      <c r="J559" s="1"/>
    </row>
    <row r="560" spans="1:10" s="6" customFormat="1">
      <c r="A560" s="17"/>
      <c r="C560" s="9"/>
      <c r="D560" s="10"/>
      <c r="E560" s="10"/>
      <c r="F560" s="9"/>
      <c r="G560" s="1"/>
      <c r="H560" s="1"/>
      <c r="I560" s="1"/>
      <c r="J560" s="1"/>
    </row>
    <row r="561" spans="1:10" s="6" customFormat="1">
      <c r="A561" s="17"/>
      <c r="C561" s="9"/>
      <c r="D561" s="10"/>
      <c r="E561" s="10"/>
      <c r="F561" s="9"/>
      <c r="G561" s="1"/>
      <c r="H561" s="1"/>
      <c r="I561" s="1"/>
      <c r="J561" s="1"/>
    </row>
    <row r="562" spans="1:10" s="6" customFormat="1">
      <c r="A562" s="17"/>
      <c r="C562" s="9"/>
      <c r="D562" s="10"/>
      <c r="E562" s="10"/>
      <c r="F562" s="9"/>
      <c r="G562" s="1"/>
      <c r="H562" s="1"/>
      <c r="I562" s="1"/>
      <c r="J562" s="1"/>
    </row>
    <row r="563" spans="1:10" s="6" customFormat="1">
      <c r="A563" s="17"/>
      <c r="C563" s="9"/>
      <c r="D563" s="10"/>
      <c r="E563" s="10"/>
      <c r="F563" s="9"/>
      <c r="G563" s="1"/>
      <c r="H563" s="1"/>
      <c r="I563" s="1"/>
      <c r="J563" s="1"/>
    </row>
    <row r="564" spans="1:10" s="6" customFormat="1">
      <c r="A564" s="17"/>
      <c r="C564" s="9"/>
      <c r="D564" s="10"/>
      <c r="E564" s="10"/>
      <c r="F564" s="9"/>
      <c r="G564" s="1"/>
      <c r="H564" s="1"/>
      <c r="I564" s="1"/>
      <c r="J564" s="1"/>
    </row>
    <row r="565" spans="1:10" s="6" customFormat="1">
      <c r="A565" s="17"/>
      <c r="C565" s="9"/>
      <c r="D565" s="10"/>
      <c r="E565" s="10"/>
      <c r="F565" s="9"/>
      <c r="G565" s="1"/>
      <c r="H565" s="1"/>
      <c r="I565" s="1"/>
      <c r="J565" s="1"/>
    </row>
    <row r="566" spans="1:10" s="6" customFormat="1">
      <c r="A566" s="17"/>
      <c r="C566" s="9"/>
      <c r="D566" s="10"/>
      <c r="E566" s="10"/>
      <c r="F566" s="9"/>
      <c r="G566" s="1"/>
      <c r="H566" s="1"/>
      <c r="I566" s="1"/>
      <c r="J566" s="1"/>
    </row>
    <row r="567" spans="1:10" s="6" customFormat="1">
      <c r="A567" s="17"/>
      <c r="C567" s="9"/>
      <c r="D567" s="10"/>
      <c r="E567" s="10"/>
      <c r="F567" s="9"/>
      <c r="G567" s="1"/>
      <c r="H567" s="1"/>
      <c r="I567" s="1"/>
      <c r="J567" s="1"/>
    </row>
    <row r="568" spans="1:10" s="6" customFormat="1">
      <c r="A568" s="17"/>
      <c r="C568" s="9"/>
      <c r="D568" s="10"/>
      <c r="E568" s="10"/>
      <c r="F568" s="9"/>
      <c r="G568" s="1"/>
      <c r="H568" s="1"/>
      <c r="I568" s="1"/>
      <c r="J568" s="1"/>
    </row>
    <row r="569" spans="1:10" s="6" customFormat="1">
      <c r="A569" s="17"/>
      <c r="C569" s="9"/>
      <c r="D569" s="10"/>
      <c r="E569" s="10"/>
      <c r="F569" s="9"/>
      <c r="G569" s="1"/>
      <c r="H569" s="1"/>
      <c r="I569" s="1"/>
      <c r="J569" s="1"/>
    </row>
    <row r="570" spans="1:10" s="6" customFormat="1">
      <c r="A570" s="17"/>
      <c r="C570" s="9"/>
      <c r="D570" s="10"/>
      <c r="E570" s="10"/>
      <c r="F570" s="9"/>
      <c r="G570" s="1"/>
      <c r="H570" s="1"/>
      <c r="I570" s="1"/>
      <c r="J570" s="1"/>
    </row>
    <row r="571" spans="1:10" s="6" customFormat="1">
      <c r="A571" s="17"/>
      <c r="C571" s="9"/>
      <c r="D571" s="10"/>
      <c r="E571" s="10"/>
      <c r="F571" s="9"/>
      <c r="G571" s="1"/>
      <c r="H571" s="1"/>
      <c r="I571" s="1"/>
      <c r="J571" s="1"/>
    </row>
    <row r="572" spans="1:10" s="6" customFormat="1">
      <c r="A572" s="17"/>
      <c r="C572" s="9"/>
      <c r="D572" s="10"/>
      <c r="E572" s="10"/>
      <c r="F572" s="9"/>
      <c r="G572" s="1"/>
      <c r="H572" s="1"/>
      <c r="I572" s="1"/>
      <c r="J572" s="1"/>
    </row>
    <row r="573" spans="1:10" s="6" customFormat="1">
      <c r="A573" s="17"/>
      <c r="C573" s="9"/>
      <c r="D573" s="10"/>
      <c r="E573" s="10"/>
      <c r="F573" s="9"/>
      <c r="G573" s="1"/>
      <c r="H573" s="1"/>
      <c r="I573" s="1"/>
      <c r="J573" s="1"/>
    </row>
    <row r="574" spans="1:10" s="6" customFormat="1">
      <c r="A574" s="17"/>
      <c r="C574" s="9"/>
      <c r="D574" s="10"/>
      <c r="E574" s="10"/>
      <c r="F574" s="9"/>
      <c r="G574" s="1"/>
      <c r="H574" s="1"/>
      <c r="I574" s="1"/>
      <c r="J574" s="1"/>
    </row>
    <row r="575" spans="1:10" s="6" customFormat="1">
      <c r="A575" s="17"/>
      <c r="C575" s="9"/>
      <c r="D575" s="10"/>
      <c r="E575" s="10"/>
      <c r="F575" s="9"/>
      <c r="G575" s="1"/>
      <c r="H575" s="1"/>
      <c r="I575" s="1"/>
      <c r="J575" s="1"/>
    </row>
    <row r="576" spans="1:10" s="6" customFormat="1">
      <c r="A576" s="17"/>
      <c r="C576" s="9"/>
      <c r="D576" s="10"/>
      <c r="E576" s="10"/>
      <c r="F576" s="9"/>
      <c r="G576" s="1"/>
      <c r="H576" s="1"/>
      <c r="I576" s="1"/>
      <c r="J576" s="1"/>
    </row>
    <row r="577" spans="1:10" s="6" customFormat="1">
      <c r="A577" s="17"/>
      <c r="C577" s="9"/>
      <c r="D577" s="10"/>
      <c r="E577" s="10"/>
      <c r="F577" s="9"/>
      <c r="G577" s="1"/>
      <c r="H577" s="1"/>
      <c r="I577" s="1"/>
      <c r="J577" s="1"/>
    </row>
    <row r="578" spans="1:10" s="6" customFormat="1">
      <c r="A578" s="17"/>
      <c r="C578" s="9"/>
      <c r="D578" s="10"/>
      <c r="E578" s="10"/>
      <c r="F578" s="9"/>
      <c r="G578" s="1"/>
      <c r="H578" s="1"/>
      <c r="I578" s="1"/>
      <c r="J578" s="1"/>
    </row>
    <row r="579" spans="1:10" s="6" customFormat="1">
      <c r="A579" s="17"/>
      <c r="C579" s="9"/>
      <c r="D579" s="10"/>
      <c r="E579" s="10"/>
      <c r="F579" s="9"/>
      <c r="G579" s="1"/>
      <c r="H579" s="1"/>
      <c r="I579" s="1"/>
      <c r="J579" s="1"/>
    </row>
    <row r="580" spans="1:10" s="6" customFormat="1">
      <c r="A580" s="17"/>
      <c r="C580" s="9"/>
      <c r="D580" s="10"/>
      <c r="E580" s="10"/>
      <c r="F580" s="9"/>
      <c r="G580" s="1"/>
      <c r="H580" s="1"/>
      <c r="I580" s="1"/>
      <c r="J580" s="1"/>
    </row>
    <row r="581" spans="1:10" s="6" customFormat="1">
      <c r="A581" s="17"/>
      <c r="C581" s="9"/>
      <c r="D581" s="10"/>
      <c r="E581" s="10"/>
      <c r="F581" s="9"/>
      <c r="G581" s="1"/>
      <c r="H581" s="1"/>
      <c r="I581" s="1"/>
      <c r="J581" s="1"/>
    </row>
    <row r="582" spans="1:10" s="6" customFormat="1">
      <c r="A582" s="17"/>
      <c r="C582" s="9"/>
      <c r="D582" s="10"/>
      <c r="E582" s="10"/>
      <c r="F582" s="9"/>
      <c r="G582" s="1"/>
      <c r="H582" s="1"/>
      <c r="I582" s="1"/>
      <c r="J582" s="1"/>
    </row>
    <row r="583" spans="1:10" s="6" customFormat="1">
      <c r="A583" s="17"/>
      <c r="C583" s="9"/>
      <c r="D583" s="10"/>
      <c r="E583" s="10"/>
      <c r="F583" s="9"/>
      <c r="G583" s="1"/>
      <c r="H583" s="1"/>
      <c r="I583" s="1"/>
      <c r="J583" s="1"/>
    </row>
    <row r="584" spans="1:10" s="6" customFormat="1">
      <c r="A584" s="17"/>
      <c r="C584" s="9"/>
      <c r="D584" s="10"/>
      <c r="E584" s="10"/>
      <c r="F584" s="9"/>
      <c r="G584" s="1"/>
      <c r="H584" s="1"/>
      <c r="I584" s="1"/>
      <c r="J584" s="1"/>
    </row>
    <row r="585" spans="1:10" s="6" customFormat="1">
      <c r="A585" s="17"/>
      <c r="C585" s="9"/>
      <c r="D585" s="10"/>
      <c r="E585" s="10"/>
      <c r="F585" s="9"/>
      <c r="G585" s="1"/>
      <c r="H585" s="1"/>
      <c r="I585" s="1"/>
      <c r="J585" s="1"/>
    </row>
    <row r="586" spans="1:10" s="6" customFormat="1">
      <c r="A586" s="17"/>
      <c r="C586" s="9"/>
      <c r="D586" s="10"/>
      <c r="E586" s="10"/>
      <c r="F586" s="9"/>
      <c r="G586" s="1"/>
      <c r="H586" s="1"/>
      <c r="I586" s="1"/>
      <c r="J586" s="1"/>
    </row>
    <row r="587" spans="1:10" s="6" customFormat="1">
      <c r="A587" s="17"/>
      <c r="C587" s="9"/>
      <c r="D587" s="10"/>
      <c r="E587" s="10"/>
      <c r="F587" s="9"/>
      <c r="G587" s="1"/>
      <c r="H587" s="1"/>
      <c r="I587" s="1"/>
      <c r="J587" s="1"/>
    </row>
    <row r="588" spans="1:10" s="6" customFormat="1">
      <c r="A588" s="17"/>
      <c r="C588" s="9"/>
      <c r="D588" s="10"/>
      <c r="E588" s="10"/>
      <c r="F588" s="9"/>
      <c r="G588" s="1"/>
      <c r="H588" s="1"/>
      <c r="I588" s="1"/>
      <c r="J588" s="1"/>
    </row>
    <row r="589" spans="1:10" s="6" customFormat="1">
      <c r="A589" s="17"/>
      <c r="C589" s="9"/>
      <c r="D589" s="10"/>
      <c r="E589" s="10"/>
      <c r="F589" s="9"/>
      <c r="G589" s="1"/>
      <c r="H589" s="1"/>
      <c r="I589" s="1"/>
      <c r="J589" s="1"/>
    </row>
    <row r="590" spans="1:10" s="6" customFormat="1">
      <c r="A590" s="17"/>
      <c r="C590" s="9"/>
      <c r="D590" s="10"/>
      <c r="E590" s="10"/>
      <c r="F590" s="9"/>
      <c r="G590" s="1"/>
      <c r="H590" s="1"/>
      <c r="I590" s="1"/>
      <c r="J590" s="1"/>
    </row>
    <row r="591" spans="1:10" s="6" customFormat="1">
      <c r="A591" s="17"/>
      <c r="C591" s="9"/>
      <c r="D591" s="10"/>
      <c r="E591" s="10"/>
      <c r="F591" s="9"/>
      <c r="G591" s="1"/>
      <c r="H591" s="1"/>
      <c r="I591" s="1"/>
      <c r="J591" s="1"/>
    </row>
    <row r="592" spans="1:10" s="6" customFormat="1">
      <c r="A592" s="17"/>
      <c r="C592" s="9"/>
      <c r="D592" s="10"/>
      <c r="E592" s="10"/>
      <c r="F592" s="9"/>
      <c r="G592" s="1"/>
      <c r="H592" s="1"/>
      <c r="I592" s="1"/>
      <c r="J592" s="1"/>
    </row>
    <row r="593" spans="1:10" s="6" customFormat="1">
      <c r="A593" s="17"/>
      <c r="C593" s="9"/>
      <c r="D593" s="10"/>
      <c r="E593" s="10"/>
      <c r="F593" s="9"/>
      <c r="G593" s="1"/>
      <c r="H593" s="1"/>
      <c r="I593" s="1"/>
      <c r="J593" s="1"/>
    </row>
    <row r="594" spans="1:10" s="6" customFormat="1">
      <c r="A594" s="17"/>
      <c r="C594" s="9"/>
      <c r="D594" s="10"/>
      <c r="E594" s="10"/>
      <c r="F594" s="9"/>
      <c r="G594" s="1"/>
      <c r="H594" s="1"/>
      <c r="I594" s="1"/>
      <c r="J594" s="1"/>
    </row>
    <row r="595" spans="1:10" s="6" customFormat="1">
      <c r="A595" s="17"/>
      <c r="C595" s="9"/>
      <c r="D595" s="10"/>
      <c r="E595" s="10"/>
      <c r="F595" s="9"/>
      <c r="G595" s="1"/>
      <c r="H595" s="1"/>
      <c r="I595" s="1"/>
      <c r="J595" s="1"/>
    </row>
    <row r="596" spans="1:10" s="6" customFormat="1">
      <c r="A596" s="17"/>
      <c r="C596" s="9"/>
      <c r="D596" s="10"/>
      <c r="E596" s="10"/>
      <c r="F596" s="9"/>
      <c r="G596" s="1"/>
      <c r="H596" s="1"/>
      <c r="I596" s="1"/>
      <c r="J596" s="1"/>
    </row>
    <row r="597" spans="1:10" s="6" customFormat="1">
      <c r="A597" s="17"/>
      <c r="C597" s="9"/>
      <c r="D597" s="10"/>
      <c r="E597" s="10"/>
      <c r="F597" s="9"/>
      <c r="G597" s="1"/>
      <c r="H597" s="1"/>
      <c r="I597" s="1"/>
      <c r="J597" s="1"/>
    </row>
    <row r="598" spans="1:10" s="6" customFormat="1">
      <c r="A598" s="17"/>
      <c r="C598" s="9"/>
      <c r="D598" s="10"/>
      <c r="E598" s="10"/>
      <c r="F598" s="9"/>
      <c r="G598" s="1"/>
      <c r="H598" s="1"/>
      <c r="I598" s="1"/>
      <c r="J598" s="1"/>
    </row>
    <row r="599" spans="1:10" s="6" customFormat="1">
      <c r="A599" s="17"/>
      <c r="C599" s="9"/>
      <c r="D599" s="10"/>
      <c r="E599" s="10"/>
      <c r="F599" s="9"/>
      <c r="G599" s="1"/>
      <c r="H599" s="1"/>
      <c r="I599" s="1"/>
      <c r="J599" s="1"/>
    </row>
    <row r="600" spans="1:10" s="6" customFormat="1">
      <c r="A600" s="17"/>
      <c r="C600" s="9"/>
      <c r="D600" s="10"/>
      <c r="E600" s="10"/>
      <c r="F600" s="9"/>
      <c r="G600" s="1"/>
      <c r="H600" s="1"/>
      <c r="I600" s="1"/>
      <c r="J600" s="1"/>
    </row>
    <row r="601" spans="1:10" s="6" customFormat="1">
      <c r="A601" s="17"/>
      <c r="C601" s="9"/>
      <c r="D601" s="10"/>
      <c r="E601" s="10"/>
      <c r="F601" s="9"/>
      <c r="G601" s="1"/>
      <c r="H601" s="1"/>
      <c r="I601" s="1"/>
      <c r="J601" s="1"/>
    </row>
    <row r="602" spans="1:10" s="6" customFormat="1">
      <c r="A602" s="17"/>
      <c r="C602" s="9"/>
      <c r="D602" s="10"/>
      <c r="E602" s="10"/>
      <c r="F602" s="9"/>
      <c r="G602" s="1"/>
      <c r="H602" s="1"/>
      <c r="I602" s="1"/>
      <c r="J602" s="1"/>
    </row>
    <row r="603" spans="1:10" s="6" customFormat="1">
      <c r="A603" s="17"/>
      <c r="C603" s="9"/>
      <c r="D603" s="10"/>
      <c r="E603" s="10"/>
      <c r="F603" s="9"/>
      <c r="G603" s="1"/>
      <c r="H603" s="1"/>
      <c r="I603" s="1"/>
      <c r="J603" s="1"/>
    </row>
    <row r="604" spans="1:10" s="6" customFormat="1">
      <c r="A604" s="17"/>
      <c r="C604" s="9"/>
      <c r="D604" s="10"/>
      <c r="E604" s="10"/>
      <c r="F604" s="9"/>
      <c r="G604" s="1"/>
      <c r="H604" s="1"/>
      <c r="I604" s="1"/>
      <c r="J604" s="1"/>
    </row>
    <row r="605" spans="1:10" s="6" customFormat="1">
      <c r="A605" s="17"/>
      <c r="C605" s="9"/>
      <c r="D605" s="10"/>
      <c r="E605" s="10"/>
      <c r="F605" s="9"/>
      <c r="G605" s="1"/>
      <c r="H605" s="1"/>
      <c r="I605" s="1"/>
      <c r="J605" s="1"/>
    </row>
    <row r="606" spans="1:10" s="6" customFormat="1">
      <c r="A606" s="17"/>
      <c r="C606" s="9"/>
      <c r="D606" s="10"/>
      <c r="E606" s="10"/>
      <c r="F606" s="9"/>
      <c r="G606" s="1"/>
      <c r="H606" s="1"/>
      <c r="I606" s="1"/>
      <c r="J606" s="1"/>
    </row>
    <row r="607" spans="1:10" s="6" customFormat="1">
      <c r="A607" s="17"/>
      <c r="C607" s="9"/>
      <c r="D607" s="10"/>
      <c r="E607" s="10"/>
      <c r="F607" s="9"/>
      <c r="G607" s="1"/>
      <c r="H607" s="1"/>
      <c r="I607" s="1"/>
      <c r="J607" s="1"/>
    </row>
    <row r="608" spans="1:10" s="6" customFormat="1">
      <c r="A608" s="17"/>
      <c r="C608" s="9"/>
      <c r="D608" s="10"/>
      <c r="E608" s="10"/>
      <c r="F608" s="9"/>
      <c r="G608" s="1"/>
      <c r="H608" s="1"/>
      <c r="I608" s="1"/>
      <c r="J608" s="1"/>
    </row>
    <row r="609" spans="1:10" s="6" customFormat="1">
      <c r="A609" s="17"/>
      <c r="C609" s="9"/>
      <c r="D609" s="10"/>
      <c r="E609" s="10"/>
      <c r="F609" s="9"/>
      <c r="G609" s="1"/>
      <c r="H609" s="1"/>
      <c r="I609" s="1"/>
      <c r="J609" s="1"/>
    </row>
    <row r="610" spans="1:10" s="6" customFormat="1">
      <c r="A610" s="17"/>
      <c r="C610" s="9"/>
      <c r="D610" s="10"/>
      <c r="E610" s="10"/>
      <c r="F610" s="9"/>
      <c r="G610" s="1"/>
      <c r="H610" s="1"/>
      <c r="I610" s="1"/>
      <c r="J610" s="1"/>
    </row>
    <row r="611" spans="1:10" s="6" customFormat="1">
      <c r="A611" s="17"/>
      <c r="C611" s="9"/>
      <c r="D611" s="10"/>
      <c r="E611" s="10"/>
      <c r="F611" s="9"/>
      <c r="G611" s="1"/>
      <c r="H611" s="1"/>
      <c r="I611" s="1"/>
      <c r="J611" s="1"/>
    </row>
    <row r="612" spans="1:10" s="6" customFormat="1">
      <c r="A612" s="17"/>
      <c r="C612" s="9"/>
      <c r="D612" s="10"/>
      <c r="E612" s="10"/>
      <c r="F612" s="9"/>
      <c r="G612" s="1"/>
      <c r="H612" s="1"/>
      <c r="I612" s="1"/>
      <c r="J612" s="1"/>
    </row>
    <row r="613" spans="1:10" s="6" customFormat="1">
      <c r="A613" s="17"/>
      <c r="C613" s="9"/>
      <c r="D613" s="10"/>
      <c r="E613" s="10"/>
      <c r="F613" s="9"/>
      <c r="G613" s="1"/>
      <c r="H613" s="1"/>
      <c r="I613" s="1"/>
      <c r="J613" s="1"/>
    </row>
    <row r="614" spans="1:10" s="6" customFormat="1">
      <c r="A614" s="17"/>
      <c r="C614" s="9"/>
      <c r="D614" s="10"/>
      <c r="E614" s="10"/>
      <c r="F614" s="9"/>
      <c r="G614" s="1"/>
      <c r="H614" s="1"/>
      <c r="I614" s="1"/>
      <c r="J614" s="1"/>
    </row>
    <row r="615" spans="1:10" s="6" customFormat="1">
      <c r="A615" s="17"/>
      <c r="C615" s="9"/>
      <c r="D615" s="10"/>
      <c r="E615" s="10"/>
      <c r="F615" s="9"/>
      <c r="G615" s="1"/>
      <c r="H615" s="1"/>
      <c r="I615" s="1"/>
      <c r="J615" s="1"/>
    </row>
    <row r="616" spans="1:10" s="6" customFormat="1">
      <c r="A616" s="17"/>
      <c r="C616" s="9"/>
      <c r="D616" s="10"/>
      <c r="E616" s="10"/>
      <c r="F616" s="9"/>
      <c r="G616" s="1"/>
      <c r="H616" s="1"/>
      <c r="I616" s="1"/>
      <c r="J616" s="1"/>
    </row>
    <row r="617" spans="1:10" s="6" customFormat="1">
      <c r="A617" s="17"/>
      <c r="C617" s="9"/>
      <c r="D617" s="10"/>
      <c r="E617" s="10"/>
      <c r="F617" s="9"/>
      <c r="G617" s="1"/>
      <c r="H617" s="1"/>
      <c r="I617" s="1"/>
      <c r="J617" s="1"/>
    </row>
    <row r="618" spans="1:10" s="6" customFormat="1">
      <c r="A618" s="17"/>
      <c r="C618" s="9"/>
      <c r="D618" s="10"/>
      <c r="E618" s="10"/>
      <c r="F618" s="9"/>
      <c r="G618" s="1"/>
      <c r="H618" s="1"/>
      <c r="I618" s="1"/>
      <c r="J618" s="1"/>
    </row>
    <row r="619" spans="1:10" s="6" customFormat="1">
      <c r="A619" s="17"/>
      <c r="C619" s="9"/>
      <c r="D619" s="10"/>
      <c r="E619" s="10"/>
      <c r="F619" s="9"/>
      <c r="G619" s="1"/>
      <c r="H619" s="1"/>
      <c r="I619" s="1"/>
      <c r="J619" s="1"/>
    </row>
    <row r="620" spans="1:10" s="6" customFormat="1">
      <c r="A620" s="17"/>
      <c r="C620" s="9"/>
      <c r="D620" s="10"/>
      <c r="E620" s="10"/>
      <c r="F620" s="9"/>
      <c r="G620" s="1"/>
      <c r="H620" s="1"/>
      <c r="I620" s="1"/>
      <c r="J620" s="1"/>
    </row>
    <row r="621" spans="1:10" s="6" customFormat="1">
      <c r="A621" s="17"/>
      <c r="C621" s="9"/>
      <c r="D621" s="10"/>
      <c r="E621" s="10"/>
      <c r="F621" s="9"/>
      <c r="G621" s="1"/>
      <c r="H621" s="1"/>
      <c r="I621" s="1"/>
      <c r="J621" s="1"/>
    </row>
    <row r="622" spans="1:10" s="6" customFormat="1">
      <c r="A622" s="17"/>
      <c r="C622" s="9"/>
      <c r="D622" s="10"/>
      <c r="E622" s="10"/>
      <c r="F622" s="9"/>
      <c r="G622" s="1"/>
      <c r="H622" s="1"/>
      <c r="I622" s="1"/>
      <c r="J622" s="1"/>
    </row>
    <row r="623" spans="1:10" s="6" customFormat="1">
      <c r="A623" s="17"/>
      <c r="C623" s="9"/>
      <c r="D623" s="10"/>
      <c r="E623" s="10"/>
      <c r="F623" s="9"/>
      <c r="G623" s="1"/>
      <c r="H623" s="1"/>
      <c r="I623" s="1"/>
      <c r="J623" s="1"/>
    </row>
    <row r="624" spans="1:10" s="6" customFormat="1">
      <c r="A624" s="17"/>
      <c r="C624" s="9"/>
      <c r="D624" s="10"/>
      <c r="E624" s="10"/>
      <c r="F624" s="9"/>
      <c r="G624" s="1"/>
      <c r="H624" s="1"/>
      <c r="I624" s="1"/>
      <c r="J624" s="1"/>
    </row>
    <row r="625" spans="1:10" s="6" customFormat="1">
      <c r="A625" s="17"/>
      <c r="C625" s="9"/>
      <c r="D625" s="10"/>
      <c r="E625" s="10"/>
      <c r="F625" s="9"/>
      <c r="G625" s="1"/>
      <c r="H625" s="1"/>
      <c r="I625" s="1"/>
      <c r="J625" s="1"/>
    </row>
    <row r="626" spans="1:10" s="6" customFormat="1">
      <c r="A626" s="17"/>
      <c r="C626" s="9"/>
      <c r="D626" s="10"/>
      <c r="E626" s="10"/>
      <c r="F626" s="9"/>
      <c r="G626" s="1"/>
      <c r="H626" s="1"/>
      <c r="I626" s="1"/>
      <c r="J626" s="1"/>
    </row>
    <row r="627" spans="1:10" s="6" customFormat="1">
      <c r="A627" s="17"/>
      <c r="C627" s="9"/>
      <c r="D627" s="10"/>
      <c r="E627" s="10"/>
      <c r="F627" s="9"/>
      <c r="G627" s="1"/>
      <c r="H627" s="1"/>
      <c r="I627" s="1"/>
      <c r="J627" s="1"/>
    </row>
    <row r="628" spans="1:10" s="6" customFormat="1">
      <c r="A628" s="17"/>
      <c r="C628" s="9"/>
      <c r="D628" s="10"/>
      <c r="E628" s="10"/>
      <c r="F628" s="9"/>
      <c r="G628" s="1"/>
      <c r="H628" s="1"/>
      <c r="I628" s="1"/>
      <c r="J628" s="1"/>
    </row>
    <row r="629" spans="1:10" s="6" customFormat="1">
      <c r="A629" s="17"/>
      <c r="C629" s="9"/>
      <c r="D629" s="10"/>
      <c r="E629" s="10"/>
      <c r="F629" s="9"/>
      <c r="G629" s="1"/>
      <c r="H629" s="1"/>
      <c r="I629" s="1"/>
      <c r="J629" s="1"/>
    </row>
    <row r="630" spans="1:10" s="6" customFormat="1">
      <c r="A630" s="17"/>
      <c r="C630" s="9"/>
      <c r="D630" s="10"/>
      <c r="E630" s="10"/>
      <c r="F630" s="9"/>
      <c r="G630" s="1"/>
      <c r="H630" s="1"/>
      <c r="I630" s="1"/>
      <c r="J630" s="1"/>
    </row>
    <row r="631" spans="1:10" s="6" customFormat="1">
      <c r="A631" s="17"/>
      <c r="C631" s="9"/>
      <c r="D631" s="10"/>
      <c r="E631" s="10"/>
      <c r="F631" s="9"/>
      <c r="G631" s="1"/>
      <c r="H631" s="1"/>
      <c r="I631" s="1"/>
      <c r="J631" s="1"/>
    </row>
    <row r="632" spans="1:10" s="6" customFormat="1">
      <c r="A632" s="17"/>
      <c r="C632" s="9"/>
      <c r="D632" s="10"/>
      <c r="E632" s="10"/>
      <c r="F632" s="9"/>
      <c r="G632" s="1"/>
      <c r="H632" s="1"/>
      <c r="I632" s="1"/>
      <c r="J632" s="1"/>
    </row>
    <row r="633" spans="1:10" s="6" customFormat="1">
      <c r="A633" s="17"/>
      <c r="C633" s="9"/>
      <c r="D633" s="10"/>
      <c r="E633" s="10"/>
      <c r="F633" s="9"/>
      <c r="G633" s="1"/>
      <c r="H633" s="1"/>
      <c r="I633" s="1"/>
      <c r="J633" s="1"/>
    </row>
    <row r="634" spans="1:10" s="6" customFormat="1">
      <c r="A634" s="17"/>
      <c r="C634" s="9"/>
      <c r="D634" s="10"/>
      <c r="E634" s="10"/>
      <c r="F634" s="9"/>
      <c r="G634" s="1"/>
      <c r="H634" s="1"/>
      <c r="I634" s="1"/>
      <c r="J634" s="1"/>
    </row>
    <row r="635" spans="1:10" s="6" customFormat="1">
      <c r="A635" s="17"/>
      <c r="C635" s="9"/>
      <c r="D635" s="10"/>
      <c r="E635" s="10"/>
      <c r="F635" s="9"/>
      <c r="G635" s="1"/>
      <c r="H635" s="1"/>
      <c r="I635" s="1"/>
      <c r="J635" s="1"/>
    </row>
    <row r="636" spans="1:10" s="6" customFormat="1">
      <c r="A636" s="17"/>
      <c r="C636" s="9"/>
      <c r="D636" s="10"/>
      <c r="E636" s="10"/>
      <c r="F636" s="9"/>
      <c r="G636" s="1"/>
      <c r="H636" s="1"/>
      <c r="I636" s="1"/>
      <c r="J636" s="1"/>
    </row>
    <row r="637" spans="1:10" s="6" customFormat="1">
      <c r="A637" s="17"/>
      <c r="C637" s="9"/>
      <c r="D637" s="10"/>
      <c r="E637" s="10"/>
      <c r="F637" s="9"/>
      <c r="G637" s="1"/>
      <c r="H637" s="1"/>
      <c r="I637" s="1"/>
      <c r="J637" s="1"/>
    </row>
    <row r="638" spans="1:10" s="6" customFormat="1">
      <c r="A638" s="17"/>
      <c r="C638" s="9"/>
      <c r="D638" s="10"/>
      <c r="E638" s="10"/>
      <c r="F638" s="9"/>
      <c r="G638" s="1"/>
      <c r="H638" s="1"/>
      <c r="I638" s="1"/>
      <c r="J638" s="1"/>
    </row>
    <row r="639" spans="1:10" s="6" customFormat="1">
      <c r="A639" s="17"/>
      <c r="C639" s="9"/>
      <c r="D639" s="10"/>
      <c r="E639" s="10"/>
      <c r="F639" s="9"/>
      <c r="G639" s="1"/>
      <c r="H639" s="1"/>
      <c r="I639" s="1"/>
      <c r="J639" s="1"/>
    </row>
    <row r="640" spans="1:10" s="6" customFormat="1">
      <c r="A640" s="17"/>
      <c r="C640" s="9"/>
      <c r="D640" s="10"/>
      <c r="E640" s="10"/>
      <c r="F640" s="9"/>
      <c r="G640" s="1"/>
      <c r="H640" s="1"/>
      <c r="I640" s="1"/>
      <c r="J640" s="1"/>
    </row>
    <row r="641" spans="1:10" s="6" customFormat="1">
      <c r="A641" s="17"/>
      <c r="C641" s="9"/>
      <c r="D641" s="10"/>
      <c r="E641" s="10"/>
      <c r="F641" s="9"/>
      <c r="G641" s="1"/>
      <c r="H641" s="1"/>
      <c r="I641" s="1"/>
      <c r="J641" s="1"/>
    </row>
    <row r="642" spans="1:10" s="6" customFormat="1">
      <c r="A642" s="17"/>
      <c r="C642" s="9"/>
      <c r="D642" s="10"/>
      <c r="E642" s="10"/>
      <c r="F642" s="9"/>
      <c r="G642" s="1"/>
      <c r="H642" s="1"/>
      <c r="I642" s="1"/>
      <c r="J642" s="1"/>
    </row>
    <row r="643" spans="1:10" s="6" customFormat="1">
      <c r="A643" s="17"/>
      <c r="C643" s="9"/>
      <c r="D643" s="10"/>
      <c r="E643" s="10"/>
      <c r="F643" s="9"/>
      <c r="G643" s="1"/>
      <c r="H643" s="1"/>
      <c r="I643" s="1"/>
      <c r="J643" s="1"/>
    </row>
    <row r="644" spans="1:10" s="6" customFormat="1">
      <c r="A644" s="17"/>
      <c r="C644" s="9"/>
      <c r="D644" s="10"/>
      <c r="E644" s="10"/>
      <c r="F644" s="9"/>
      <c r="G644" s="1"/>
      <c r="H644" s="1"/>
      <c r="I644" s="1"/>
      <c r="J644" s="1"/>
    </row>
    <row r="645" spans="1:10" s="6" customFormat="1">
      <c r="A645" s="17"/>
      <c r="C645" s="9"/>
      <c r="D645" s="10"/>
      <c r="E645" s="10"/>
      <c r="F645" s="9"/>
      <c r="G645" s="1"/>
      <c r="H645" s="1"/>
      <c r="I645" s="1"/>
      <c r="J645" s="1"/>
    </row>
    <row r="646" spans="1:10" s="6" customFormat="1">
      <c r="A646" s="17"/>
      <c r="C646" s="9"/>
      <c r="D646" s="10"/>
      <c r="E646" s="10"/>
      <c r="F646" s="9"/>
      <c r="G646" s="1"/>
      <c r="H646" s="1"/>
      <c r="I646" s="1"/>
      <c r="J646" s="1"/>
    </row>
    <row r="647" spans="1:10" s="6" customFormat="1">
      <c r="A647" s="17"/>
      <c r="C647" s="9"/>
      <c r="D647" s="10"/>
      <c r="E647" s="10"/>
      <c r="F647" s="9"/>
      <c r="G647" s="1"/>
      <c r="H647" s="1"/>
      <c r="I647" s="1"/>
      <c r="J647" s="1"/>
    </row>
    <row r="648" spans="1:10" s="6" customFormat="1">
      <c r="A648" s="17"/>
      <c r="C648" s="9"/>
      <c r="D648" s="10"/>
      <c r="E648" s="10"/>
      <c r="F648" s="9"/>
      <c r="G648" s="1"/>
      <c r="H648" s="1"/>
      <c r="I648" s="1"/>
      <c r="J648" s="1"/>
    </row>
    <row r="649" spans="1:10" s="6" customFormat="1">
      <c r="A649" s="17"/>
      <c r="C649" s="9"/>
      <c r="D649" s="10"/>
      <c r="E649" s="10"/>
      <c r="F649" s="9"/>
      <c r="G649" s="1"/>
      <c r="H649" s="1"/>
      <c r="I649" s="1"/>
      <c r="J649" s="1"/>
    </row>
    <row r="650" spans="1:10" s="6" customFormat="1">
      <c r="A650" s="17"/>
      <c r="C650" s="9"/>
      <c r="D650" s="10"/>
      <c r="E650" s="10"/>
      <c r="F650" s="9"/>
      <c r="G650" s="1"/>
      <c r="H650" s="1"/>
      <c r="I650" s="1"/>
      <c r="J650" s="1"/>
    </row>
    <row r="651" spans="1:10" s="6" customFormat="1">
      <c r="A651" s="17"/>
      <c r="C651" s="9"/>
      <c r="D651" s="10"/>
      <c r="E651" s="10"/>
      <c r="F651" s="9"/>
      <c r="G651" s="1"/>
      <c r="H651" s="1"/>
      <c r="I651" s="1"/>
      <c r="J651" s="1"/>
    </row>
    <row r="652" spans="1:10" s="6" customFormat="1">
      <c r="A652" s="17"/>
      <c r="C652" s="9"/>
      <c r="D652" s="10"/>
      <c r="E652" s="10"/>
      <c r="F652" s="9"/>
      <c r="G652" s="1"/>
      <c r="H652" s="1"/>
      <c r="I652" s="1"/>
      <c r="J652" s="1"/>
    </row>
    <row r="653" spans="1:10" s="6" customFormat="1">
      <c r="A653" s="17"/>
      <c r="C653" s="9"/>
      <c r="D653" s="10"/>
      <c r="E653" s="10"/>
      <c r="F653" s="9"/>
      <c r="G653" s="1"/>
      <c r="H653" s="1"/>
      <c r="I653" s="1"/>
      <c r="J653" s="1"/>
    </row>
    <row r="654" spans="1:10" s="6" customFormat="1">
      <c r="A654" s="17"/>
      <c r="C654" s="9"/>
      <c r="D654" s="10"/>
      <c r="E654" s="10"/>
      <c r="F654" s="9"/>
      <c r="G654" s="1"/>
      <c r="H654" s="1"/>
      <c r="I654" s="1"/>
      <c r="J654" s="1"/>
    </row>
    <row r="655" spans="1:10" s="6" customFormat="1">
      <c r="A655" s="17"/>
      <c r="C655" s="9"/>
      <c r="D655" s="10"/>
      <c r="E655" s="10"/>
      <c r="F655" s="9"/>
      <c r="G655" s="1"/>
      <c r="H655" s="1"/>
      <c r="I655" s="1"/>
      <c r="J655" s="1"/>
    </row>
    <row r="656" spans="1:10" s="6" customFormat="1">
      <c r="A656" s="17"/>
      <c r="C656" s="9"/>
      <c r="D656" s="10"/>
      <c r="E656" s="10"/>
      <c r="F656" s="9"/>
      <c r="G656" s="1"/>
      <c r="H656" s="1"/>
      <c r="I656" s="1"/>
      <c r="J656" s="1"/>
    </row>
    <row r="657" spans="1:10" s="6" customFormat="1">
      <c r="A657" s="17"/>
      <c r="C657" s="9"/>
      <c r="D657" s="10"/>
      <c r="E657" s="10"/>
      <c r="F657" s="9"/>
      <c r="G657" s="1"/>
      <c r="H657" s="1"/>
      <c r="I657" s="1"/>
      <c r="J657" s="1"/>
    </row>
    <row r="658" spans="1:10" s="6" customFormat="1">
      <c r="A658" s="17"/>
      <c r="C658" s="9"/>
      <c r="D658" s="10"/>
      <c r="E658" s="10"/>
      <c r="F658" s="9"/>
      <c r="G658" s="1"/>
      <c r="H658" s="1"/>
      <c r="I658" s="1"/>
      <c r="J658" s="1"/>
    </row>
    <row r="659" spans="1:10" s="6" customFormat="1">
      <c r="A659" s="17"/>
      <c r="C659" s="9"/>
      <c r="D659" s="10"/>
      <c r="E659" s="10"/>
      <c r="F659" s="9"/>
      <c r="G659" s="1"/>
      <c r="H659" s="1"/>
      <c r="I659" s="1"/>
      <c r="J659" s="1"/>
    </row>
    <row r="660" spans="1:10" s="6" customFormat="1">
      <c r="A660" s="17"/>
      <c r="C660" s="9"/>
      <c r="D660" s="10"/>
      <c r="E660" s="10"/>
      <c r="F660" s="9"/>
      <c r="G660" s="1"/>
      <c r="H660" s="1"/>
      <c r="I660" s="1"/>
      <c r="J660" s="1"/>
    </row>
    <row r="661" spans="1:10" s="6" customFormat="1">
      <c r="A661" s="17"/>
      <c r="C661" s="9"/>
      <c r="D661" s="10"/>
      <c r="E661" s="10"/>
      <c r="F661" s="9"/>
      <c r="G661" s="1"/>
      <c r="H661" s="1"/>
      <c r="I661" s="1"/>
      <c r="J661" s="1"/>
    </row>
    <row r="662" spans="1:10" s="6" customFormat="1">
      <c r="A662" s="17"/>
      <c r="C662" s="9"/>
      <c r="D662" s="10"/>
      <c r="E662" s="10"/>
      <c r="F662" s="9"/>
      <c r="G662" s="1"/>
      <c r="H662" s="1"/>
      <c r="I662" s="1"/>
      <c r="J662" s="1"/>
    </row>
    <row r="663" spans="1:10" s="6" customFormat="1">
      <c r="A663" s="17"/>
      <c r="C663" s="9"/>
      <c r="D663" s="10"/>
      <c r="E663" s="10"/>
      <c r="F663" s="9"/>
      <c r="G663" s="1"/>
      <c r="H663" s="1"/>
      <c r="I663" s="1"/>
      <c r="J663" s="1"/>
    </row>
    <row r="664" spans="1:10" s="6" customFormat="1">
      <c r="A664" s="17"/>
      <c r="C664" s="9"/>
      <c r="D664" s="10"/>
      <c r="E664" s="10"/>
      <c r="F664" s="9"/>
      <c r="G664" s="1"/>
      <c r="H664" s="1"/>
      <c r="I664" s="1"/>
      <c r="J664" s="1"/>
    </row>
    <row r="665" spans="1:10" s="6" customFormat="1">
      <c r="A665" s="17"/>
      <c r="C665" s="9"/>
      <c r="D665" s="10"/>
      <c r="E665" s="10"/>
      <c r="F665" s="9"/>
      <c r="G665" s="1"/>
      <c r="H665" s="1"/>
      <c r="I665" s="1"/>
      <c r="J665" s="1"/>
    </row>
    <row r="666" spans="1:10" s="6" customFormat="1">
      <c r="A666" s="17"/>
      <c r="C666" s="9"/>
      <c r="D666" s="10"/>
      <c r="E666" s="10"/>
      <c r="F666" s="9"/>
      <c r="G666" s="1"/>
      <c r="H666" s="1"/>
      <c r="I666" s="1"/>
      <c r="J666" s="1"/>
    </row>
    <row r="667" spans="1:10" s="6" customFormat="1">
      <c r="A667" s="17"/>
      <c r="C667" s="9"/>
      <c r="D667" s="10"/>
      <c r="E667" s="10"/>
      <c r="F667" s="9"/>
      <c r="G667" s="1"/>
      <c r="H667" s="1"/>
      <c r="I667" s="1"/>
      <c r="J667" s="1"/>
    </row>
    <row r="668" spans="1:10" s="6" customFormat="1">
      <c r="A668" s="17"/>
      <c r="C668" s="9"/>
      <c r="D668" s="10"/>
      <c r="E668" s="10"/>
      <c r="F668" s="9"/>
      <c r="G668" s="1"/>
      <c r="H668" s="1"/>
      <c r="I668" s="1"/>
      <c r="J668" s="1"/>
    </row>
    <row r="669" spans="1:10" s="6" customFormat="1">
      <c r="A669" s="17"/>
      <c r="C669" s="9"/>
      <c r="D669" s="10"/>
      <c r="E669" s="10"/>
      <c r="F669" s="9"/>
      <c r="G669" s="1"/>
      <c r="H669" s="1"/>
      <c r="I669" s="1"/>
      <c r="J669" s="1"/>
    </row>
    <row r="670" spans="1:10" s="6" customFormat="1">
      <c r="A670" s="17"/>
      <c r="C670" s="9"/>
      <c r="D670" s="10"/>
      <c r="E670" s="10"/>
      <c r="F670" s="9"/>
      <c r="G670" s="1"/>
      <c r="H670" s="1"/>
      <c r="I670" s="1"/>
      <c r="J670" s="1"/>
    </row>
    <row r="671" spans="1:10" s="6" customFormat="1">
      <c r="A671" s="17"/>
      <c r="C671" s="9"/>
      <c r="D671" s="10"/>
      <c r="E671" s="10"/>
      <c r="F671" s="9"/>
      <c r="G671" s="1"/>
      <c r="H671" s="1"/>
      <c r="I671" s="1"/>
      <c r="J671" s="1"/>
    </row>
    <row r="672" spans="1:10" s="6" customFormat="1">
      <c r="A672" s="17"/>
      <c r="C672" s="9"/>
      <c r="D672" s="10"/>
      <c r="E672" s="10"/>
      <c r="F672" s="9"/>
      <c r="G672" s="1"/>
      <c r="H672" s="1"/>
      <c r="I672" s="1"/>
      <c r="J672" s="1"/>
    </row>
    <row r="673" spans="1:10" s="6" customFormat="1">
      <c r="A673" s="17"/>
      <c r="C673" s="9"/>
      <c r="D673" s="10"/>
      <c r="E673" s="10"/>
      <c r="F673" s="9"/>
      <c r="G673" s="1"/>
      <c r="H673" s="1"/>
      <c r="I673" s="1"/>
      <c r="J673" s="1"/>
    </row>
    <row r="674" spans="1:10" s="6" customFormat="1">
      <c r="A674" s="17"/>
      <c r="C674" s="9"/>
      <c r="D674" s="10"/>
      <c r="E674" s="10"/>
      <c r="F674" s="9"/>
      <c r="G674" s="1"/>
      <c r="H674" s="1"/>
      <c r="I674" s="1"/>
      <c r="J674" s="1"/>
    </row>
    <row r="675" spans="1:10" s="6" customFormat="1">
      <c r="A675" s="17"/>
      <c r="C675" s="9"/>
      <c r="D675" s="10"/>
      <c r="E675" s="10"/>
      <c r="F675" s="9"/>
      <c r="G675" s="1"/>
      <c r="H675" s="1"/>
      <c r="I675" s="1"/>
      <c r="J675" s="1"/>
    </row>
    <row r="676" spans="1:10" s="6" customFormat="1">
      <c r="A676" s="17"/>
      <c r="C676" s="9"/>
      <c r="D676" s="10"/>
      <c r="E676" s="10"/>
      <c r="F676" s="9"/>
      <c r="G676" s="1"/>
      <c r="H676" s="1"/>
      <c r="I676" s="1"/>
      <c r="J676" s="1"/>
    </row>
    <row r="677" spans="1:10" s="6" customFormat="1">
      <c r="A677" s="17"/>
      <c r="C677" s="9"/>
      <c r="D677" s="10"/>
      <c r="E677" s="10"/>
      <c r="F677" s="9"/>
      <c r="G677" s="1"/>
      <c r="H677" s="1"/>
      <c r="I677" s="1"/>
      <c r="J677" s="1"/>
    </row>
    <row r="678" spans="1:10" s="6" customFormat="1">
      <c r="A678" s="17"/>
      <c r="C678" s="9"/>
      <c r="D678" s="10"/>
      <c r="E678" s="10"/>
      <c r="F678" s="9"/>
      <c r="G678" s="1"/>
      <c r="H678" s="1"/>
      <c r="I678" s="1"/>
      <c r="J678" s="1"/>
    </row>
    <row r="679" spans="1:10" s="6" customFormat="1">
      <c r="A679" s="17"/>
      <c r="C679" s="9"/>
      <c r="D679" s="10"/>
      <c r="E679" s="10"/>
      <c r="F679" s="9"/>
      <c r="G679" s="1"/>
      <c r="H679" s="1"/>
      <c r="I679" s="1"/>
      <c r="J679" s="1"/>
    </row>
    <row r="680" spans="1:10" s="6" customFormat="1">
      <c r="A680" s="17"/>
      <c r="C680" s="9"/>
      <c r="D680" s="10"/>
      <c r="E680" s="10"/>
      <c r="F680" s="9"/>
      <c r="G680" s="1"/>
      <c r="H680" s="1"/>
      <c r="I680" s="1"/>
      <c r="J680" s="1"/>
    </row>
    <row r="681" spans="1:10" s="6" customFormat="1">
      <c r="A681" s="17"/>
      <c r="C681" s="9"/>
      <c r="D681" s="10"/>
      <c r="E681" s="10"/>
      <c r="F681" s="9"/>
      <c r="G681" s="1"/>
      <c r="H681" s="1"/>
      <c r="I681" s="1"/>
      <c r="J681" s="1"/>
    </row>
    <row r="682" spans="1:10" s="6" customFormat="1">
      <c r="A682" s="17"/>
      <c r="C682" s="9"/>
      <c r="D682" s="10"/>
      <c r="E682" s="10"/>
      <c r="F682" s="9"/>
      <c r="G682" s="1"/>
      <c r="H682" s="1"/>
      <c r="I682" s="1"/>
      <c r="J682" s="1"/>
    </row>
    <row r="683" spans="1:10" s="6" customFormat="1">
      <c r="A683" s="17"/>
      <c r="C683" s="9"/>
      <c r="D683" s="10"/>
      <c r="E683" s="10"/>
      <c r="F683" s="9"/>
      <c r="G683" s="1"/>
      <c r="H683" s="1"/>
      <c r="I683" s="1"/>
      <c r="J683" s="1"/>
    </row>
    <row r="684" spans="1:10" s="6" customFormat="1">
      <c r="A684" s="17"/>
      <c r="C684" s="9"/>
      <c r="D684" s="10"/>
      <c r="E684" s="10"/>
      <c r="F684" s="9"/>
      <c r="G684" s="1"/>
      <c r="H684" s="1"/>
      <c r="I684" s="1"/>
      <c r="J684" s="1"/>
    </row>
    <row r="685" spans="1:10" s="6" customFormat="1">
      <c r="A685" s="17"/>
      <c r="C685" s="9"/>
      <c r="D685" s="10"/>
      <c r="E685" s="10"/>
      <c r="F685" s="9"/>
      <c r="G685" s="1"/>
      <c r="H685" s="1"/>
      <c r="I685" s="1"/>
      <c r="J685" s="1"/>
    </row>
    <row r="686" spans="1:10" s="6" customFormat="1">
      <c r="A686" s="17"/>
      <c r="C686" s="9"/>
      <c r="D686" s="10"/>
      <c r="E686" s="10"/>
      <c r="F686" s="9"/>
      <c r="G686" s="1"/>
      <c r="H686" s="1"/>
      <c r="I686" s="1"/>
      <c r="J686" s="1"/>
    </row>
    <row r="687" spans="1:10" s="6" customFormat="1">
      <c r="A687" s="17"/>
      <c r="C687" s="9"/>
      <c r="D687" s="10"/>
      <c r="E687" s="10"/>
      <c r="F687" s="9"/>
      <c r="G687" s="1"/>
      <c r="H687" s="1"/>
      <c r="I687" s="1"/>
      <c r="J687" s="1"/>
    </row>
    <row r="688" spans="1:10" s="6" customFormat="1">
      <c r="A688" s="17"/>
      <c r="C688" s="9"/>
      <c r="D688" s="10"/>
      <c r="E688" s="10"/>
      <c r="F688" s="9"/>
      <c r="G688" s="1"/>
      <c r="H688" s="1"/>
      <c r="I688" s="1"/>
      <c r="J688" s="1"/>
    </row>
    <row r="689" spans="1:10" s="6" customFormat="1">
      <c r="A689" s="17"/>
      <c r="C689" s="9"/>
      <c r="D689" s="10"/>
      <c r="E689" s="10"/>
      <c r="F689" s="9"/>
      <c r="G689" s="1"/>
      <c r="H689" s="1"/>
      <c r="I689" s="1"/>
      <c r="J689" s="1"/>
    </row>
    <row r="690" spans="1:10" s="6" customFormat="1">
      <c r="A690" s="17"/>
      <c r="C690" s="9"/>
      <c r="D690" s="10"/>
      <c r="E690" s="10"/>
      <c r="F690" s="9"/>
      <c r="G690" s="1"/>
      <c r="H690" s="1"/>
      <c r="I690" s="1"/>
      <c r="J690" s="1"/>
    </row>
    <row r="691" spans="1:10" s="6" customFormat="1">
      <c r="A691" s="17"/>
      <c r="C691" s="9"/>
      <c r="D691" s="10"/>
      <c r="E691" s="10"/>
      <c r="F691" s="9"/>
      <c r="G691" s="1"/>
      <c r="H691" s="1"/>
      <c r="I691" s="1"/>
      <c r="J691" s="1"/>
    </row>
    <row r="692" spans="1:10" s="6" customFormat="1">
      <c r="A692" s="17"/>
      <c r="C692" s="9"/>
      <c r="D692" s="10"/>
      <c r="E692" s="10"/>
      <c r="F692" s="9"/>
      <c r="G692" s="1"/>
      <c r="H692" s="1"/>
      <c r="I692" s="1"/>
      <c r="J692" s="1"/>
    </row>
    <row r="693" spans="1:10" s="6" customFormat="1">
      <c r="A693" s="17"/>
      <c r="C693" s="9"/>
      <c r="D693" s="10"/>
      <c r="E693" s="10"/>
      <c r="F693" s="9"/>
      <c r="G693" s="1"/>
      <c r="H693" s="1"/>
      <c r="I693" s="1"/>
      <c r="J693" s="1"/>
    </row>
    <row r="694" spans="1:10" s="6" customFormat="1">
      <c r="A694" s="17"/>
      <c r="C694" s="9"/>
      <c r="D694" s="10"/>
      <c r="E694" s="10"/>
      <c r="F694" s="9"/>
      <c r="G694" s="1"/>
      <c r="H694" s="1"/>
      <c r="I694" s="1"/>
      <c r="J694" s="1"/>
    </row>
    <row r="695" spans="1:10" s="6" customFormat="1">
      <c r="A695" s="17"/>
      <c r="C695" s="9"/>
      <c r="D695" s="10"/>
      <c r="E695" s="10"/>
      <c r="F695" s="9"/>
      <c r="G695" s="1"/>
      <c r="H695" s="1"/>
      <c r="I695" s="1"/>
      <c r="J695" s="1"/>
    </row>
    <row r="696" spans="1:10" s="6" customFormat="1">
      <c r="A696" s="17"/>
      <c r="C696" s="9"/>
      <c r="D696" s="10"/>
      <c r="E696" s="10"/>
      <c r="F696" s="9"/>
      <c r="G696" s="1"/>
      <c r="H696" s="1"/>
      <c r="I696" s="1"/>
      <c r="J696" s="1"/>
    </row>
    <row r="697" spans="1:10" s="6" customFormat="1">
      <c r="A697" s="17"/>
      <c r="C697" s="9"/>
      <c r="D697" s="10"/>
      <c r="E697" s="10"/>
      <c r="F697" s="9"/>
      <c r="G697" s="1"/>
      <c r="H697" s="1"/>
      <c r="I697" s="1"/>
      <c r="J697" s="1"/>
    </row>
    <row r="698" spans="1:10" s="6" customFormat="1">
      <c r="A698" s="17"/>
      <c r="C698" s="9"/>
      <c r="D698" s="10"/>
      <c r="E698" s="10"/>
      <c r="F698" s="9"/>
      <c r="G698" s="1"/>
      <c r="H698" s="1"/>
      <c r="I698" s="1"/>
      <c r="J698" s="1"/>
    </row>
    <row r="699" spans="1:10" s="6" customFormat="1">
      <c r="A699" s="17"/>
      <c r="C699" s="9"/>
      <c r="D699" s="10"/>
      <c r="E699" s="10"/>
      <c r="F699" s="9"/>
      <c r="G699" s="1"/>
      <c r="H699" s="1"/>
      <c r="I699" s="1"/>
      <c r="J699" s="1"/>
    </row>
    <row r="700" spans="1:10" s="6" customFormat="1">
      <c r="A700" s="17"/>
      <c r="C700" s="9"/>
      <c r="D700" s="10"/>
      <c r="E700" s="10"/>
      <c r="F700" s="9"/>
      <c r="G700" s="1"/>
      <c r="H700" s="1"/>
      <c r="I700" s="1"/>
      <c r="J700" s="1"/>
    </row>
    <row r="701" spans="1:10" s="6" customFormat="1">
      <c r="A701" s="17"/>
      <c r="C701" s="9"/>
      <c r="D701" s="10"/>
      <c r="E701" s="10"/>
      <c r="F701" s="9"/>
      <c r="G701" s="1"/>
      <c r="H701" s="1"/>
      <c r="I701" s="1"/>
      <c r="J701" s="1"/>
    </row>
    <row r="702" spans="1:10" s="6" customFormat="1">
      <c r="A702" s="17"/>
      <c r="C702" s="9"/>
      <c r="D702" s="10"/>
      <c r="E702" s="10"/>
      <c r="F702" s="9"/>
      <c r="G702" s="1"/>
      <c r="H702" s="1"/>
      <c r="I702" s="1"/>
      <c r="J702" s="1"/>
    </row>
    <row r="703" spans="1:10" s="6" customFormat="1">
      <c r="A703" s="17"/>
      <c r="C703" s="9"/>
      <c r="D703" s="10"/>
      <c r="E703" s="10"/>
      <c r="F703" s="9"/>
      <c r="G703" s="1"/>
      <c r="H703" s="1"/>
      <c r="I703" s="1"/>
      <c r="J703" s="1"/>
    </row>
    <row r="704" spans="1:10" s="6" customFormat="1">
      <c r="A704" s="17"/>
      <c r="C704" s="9"/>
      <c r="D704" s="10"/>
      <c r="E704" s="10"/>
      <c r="F704" s="9"/>
      <c r="G704" s="1"/>
      <c r="H704" s="1"/>
      <c r="I704" s="1"/>
      <c r="J704" s="1"/>
    </row>
    <row r="705" spans="1:10" s="6" customFormat="1">
      <c r="A705" s="17"/>
      <c r="C705" s="9"/>
      <c r="D705" s="10"/>
      <c r="E705" s="10"/>
      <c r="F705" s="9"/>
      <c r="G705" s="1"/>
      <c r="H705" s="1"/>
      <c r="I705" s="1"/>
      <c r="J705" s="1"/>
    </row>
    <row r="706" spans="1:10" s="6" customFormat="1">
      <c r="A706" s="17"/>
      <c r="C706" s="9"/>
      <c r="D706" s="10"/>
      <c r="E706" s="10"/>
      <c r="F706" s="9"/>
      <c r="G706" s="1"/>
      <c r="H706" s="1"/>
      <c r="I706" s="1"/>
      <c r="J706" s="1"/>
    </row>
    <row r="707" spans="1:10" s="6" customFormat="1">
      <c r="A707" s="17"/>
      <c r="C707" s="9"/>
      <c r="D707" s="10"/>
      <c r="E707" s="10"/>
      <c r="F707" s="9"/>
      <c r="G707" s="1"/>
      <c r="H707" s="1"/>
      <c r="I707" s="1"/>
      <c r="J707" s="1"/>
    </row>
    <row r="708" spans="1:10" s="6" customFormat="1">
      <c r="A708" s="17"/>
      <c r="C708" s="9"/>
      <c r="D708" s="10"/>
      <c r="E708" s="10"/>
      <c r="F708" s="9"/>
      <c r="G708" s="1"/>
      <c r="H708" s="1"/>
      <c r="I708" s="1"/>
      <c r="J708" s="1"/>
    </row>
    <row r="709" spans="1:10" s="6" customFormat="1">
      <c r="A709" s="17"/>
      <c r="C709" s="9"/>
      <c r="D709" s="10"/>
      <c r="E709" s="10"/>
      <c r="F709" s="9"/>
      <c r="G709" s="1"/>
      <c r="H709" s="1"/>
      <c r="I709" s="1"/>
      <c r="J709" s="1"/>
    </row>
    <row r="710" spans="1:10" s="6" customFormat="1">
      <c r="A710" s="17"/>
      <c r="C710" s="9"/>
      <c r="D710" s="10"/>
      <c r="E710" s="10"/>
      <c r="F710" s="9"/>
      <c r="G710" s="1"/>
      <c r="H710" s="1"/>
      <c r="I710" s="1"/>
      <c r="J710" s="1"/>
    </row>
    <row r="711" spans="1:10" s="6" customFormat="1">
      <c r="A711" s="17"/>
      <c r="C711" s="9"/>
      <c r="D711" s="10"/>
      <c r="E711" s="10"/>
      <c r="F711" s="9"/>
      <c r="G711" s="1"/>
      <c r="H711" s="1"/>
      <c r="I711" s="1"/>
      <c r="J711" s="1"/>
    </row>
    <row r="712" spans="1:10" s="6" customFormat="1">
      <c r="A712" s="17"/>
      <c r="C712" s="9"/>
      <c r="D712" s="10"/>
      <c r="E712" s="10"/>
      <c r="F712" s="9"/>
      <c r="G712" s="1"/>
      <c r="H712" s="1"/>
      <c r="I712" s="1"/>
      <c r="J712" s="1"/>
    </row>
    <row r="713" spans="1:10" s="6" customFormat="1">
      <c r="A713" s="17"/>
      <c r="C713" s="9"/>
      <c r="D713" s="10"/>
      <c r="E713" s="10"/>
      <c r="F713" s="9"/>
      <c r="G713" s="1"/>
      <c r="H713" s="1"/>
      <c r="I713" s="1"/>
      <c r="J713" s="1"/>
    </row>
    <row r="714" spans="1:10" s="6" customFormat="1">
      <c r="A714" s="17"/>
      <c r="C714" s="9"/>
      <c r="D714" s="10"/>
      <c r="E714" s="10"/>
      <c r="F714" s="9"/>
      <c r="G714" s="1"/>
      <c r="H714" s="1"/>
      <c r="I714" s="1"/>
      <c r="J714" s="1"/>
    </row>
    <row r="715" spans="1:10" s="6" customFormat="1">
      <c r="A715" s="17"/>
      <c r="C715" s="9"/>
      <c r="D715" s="10"/>
      <c r="E715" s="10"/>
      <c r="F715" s="9"/>
      <c r="G715" s="1"/>
      <c r="H715" s="1"/>
      <c r="I715" s="1"/>
      <c r="J715" s="1"/>
    </row>
    <row r="716" spans="1:10" s="6" customFormat="1">
      <c r="A716" s="17"/>
      <c r="C716" s="9"/>
      <c r="D716" s="10"/>
      <c r="E716" s="10"/>
      <c r="F716" s="9"/>
      <c r="G716" s="1"/>
      <c r="H716" s="1"/>
      <c r="I716" s="1"/>
      <c r="J716" s="1"/>
    </row>
    <row r="717" spans="1:10" s="6" customFormat="1">
      <c r="A717" s="17"/>
      <c r="C717" s="9"/>
      <c r="D717" s="10"/>
      <c r="E717" s="10"/>
      <c r="F717" s="9"/>
      <c r="G717" s="1"/>
      <c r="H717" s="1"/>
      <c r="I717" s="1"/>
      <c r="J717" s="1"/>
    </row>
    <row r="718" spans="1:10" s="6" customFormat="1">
      <c r="A718" s="17"/>
      <c r="C718" s="9"/>
      <c r="D718" s="10"/>
      <c r="E718" s="10"/>
      <c r="F718" s="9"/>
      <c r="G718" s="1"/>
      <c r="H718" s="1"/>
      <c r="I718" s="1"/>
      <c r="J718" s="1"/>
    </row>
    <row r="719" spans="1:10" s="6" customFormat="1">
      <c r="A719" s="17"/>
      <c r="C719" s="9"/>
      <c r="D719" s="10"/>
      <c r="E719" s="10"/>
      <c r="F719" s="9"/>
      <c r="G719" s="1"/>
      <c r="H719" s="1"/>
      <c r="I719" s="1"/>
      <c r="J719" s="1"/>
    </row>
    <row r="720" spans="1:10" s="6" customFormat="1">
      <c r="A720" s="17"/>
      <c r="C720" s="9"/>
      <c r="D720" s="10"/>
      <c r="E720" s="10"/>
      <c r="F720" s="9"/>
      <c r="G720" s="1"/>
      <c r="H720" s="1"/>
      <c r="I720" s="1"/>
      <c r="J720" s="1"/>
    </row>
    <row r="721" spans="1:10" s="6" customFormat="1">
      <c r="A721" s="17"/>
      <c r="C721" s="9"/>
      <c r="D721" s="10"/>
      <c r="E721" s="10"/>
      <c r="F721" s="9"/>
      <c r="G721" s="1"/>
      <c r="H721" s="1"/>
      <c r="I721" s="1"/>
      <c r="J721" s="1"/>
    </row>
    <row r="722" spans="1:10" s="6" customFormat="1">
      <c r="A722" s="17"/>
      <c r="C722" s="9"/>
      <c r="D722" s="10"/>
      <c r="E722" s="10"/>
      <c r="F722" s="9"/>
      <c r="G722" s="1"/>
      <c r="H722" s="1"/>
      <c r="I722" s="1"/>
      <c r="J722" s="1"/>
    </row>
    <row r="723" spans="1:10" s="6" customFormat="1">
      <c r="A723" s="17"/>
      <c r="C723" s="9"/>
      <c r="D723" s="10"/>
      <c r="E723" s="10"/>
      <c r="F723" s="9"/>
      <c r="G723" s="1"/>
      <c r="H723" s="1"/>
      <c r="I723" s="1"/>
      <c r="J723" s="1"/>
    </row>
    <row r="724" spans="1:10" s="6" customFormat="1">
      <c r="A724" s="17"/>
      <c r="C724" s="9"/>
      <c r="D724" s="10"/>
      <c r="E724" s="10"/>
      <c r="F724" s="9"/>
      <c r="G724" s="1"/>
      <c r="H724" s="1"/>
      <c r="I724" s="1"/>
      <c r="J724" s="1"/>
    </row>
    <row r="725" spans="1:10" s="6" customFormat="1">
      <c r="A725" s="17"/>
      <c r="C725" s="9"/>
      <c r="D725" s="10"/>
      <c r="E725" s="10"/>
      <c r="F725" s="9"/>
      <c r="G725" s="1"/>
      <c r="H725" s="1"/>
      <c r="I725" s="1"/>
      <c r="J725" s="1"/>
    </row>
    <row r="726" spans="1:10" s="6" customFormat="1">
      <c r="A726" s="17"/>
      <c r="C726" s="9"/>
      <c r="D726" s="10"/>
      <c r="E726" s="10"/>
      <c r="F726" s="9"/>
      <c r="G726" s="1"/>
      <c r="H726" s="1"/>
      <c r="I726" s="1"/>
      <c r="J726" s="1"/>
    </row>
    <row r="727" spans="1:10" s="6" customFormat="1">
      <c r="A727" s="17"/>
      <c r="C727" s="9"/>
      <c r="D727" s="10"/>
      <c r="E727" s="10"/>
      <c r="F727" s="9"/>
      <c r="G727" s="1"/>
      <c r="H727" s="1"/>
      <c r="I727" s="1"/>
      <c r="J727" s="1"/>
    </row>
    <row r="728" spans="1:10" s="6" customFormat="1">
      <c r="A728" s="17"/>
      <c r="C728" s="9"/>
      <c r="D728" s="10"/>
      <c r="E728" s="10"/>
      <c r="F728" s="9"/>
      <c r="G728" s="1"/>
      <c r="H728" s="1"/>
      <c r="I728" s="1"/>
      <c r="J728" s="1"/>
    </row>
    <row r="729" spans="1:10" s="6" customFormat="1">
      <c r="A729" s="17"/>
      <c r="C729" s="9"/>
      <c r="D729" s="10"/>
      <c r="E729" s="10"/>
      <c r="F729" s="9"/>
      <c r="G729" s="1"/>
      <c r="H729" s="1"/>
      <c r="I729" s="1"/>
      <c r="J729" s="1"/>
    </row>
    <row r="730" spans="1:10" s="6" customFormat="1">
      <c r="A730" s="17"/>
      <c r="C730" s="9"/>
      <c r="D730" s="10"/>
      <c r="E730" s="10"/>
      <c r="F730" s="9"/>
      <c r="G730" s="1"/>
      <c r="H730" s="1"/>
      <c r="I730" s="1"/>
      <c r="J730" s="1"/>
    </row>
    <row r="731" spans="1:10" s="6" customFormat="1">
      <c r="A731" s="17"/>
      <c r="C731" s="9"/>
      <c r="D731" s="10"/>
      <c r="E731" s="10"/>
      <c r="F731" s="9"/>
      <c r="G731" s="1"/>
      <c r="H731" s="1"/>
      <c r="I731" s="1"/>
      <c r="J731" s="1"/>
    </row>
    <row r="732" spans="1:10" s="6" customFormat="1">
      <c r="A732" s="17"/>
      <c r="C732" s="9"/>
      <c r="D732" s="10"/>
      <c r="E732" s="10"/>
      <c r="F732" s="9"/>
      <c r="G732" s="1"/>
      <c r="H732" s="1"/>
      <c r="I732" s="1"/>
      <c r="J732" s="1"/>
    </row>
    <row r="733" spans="1:10" s="6" customFormat="1">
      <c r="A733" s="17"/>
      <c r="C733" s="9"/>
      <c r="D733" s="10"/>
      <c r="E733" s="10"/>
      <c r="F733" s="9"/>
      <c r="G733" s="1"/>
      <c r="H733" s="1"/>
      <c r="I733" s="1"/>
      <c r="J733" s="1"/>
    </row>
    <row r="734" spans="1:10" s="6" customFormat="1">
      <c r="A734" s="17"/>
      <c r="C734" s="9"/>
      <c r="D734" s="10"/>
      <c r="E734" s="10"/>
      <c r="F734" s="9"/>
      <c r="G734" s="1"/>
      <c r="H734" s="1"/>
      <c r="I734" s="1"/>
      <c r="J734" s="1"/>
    </row>
    <row r="735" spans="1:10" s="6" customFormat="1">
      <c r="A735" s="17"/>
      <c r="C735" s="9"/>
      <c r="D735" s="10"/>
      <c r="E735" s="10"/>
      <c r="F735" s="9"/>
      <c r="G735" s="1"/>
      <c r="H735" s="1"/>
      <c r="I735" s="1"/>
      <c r="J735" s="1"/>
    </row>
    <row r="736" spans="1:10" s="6" customFormat="1">
      <c r="A736" s="17"/>
      <c r="C736" s="9"/>
      <c r="D736" s="10"/>
      <c r="E736" s="10"/>
      <c r="F736" s="9"/>
      <c r="G736" s="1"/>
      <c r="H736" s="1"/>
      <c r="I736" s="1"/>
      <c r="J736" s="1"/>
    </row>
    <row r="737" spans="1:10" s="6" customFormat="1">
      <c r="A737" s="17"/>
      <c r="C737" s="9"/>
      <c r="D737" s="10"/>
      <c r="E737" s="10"/>
      <c r="F737" s="9"/>
      <c r="G737" s="1"/>
      <c r="H737" s="1"/>
      <c r="I737" s="1"/>
      <c r="J737" s="1"/>
    </row>
    <row r="738" spans="1:10" s="6" customFormat="1">
      <c r="A738" s="17"/>
      <c r="C738" s="9"/>
      <c r="D738" s="10"/>
      <c r="E738" s="10"/>
      <c r="F738" s="9"/>
      <c r="G738" s="1"/>
      <c r="H738" s="1"/>
      <c r="I738" s="1"/>
      <c r="J738" s="1"/>
    </row>
    <row r="739" spans="1:10" s="6" customFormat="1">
      <c r="A739" s="17"/>
      <c r="C739" s="9"/>
      <c r="D739" s="10"/>
      <c r="E739" s="10"/>
      <c r="F739" s="9"/>
      <c r="G739" s="1"/>
      <c r="H739" s="1"/>
      <c r="I739" s="1"/>
      <c r="J739" s="1"/>
    </row>
    <row r="740" spans="1:10" s="6" customFormat="1">
      <c r="A740" s="17"/>
      <c r="C740" s="9"/>
      <c r="D740" s="10"/>
      <c r="E740" s="10"/>
      <c r="F740" s="9"/>
      <c r="G740" s="1"/>
      <c r="H740" s="1"/>
      <c r="I740" s="1"/>
      <c r="J740" s="1"/>
    </row>
    <row r="741" spans="1:10" s="6" customFormat="1">
      <c r="A741" s="17"/>
      <c r="C741" s="9"/>
      <c r="D741" s="10"/>
      <c r="E741" s="10"/>
      <c r="F741" s="9"/>
      <c r="G741" s="1"/>
      <c r="H741" s="1"/>
      <c r="I741" s="1"/>
      <c r="J741" s="1"/>
    </row>
    <row r="742" spans="1:10" s="6" customFormat="1">
      <c r="A742" s="17"/>
      <c r="C742" s="9"/>
      <c r="D742" s="10"/>
      <c r="E742" s="10"/>
      <c r="F742" s="9"/>
      <c r="G742" s="1"/>
      <c r="H742" s="1"/>
      <c r="I742" s="1"/>
      <c r="J742" s="1"/>
    </row>
    <row r="743" spans="1:10" s="6" customFormat="1">
      <c r="A743" s="17"/>
      <c r="C743" s="9"/>
      <c r="D743" s="10"/>
      <c r="E743" s="10"/>
      <c r="F743" s="9"/>
      <c r="G743" s="1"/>
      <c r="H743" s="1"/>
      <c r="I743" s="1"/>
      <c r="J743" s="1"/>
    </row>
    <row r="744" spans="1:10" s="6" customFormat="1">
      <c r="A744" s="17"/>
      <c r="C744" s="9"/>
      <c r="D744" s="10"/>
      <c r="E744" s="10"/>
      <c r="F744" s="9"/>
      <c r="G744" s="1"/>
      <c r="H744" s="1"/>
      <c r="I744" s="1"/>
      <c r="J744" s="1"/>
    </row>
    <row r="745" spans="1:10" s="6" customFormat="1">
      <c r="A745" s="17"/>
      <c r="C745" s="9"/>
      <c r="D745" s="10"/>
      <c r="E745" s="10"/>
      <c r="F745" s="9"/>
      <c r="G745" s="1"/>
      <c r="H745" s="1"/>
      <c r="I745" s="1"/>
      <c r="J745" s="1"/>
    </row>
    <row r="746" spans="1:10" s="6" customFormat="1">
      <c r="A746" s="17"/>
      <c r="C746" s="9"/>
      <c r="D746" s="10"/>
      <c r="E746" s="10"/>
      <c r="F746" s="9"/>
      <c r="G746" s="1"/>
      <c r="H746" s="1"/>
      <c r="I746" s="1"/>
      <c r="J746" s="1"/>
    </row>
    <row r="747" spans="1:10" s="6" customFormat="1">
      <c r="A747" s="17"/>
      <c r="C747" s="9"/>
      <c r="D747" s="10"/>
      <c r="E747" s="10"/>
      <c r="F747" s="9"/>
      <c r="G747" s="1"/>
      <c r="H747" s="1"/>
      <c r="I747" s="1"/>
      <c r="J747" s="1"/>
    </row>
    <row r="748" spans="1:10" s="6" customFormat="1">
      <c r="A748" s="17"/>
      <c r="C748" s="9"/>
      <c r="D748" s="10"/>
      <c r="E748" s="10"/>
      <c r="F748" s="9"/>
      <c r="G748" s="1"/>
      <c r="H748" s="1"/>
      <c r="I748" s="1"/>
      <c r="J748" s="1"/>
    </row>
    <row r="749" spans="1:10" s="6" customFormat="1">
      <c r="A749" s="17"/>
      <c r="C749" s="9"/>
      <c r="D749" s="10"/>
      <c r="E749" s="10"/>
      <c r="F749" s="9"/>
      <c r="G749" s="1"/>
      <c r="H749" s="1"/>
      <c r="I749" s="1"/>
      <c r="J749" s="1"/>
    </row>
    <row r="750" spans="1:10" s="6" customFormat="1">
      <c r="A750" s="17"/>
      <c r="C750" s="9"/>
      <c r="D750" s="10"/>
      <c r="E750" s="10"/>
      <c r="F750" s="9"/>
      <c r="G750" s="1"/>
      <c r="H750" s="1"/>
      <c r="I750" s="1"/>
      <c r="J750" s="1"/>
    </row>
    <row r="751" spans="1:10" s="6" customFormat="1">
      <c r="A751" s="17"/>
      <c r="C751" s="9"/>
      <c r="D751" s="10"/>
      <c r="E751" s="10"/>
      <c r="F751" s="9"/>
      <c r="G751" s="1"/>
      <c r="H751" s="1"/>
      <c r="I751" s="1"/>
      <c r="J751" s="1"/>
    </row>
    <row r="752" spans="1:10" s="6" customFormat="1">
      <c r="A752" s="17"/>
      <c r="C752" s="9"/>
      <c r="D752" s="10"/>
      <c r="E752" s="10"/>
      <c r="F752" s="9"/>
      <c r="G752" s="1"/>
      <c r="H752" s="1"/>
      <c r="I752" s="1"/>
      <c r="J752" s="1"/>
    </row>
    <row r="753" spans="1:10" s="6" customFormat="1">
      <c r="A753" s="17"/>
      <c r="C753" s="9"/>
      <c r="D753" s="10"/>
      <c r="E753" s="10"/>
      <c r="F753" s="9"/>
      <c r="G753" s="1"/>
      <c r="H753" s="1"/>
      <c r="I753" s="1"/>
      <c r="J753" s="1"/>
    </row>
    <row r="754" spans="1:10" s="6" customFormat="1">
      <c r="A754" s="17"/>
      <c r="C754" s="9"/>
      <c r="D754" s="10"/>
      <c r="E754" s="10"/>
      <c r="F754" s="9"/>
      <c r="G754" s="1"/>
      <c r="H754" s="1"/>
      <c r="I754" s="1"/>
      <c r="J754" s="1"/>
    </row>
    <row r="755" spans="1:10" s="6" customFormat="1">
      <c r="A755" s="17"/>
      <c r="C755" s="9"/>
      <c r="D755" s="10"/>
      <c r="E755" s="10"/>
      <c r="F755" s="9"/>
      <c r="G755" s="1"/>
      <c r="H755" s="1"/>
      <c r="I755" s="1"/>
      <c r="J755" s="1"/>
    </row>
    <row r="756" spans="1:10" s="6" customFormat="1">
      <c r="A756" s="17"/>
      <c r="C756" s="9"/>
      <c r="D756" s="10"/>
      <c r="E756" s="10"/>
      <c r="F756" s="9"/>
      <c r="G756" s="1"/>
      <c r="H756" s="1"/>
      <c r="I756" s="1"/>
      <c r="J756" s="1"/>
    </row>
    <row r="757" spans="1:10" s="6" customFormat="1">
      <c r="A757" s="17"/>
      <c r="C757" s="9"/>
      <c r="D757" s="10"/>
      <c r="E757" s="10"/>
      <c r="F757" s="9"/>
      <c r="G757" s="1"/>
      <c r="H757" s="1"/>
      <c r="I757" s="1"/>
      <c r="J757" s="1"/>
    </row>
    <row r="758" spans="1:10" s="6" customFormat="1">
      <c r="A758" s="17"/>
      <c r="C758" s="9"/>
      <c r="D758" s="10"/>
      <c r="E758" s="10"/>
      <c r="F758" s="9"/>
      <c r="G758" s="1"/>
      <c r="H758" s="1"/>
      <c r="I758" s="1"/>
      <c r="J758" s="1"/>
    </row>
    <row r="759" spans="1:10" s="6" customFormat="1">
      <c r="A759" s="17"/>
      <c r="C759" s="9"/>
      <c r="D759" s="10"/>
      <c r="E759" s="10"/>
      <c r="F759" s="9"/>
      <c r="G759" s="1"/>
      <c r="H759" s="1"/>
      <c r="I759" s="1"/>
      <c r="J759" s="1"/>
    </row>
    <row r="760" spans="1:10" s="6" customFormat="1">
      <c r="A760" s="17"/>
      <c r="C760" s="9"/>
      <c r="D760" s="10"/>
      <c r="E760" s="10"/>
      <c r="F760" s="9"/>
      <c r="G760" s="1"/>
      <c r="H760" s="1"/>
      <c r="I760" s="1"/>
      <c r="J760" s="1"/>
    </row>
    <row r="761" spans="1:10" s="6" customFormat="1">
      <c r="A761" s="17"/>
      <c r="C761" s="9"/>
      <c r="D761" s="10"/>
      <c r="E761" s="10"/>
      <c r="F761" s="9"/>
      <c r="G761" s="1"/>
      <c r="H761" s="1"/>
      <c r="I761" s="1"/>
      <c r="J761" s="1"/>
    </row>
    <row r="762" spans="1:10" s="6" customFormat="1">
      <c r="A762" s="17"/>
      <c r="C762" s="9"/>
      <c r="D762" s="10"/>
      <c r="E762" s="10"/>
      <c r="F762" s="9"/>
      <c r="G762" s="1"/>
      <c r="H762" s="1"/>
      <c r="I762" s="1"/>
      <c r="J762" s="1"/>
    </row>
    <row r="763" spans="1:10" s="6" customFormat="1">
      <c r="A763" s="17"/>
      <c r="C763" s="9"/>
      <c r="D763" s="10"/>
      <c r="E763" s="10"/>
      <c r="F763" s="9"/>
      <c r="G763" s="1"/>
      <c r="H763" s="1"/>
      <c r="I763" s="1"/>
      <c r="J763" s="1"/>
    </row>
    <row r="764" spans="1:10" s="6" customFormat="1">
      <c r="A764" s="17"/>
      <c r="C764" s="9"/>
      <c r="D764" s="10"/>
      <c r="E764" s="10"/>
      <c r="F764" s="9"/>
      <c r="G764" s="1"/>
      <c r="H764" s="1"/>
      <c r="I764" s="1"/>
      <c r="J764" s="1"/>
    </row>
    <row r="765" spans="1:10" s="6" customFormat="1">
      <c r="A765" s="17"/>
      <c r="C765" s="9"/>
      <c r="D765" s="10"/>
      <c r="E765" s="10"/>
      <c r="F765" s="9"/>
      <c r="G765" s="1"/>
      <c r="H765" s="1"/>
      <c r="I765" s="1"/>
      <c r="J765" s="1"/>
    </row>
    <row r="766" spans="1:10" s="6" customFormat="1">
      <c r="A766" s="17"/>
      <c r="C766" s="9"/>
      <c r="D766" s="10"/>
      <c r="E766" s="10"/>
      <c r="F766" s="9"/>
      <c r="G766" s="1"/>
      <c r="H766" s="1"/>
      <c r="I766" s="1"/>
      <c r="J766" s="1"/>
    </row>
    <row r="767" spans="1:10" s="6" customFormat="1">
      <c r="A767" s="17"/>
      <c r="C767" s="9"/>
      <c r="D767" s="10"/>
      <c r="E767" s="10"/>
      <c r="F767" s="9"/>
      <c r="G767" s="1"/>
      <c r="H767" s="1"/>
      <c r="I767" s="1"/>
      <c r="J767" s="1"/>
    </row>
    <row r="768" spans="1:10" s="6" customFormat="1">
      <c r="A768" s="17"/>
      <c r="C768" s="9"/>
      <c r="D768" s="10"/>
      <c r="E768" s="10"/>
      <c r="F768" s="9"/>
      <c r="G768" s="1"/>
      <c r="H768" s="1"/>
      <c r="I768" s="1"/>
      <c r="J768" s="1"/>
    </row>
    <row r="769" spans="1:10" s="6" customFormat="1">
      <c r="A769" s="17"/>
      <c r="C769" s="9"/>
      <c r="D769" s="10"/>
      <c r="E769" s="10"/>
      <c r="F769" s="9"/>
      <c r="G769" s="1"/>
      <c r="H769" s="1"/>
      <c r="I769" s="1"/>
      <c r="J769" s="1"/>
    </row>
    <row r="770" spans="1:10" s="6" customFormat="1">
      <c r="A770" s="17"/>
      <c r="C770" s="9"/>
      <c r="D770" s="10"/>
      <c r="E770" s="10"/>
      <c r="F770" s="9"/>
      <c r="G770" s="1"/>
      <c r="H770" s="1"/>
      <c r="I770" s="1"/>
      <c r="J770" s="1"/>
    </row>
    <row r="771" spans="1:10" s="6" customFormat="1">
      <c r="A771" s="17"/>
      <c r="C771" s="9"/>
      <c r="D771" s="10"/>
      <c r="E771" s="10"/>
      <c r="F771" s="9"/>
      <c r="G771" s="1"/>
      <c r="H771" s="1"/>
      <c r="I771" s="1"/>
      <c r="J771" s="1"/>
    </row>
    <row r="772" spans="1:10" s="6" customFormat="1">
      <c r="A772" s="17"/>
      <c r="C772" s="9"/>
      <c r="D772" s="10"/>
      <c r="E772" s="10"/>
      <c r="F772" s="9"/>
      <c r="G772" s="1"/>
      <c r="H772" s="1"/>
      <c r="I772" s="1"/>
      <c r="J772" s="1"/>
    </row>
    <row r="773" spans="1:10" s="6" customFormat="1">
      <c r="A773" s="17"/>
      <c r="C773" s="9"/>
      <c r="D773" s="10"/>
      <c r="E773" s="10"/>
      <c r="F773" s="9"/>
      <c r="G773" s="1"/>
      <c r="H773" s="1"/>
      <c r="I773" s="1"/>
      <c r="J773" s="1"/>
    </row>
    <row r="774" spans="1:10" s="6" customFormat="1">
      <c r="A774" s="17"/>
      <c r="C774" s="9"/>
      <c r="D774" s="10"/>
      <c r="E774" s="10"/>
      <c r="F774" s="9"/>
      <c r="G774" s="1"/>
      <c r="H774" s="1"/>
      <c r="I774" s="1"/>
      <c r="J774" s="1"/>
    </row>
    <row r="775" spans="1:10" s="6" customFormat="1">
      <c r="A775" s="17"/>
      <c r="C775" s="9"/>
      <c r="D775" s="10"/>
      <c r="E775" s="10"/>
      <c r="F775" s="9"/>
      <c r="G775" s="1"/>
      <c r="H775" s="1"/>
      <c r="I775" s="1"/>
      <c r="J775" s="1"/>
    </row>
    <row r="776" spans="1:10" s="6" customFormat="1">
      <c r="A776" s="17"/>
      <c r="C776" s="9"/>
      <c r="D776" s="10"/>
      <c r="E776" s="10"/>
      <c r="F776" s="9"/>
      <c r="G776" s="1"/>
      <c r="H776" s="1"/>
      <c r="I776" s="1"/>
      <c r="J776" s="1"/>
    </row>
    <row r="777" spans="1:10" s="6" customFormat="1">
      <c r="A777" s="17"/>
      <c r="C777" s="9"/>
      <c r="D777" s="10"/>
      <c r="E777" s="10"/>
      <c r="F777" s="9"/>
      <c r="G777" s="1"/>
      <c r="H777" s="1"/>
      <c r="I777" s="1"/>
      <c r="J777" s="1"/>
    </row>
    <row r="778" spans="1:10" s="6" customFormat="1">
      <c r="A778" s="17"/>
      <c r="C778" s="9"/>
      <c r="D778" s="10"/>
      <c r="E778" s="10"/>
      <c r="F778" s="9"/>
      <c r="G778" s="1"/>
      <c r="H778" s="1"/>
      <c r="I778" s="1"/>
      <c r="J778" s="1"/>
    </row>
    <row r="779" spans="1:10" s="6" customFormat="1">
      <c r="A779" s="17"/>
      <c r="C779" s="9"/>
      <c r="D779" s="10"/>
      <c r="E779" s="10"/>
      <c r="F779" s="9"/>
      <c r="G779" s="1"/>
      <c r="H779" s="1"/>
      <c r="I779" s="1"/>
      <c r="J779" s="1"/>
    </row>
    <row r="780" spans="1:10" s="6" customFormat="1">
      <c r="A780" s="17"/>
      <c r="C780" s="9"/>
      <c r="D780" s="10"/>
      <c r="E780" s="10"/>
      <c r="F780" s="9"/>
      <c r="G780" s="1"/>
      <c r="H780" s="1"/>
      <c r="I780" s="1"/>
      <c r="J780" s="1"/>
    </row>
    <row r="781" spans="1:10" s="6" customFormat="1">
      <c r="A781" s="17"/>
      <c r="C781" s="9"/>
      <c r="D781" s="10"/>
      <c r="E781" s="10"/>
      <c r="F781" s="9"/>
      <c r="G781" s="1"/>
      <c r="H781" s="1"/>
      <c r="I781" s="1"/>
      <c r="J781" s="1"/>
    </row>
    <row r="782" spans="1:10" s="6" customFormat="1">
      <c r="A782" s="17"/>
      <c r="C782" s="9"/>
      <c r="D782" s="10"/>
      <c r="E782" s="10"/>
      <c r="F782" s="9"/>
      <c r="G782" s="1"/>
      <c r="H782" s="1"/>
      <c r="I782" s="1"/>
      <c r="J782" s="1"/>
    </row>
    <row r="783" spans="1:10" s="6" customFormat="1">
      <c r="A783" s="17"/>
      <c r="C783" s="9"/>
      <c r="D783" s="10"/>
      <c r="E783" s="10"/>
      <c r="F783" s="9"/>
      <c r="G783" s="1"/>
      <c r="H783" s="1"/>
      <c r="I783" s="1"/>
      <c r="J783" s="1"/>
    </row>
    <row r="784" spans="1:10" s="6" customFormat="1">
      <c r="A784" s="17"/>
      <c r="C784" s="9"/>
      <c r="D784" s="10"/>
      <c r="E784" s="10"/>
      <c r="F784" s="9"/>
      <c r="G784" s="1"/>
      <c r="H784" s="1"/>
      <c r="I784" s="1"/>
      <c r="J784" s="1"/>
    </row>
    <row r="785" spans="1:10" s="6" customFormat="1">
      <c r="A785" s="17"/>
      <c r="C785" s="9"/>
      <c r="D785" s="10"/>
      <c r="E785" s="10"/>
      <c r="F785" s="9"/>
      <c r="G785" s="1"/>
      <c r="H785" s="1"/>
      <c r="I785" s="1"/>
      <c r="J785" s="1"/>
    </row>
    <row r="786" spans="1:10" s="6" customFormat="1">
      <c r="A786" s="17"/>
      <c r="C786" s="9"/>
      <c r="D786" s="10"/>
      <c r="E786" s="10"/>
      <c r="F786" s="9"/>
      <c r="G786" s="1"/>
      <c r="H786" s="1"/>
      <c r="I786" s="1"/>
      <c r="J786" s="1"/>
    </row>
    <row r="787" spans="1:10" s="6" customFormat="1">
      <c r="A787" s="17"/>
      <c r="C787" s="9"/>
      <c r="D787" s="10"/>
      <c r="E787" s="10"/>
      <c r="F787" s="9"/>
      <c r="G787" s="1"/>
      <c r="H787" s="1"/>
      <c r="I787" s="1"/>
      <c r="J787" s="1"/>
    </row>
    <row r="788" spans="1:10" s="6" customFormat="1">
      <c r="A788" s="17"/>
      <c r="C788" s="9"/>
      <c r="D788" s="10"/>
      <c r="E788" s="10"/>
      <c r="F788" s="9"/>
      <c r="G788" s="1"/>
      <c r="H788" s="1"/>
      <c r="I788" s="1"/>
      <c r="J788" s="1"/>
    </row>
    <row r="789" spans="1:10" s="6" customFormat="1">
      <c r="A789" s="17"/>
      <c r="C789" s="9"/>
      <c r="D789" s="10"/>
      <c r="E789" s="10"/>
      <c r="F789" s="9"/>
      <c r="G789" s="1"/>
      <c r="H789" s="1"/>
      <c r="I789" s="1"/>
      <c r="J789" s="1"/>
    </row>
    <row r="790" spans="1:10" s="6" customFormat="1">
      <c r="A790" s="17"/>
      <c r="C790" s="9"/>
      <c r="D790" s="10"/>
      <c r="E790" s="10"/>
      <c r="F790" s="9"/>
      <c r="G790" s="1"/>
      <c r="H790" s="1"/>
      <c r="I790" s="1"/>
      <c r="J790" s="1"/>
    </row>
    <row r="791" spans="1:10" s="6" customFormat="1">
      <c r="A791" s="17"/>
      <c r="C791" s="9"/>
      <c r="D791" s="10"/>
      <c r="E791" s="10"/>
      <c r="F791" s="9"/>
      <c r="G791" s="1"/>
      <c r="H791" s="1"/>
      <c r="I791" s="1"/>
      <c r="J791" s="1"/>
    </row>
    <row r="792" spans="1:10" s="6" customFormat="1">
      <c r="A792" s="17"/>
      <c r="C792" s="9"/>
      <c r="D792" s="10"/>
      <c r="E792" s="10"/>
      <c r="F792" s="9"/>
      <c r="G792" s="1"/>
      <c r="H792" s="1"/>
      <c r="I792" s="1"/>
      <c r="J792" s="1"/>
    </row>
    <row r="793" spans="1:10" s="6" customFormat="1">
      <c r="A793" s="17"/>
      <c r="C793" s="9"/>
      <c r="D793" s="10"/>
      <c r="E793" s="10"/>
      <c r="F793" s="9"/>
      <c r="G793" s="1"/>
      <c r="H793" s="1"/>
      <c r="I793" s="1"/>
      <c r="J793" s="1"/>
    </row>
    <row r="794" spans="1:10" s="6" customFormat="1">
      <c r="A794" s="17"/>
      <c r="C794" s="9"/>
      <c r="D794" s="10"/>
      <c r="E794" s="10"/>
      <c r="F794" s="9"/>
      <c r="G794" s="1"/>
      <c r="H794" s="1"/>
      <c r="I794" s="1"/>
      <c r="J794" s="1"/>
    </row>
    <row r="795" spans="1:10" s="6" customFormat="1">
      <c r="A795" s="17"/>
      <c r="C795" s="9"/>
      <c r="D795" s="10"/>
      <c r="E795" s="10"/>
      <c r="F795" s="9"/>
      <c r="G795" s="1"/>
      <c r="H795" s="1"/>
      <c r="I795" s="1"/>
      <c r="J795" s="1"/>
    </row>
    <row r="796" spans="1:10" s="6" customFormat="1">
      <c r="A796" s="17"/>
      <c r="C796" s="9"/>
      <c r="D796" s="10"/>
      <c r="E796" s="10"/>
      <c r="F796" s="9"/>
      <c r="G796" s="1"/>
      <c r="H796" s="1"/>
      <c r="I796" s="1"/>
      <c r="J796" s="1"/>
    </row>
    <row r="797" spans="1:10" s="6" customFormat="1">
      <c r="A797" s="17"/>
      <c r="C797" s="9"/>
      <c r="D797" s="10"/>
      <c r="E797" s="10"/>
      <c r="F797" s="9"/>
      <c r="G797" s="1"/>
      <c r="H797" s="1"/>
      <c r="I797" s="1"/>
      <c r="J797" s="1"/>
    </row>
    <row r="798" spans="1:10" s="6" customFormat="1">
      <c r="A798" s="17"/>
      <c r="C798" s="9"/>
      <c r="D798" s="10"/>
      <c r="E798" s="10"/>
      <c r="F798" s="9"/>
      <c r="G798" s="1"/>
      <c r="H798" s="1"/>
      <c r="I798" s="1"/>
      <c r="J798" s="1"/>
    </row>
    <row r="799" spans="1:10" s="6" customFormat="1">
      <c r="A799" s="17"/>
      <c r="C799" s="9"/>
      <c r="D799" s="10"/>
      <c r="E799" s="10"/>
      <c r="F799" s="9"/>
      <c r="G799" s="1"/>
      <c r="H799" s="1"/>
      <c r="I799" s="1"/>
      <c r="J799" s="1"/>
    </row>
    <row r="800" spans="1:10" s="6" customFormat="1">
      <c r="A800" s="17"/>
      <c r="C800" s="9"/>
      <c r="D800" s="10"/>
      <c r="E800" s="10"/>
      <c r="F800" s="9"/>
      <c r="G800" s="1"/>
      <c r="H800" s="1"/>
      <c r="I800" s="1"/>
      <c r="J800" s="1"/>
    </row>
    <row r="801" spans="1:10" s="6" customFormat="1">
      <c r="A801" s="17"/>
      <c r="C801" s="9"/>
      <c r="D801" s="10"/>
      <c r="E801" s="10"/>
      <c r="F801" s="9"/>
      <c r="G801" s="1"/>
      <c r="H801" s="1"/>
      <c r="I801" s="1"/>
      <c r="J801" s="1"/>
    </row>
    <row r="802" spans="1:10" s="6" customFormat="1">
      <c r="A802" s="17"/>
      <c r="C802" s="9"/>
      <c r="D802" s="10"/>
      <c r="E802" s="10"/>
      <c r="F802" s="9"/>
      <c r="G802" s="1"/>
      <c r="H802" s="1"/>
      <c r="I802" s="1"/>
      <c r="J802" s="1"/>
    </row>
    <row r="803" spans="1:10" s="6" customFormat="1">
      <c r="A803" s="17"/>
      <c r="C803" s="9"/>
      <c r="D803" s="10"/>
      <c r="E803" s="10"/>
      <c r="F803" s="9"/>
      <c r="G803" s="1"/>
      <c r="H803" s="1"/>
      <c r="I803" s="1"/>
      <c r="J803" s="1"/>
    </row>
    <row r="804" spans="1:10" s="6" customFormat="1">
      <c r="A804" s="17"/>
      <c r="C804" s="9"/>
      <c r="D804" s="10"/>
      <c r="E804" s="10"/>
      <c r="F804" s="9"/>
      <c r="G804" s="1"/>
      <c r="H804" s="1"/>
      <c r="I804" s="1"/>
      <c r="J804" s="1"/>
    </row>
    <row r="805" spans="1:10" s="6" customFormat="1">
      <c r="A805" s="17"/>
      <c r="C805" s="9"/>
      <c r="D805" s="10"/>
      <c r="E805" s="10"/>
      <c r="F805" s="9"/>
      <c r="G805" s="1"/>
      <c r="H805" s="1"/>
      <c r="I805" s="1"/>
      <c r="J805" s="1"/>
    </row>
    <row r="806" spans="1:10" s="6" customFormat="1">
      <c r="A806" s="17"/>
      <c r="C806" s="9"/>
      <c r="D806" s="10"/>
      <c r="E806" s="10"/>
      <c r="F806" s="9"/>
      <c r="G806" s="1"/>
      <c r="H806" s="1"/>
      <c r="I806" s="1"/>
      <c r="J806" s="1"/>
    </row>
    <row r="807" spans="1:10" s="6" customFormat="1">
      <c r="A807" s="17"/>
      <c r="C807" s="9"/>
      <c r="D807" s="10"/>
      <c r="E807" s="10"/>
      <c r="F807" s="9"/>
      <c r="G807" s="1"/>
      <c r="H807" s="1"/>
      <c r="I807" s="1"/>
      <c r="J807" s="1"/>
    </row>
    <row r="808" spans="1:10" s="6" customFormat="1">
      <c r="A808" s="17"/>
      <c r="C808" s="9"/>
      <c r="D808" s="10"/>
      <c r="E808" s="10"/>
      <c r="F808" s="9"/>
      <c r="G808" s="1"/>
      <c r="H808" s="1"/>
      <c r="I808" s="1"/>
      <c r="J808" s="1"/>
    </row>
    <row r="809" spans="1:10" s="6" customFormat="1">
      <c r="A809" s="17"/>
      <c r="C809" s="9"/>
      <c r="D809" s="10"/>
      <c r="E809" s="10"/>
      <c r="F809" s="9"/>
      <c r="G809" s="1"/>
      <c r="H809" s="1"/>
      <c r="I809" s="1"/>
      <c r="J809" s="1"/>
    </row>
    <row r="810" spans="1:10" s="6" customFormat="1">
      <c r="A810" s="17"/>
      <c r="C810" s="9"/>
      <c r="D810" s="10"/>
      <c r="E810" s="10"/>
      <c r="F810" s="9"/>
      <c r="G810" s="1"/>
      <c r="H810" s="1"/>
      <c r="I810" s="1"/>
      <c r="J810" s="1"/>
    </row>
    <row r="811" spans="1:10" s="6" customFormat="1">
      <c r="A811" s="17"/>
      <c r="C811" s="9"/>
      <c r="D811" s="10"/>
      <c r="E811" s="10"/>
      <c r="F811" s="9"/>
      <c r="G811" s="1"/>
      <c r="H811" s="1"/>
      <c r="I811" s="1"/>
      <c r="J811" s="1"/>
    </row>
    <row r="812" spans="1:10" s="6" customFormat="1">
      <c r="A812" s="17"/>
      <c r="C812" s="9"/>
      <c r="D812" s="10"/>
      <c r="E812" s="10"/>
      <c r="F812" s="9"/>
      <c r="G812" s="1"/>
      <c r="H812" s="1"/>
      <c r="I812" s="1"/>
      <c r="J812" s="1"/>
    </row>
    <row r="813" spans="1:10" s="6" customFormat="1">
      <c r="A813" s="17"/>
      <c r="C813" s="9"/>
      <c r="D813" s="10"/>
      <c r="E813" s="10"/>
      <c r="F813" s="9"/>
      <c r="G813" s="1"/>
      <c r="H813" s="1"/>
      <c r="I813" s="1"/>
      <c r="J813" s="1"/>
    </row>
    <row r="814" spans="1:10" s="6" customFormat="1">
      <c r="A814" s="17"/>
      <c r="C814" s="9"/>
      <c r="D814" s="10"/>
      <c r="E814" s="10"/>
      <c r="F814" s="9"/>
      <c r="G814" s="1"/>
      <c r="H814" s="1"/>
      <c r="I814" s="1"/>
      <c r="J814" s="1"/>
    </row>
    <row r="815" spans="1:10" s="6" customFormat="1">
      <c r="A815" s="17"/>
      <c r="C815" s="9"/>
      <c r="D815" s="10"/>
      <c r="E815" s="10"/>
      <c r="F815" s="9"/>
      <c r="G815" s="1"/>
      <c r="H815" s="1"/>
      <c r="I815" s="1"/>
      <c r="J815" s="1"/>
    </row>
    <row r="816" spans="1:10" s="6" customFormat="1">
      <c r="A816" s="17"/>
      <c r="C816" s="9"/>
      <c r="D816" s="10"/>
      <c r="E816" s="10"/>
      <c r="F816" s="9"/>
      <c r="G816" s="1"/>
      <c r="H816" s="1"/>
      <c r="I816" s="1"/>
      <c r="J816" s="1"/>
    </row>
    <row r="817" spans="1:10" s="6" customFormat="1">
      <c r="A817" s="17"/>
      <c r="C817" s="9"/>
      <c r="D817" s="10"/>
      <c r="E817" s="10"/>
      <c r="F817" s="9"/>
      <c r="G817" s="1"/>
      <c r="H817" s="1"/>
      <c r="I817" s="1"/>
      <c r="J817" s="1"/>
    </row>
    <row r="818" spans="1:10" s="6" customFormat="1">
      <c r="A818" s="17"/>
      <c r="C818" s="9"/>
      <c r="D818" s="10"/>
      <c r="E818" s="10"/>
      <c r="F818" s="9"/>
      <c r="G818" s="1"/>
      <c r="H818" s="1"/>
      <c r="I818" s="1"/>
      <c r="J818" s="1"/>
    </row>
    <row r="819" spans="1:10" s="6" customFormat="1">
      <c r="A819" s="17"/>
      <c r="C819" s="9"/>
      <c r="D819" s="10"/>
      <c r="E819" s="10"/>
      <c r="F819" s="9"/>
      <c r="G819" s="1"/>
      <c r="H819" s="1"/>
      <c r="I819" s="1"/>
      <c r="J819" s="1"/>
    </row>
    <row r="820" spans="1:10" s="6" customFormat="1">
      <c r="A820" s="17"/>
      <c r="C820" s="9"/>
      <c r="D820" s="10"/>
      <c r="E820" s="10"/>
      <c r="F820" s="9"/>
      <c r="G820" s="1"/>
      <c r="H820" s="1"/>
      <c r="I820" s="1"/>
      <c r="J820" s="1"/>
    </row>
    <row r="821" spans="1:10" s="6" customFormat="1">
      <c r="A821" s="17"/>
      <c r="C821" s="9"/>
      <c r="D821" s="10"/>
      <c r="E821" s="10"/>
      <c r="F821" s="9"/>
      <c r="G821" s="1"/>
      <c r="H821" s="1"/>
      <c r="I821" s="1"/>
      <c r="J821" s="1"/>
    </row>
    <row r="822" spans="1:10" s="6" customFormat="1">
      <c r="A822" s="17"/>
      <c r="C822" s="9"/>
      <c r="D822" s="10"/>
      <c r="E822" s="10"/>
      <c r="F822" s="9"/>
      <c r="G822" s="1"/>
      <c r="H822" s="1"/>
      <c r="I822" s="1"/>
      <c r="J822" s="1"/>
    </row>
    <row r="823" spans="1:10" s="6" customFormat="1">
      <c r="A823" s="17"/>
      <c r="C823" s="9"/>
      <c r="D823" s="10"/>
      <c r="E823" s="10"/>
      <c r="F823" s="9"/>
      <c r="G823" s="1"/>
      <c r="H823" s="1"/>
      <c r="I823" s="1"/>
      <c r="J823" s="1"/>
    </row>
    <row r="824" spans="1:10" s="6" customFormat="1">
      <c r="A824" s="17"/>
      <c r="C824" s="9"/>
      <c r="D824" s="10"/>
      <c r="E824" s="10"/>
      <c r="F824" s="9"/>
      <c r="G824" s="1"/>
      <c r="H824" s="1"/>
      <c r="I824" s="1"/>
      <c r="J824" s="1"/>
    </row>
    <row r="825" spans="1:10" s="6" customFormat="1">
      <c r="A825" s="17"/>
      <c r="C825" s="9"/>
      <c r="D825" s="10"/>
      <c r="E825" s="10"/>
      <c r="F825" s="9"/>
      <c r="G825" s="1"/>
      <c r="H825" s="1"/>
      <c r="I825" s="1"/>
      <c r="J825" s="1"/>
    </row>
    <row r="826" spans="1:10" s="6" customFormat="1">
      <c r="A826" s="17"/>
      <c r="C826" s="9"/>
      <c r="D826" s="10"/>
      <c r="E826" s="10"/>
      <c r="F826" s="9"/>
      <c r="G826" s="1"/>
      <c r="H826" s="1"/>
      <c r="I826" s="1"/>
      <c r="J826" s="1"/>
    </row>
    <row r="827" spans="1:10" s="6" customFormat="1">
      <c r="A827" s="17"/>
      <c r="C827" s="9"/>
      <c r="D827" s="10"/>
      <c r="E827" s="10"/>
      <c r="F827" s="9"/>
      <c r="G827" s="1"/>
      <c r="H827" s="1"/>
      <c r="I827" s="1"/>
      <c r="J827" s="1"/>
    </row>
    <row r="828" spans="1:10" s="6" customFormat="1">
      <c r="A828" s="17"/>
      <c r="C828" s="9"/>
      <c r="D828" s="10"/>
      <c r="E828" s="10"/>
      <c r="F828" s="9"/>
      <c r="G828" s="1"/>
      <c r="H828" s="1"/>
      <c r="I828" s="1"/>
      <c r="J828" s="1"/>
    </row>
    <row r="829" spans="1:10" s="6" customFormat="1">
      <c r="A829" s="17"/>
      <c r="C829" s="9"/>
      <c r="D829" s="10"/>
      <c r="E829" s="10"/>
      <c r="F829" s="9"/>
      <c r="G829" s="1"/>
      <c r="H829" s="1"/>
      <c r="I829" s="1"/>
      <c r="J829" s="1"/>
    </row>
    <row r="830" spans="1:10" s="6" customFormat="1">
      <c r="A830" s="17"/>
      <c r="C830" s="9"/>
      <c r="D830" s="10"/>
      <c r="E830" s="10"/>
      <c r="F830" s="9"/>
      <c r="G830" s="1"/>
      <c r="H830" s="1"/>
      <c r="I830" s="1"/>
      <c r="J830" s="1"/>
    </row>
    <row r="831" spans="1:10" s="6" customFormat="1">
      <c r="A831" s="17"/>
      <c r="C831" s="9"/>
      <c r="D831" s="10"/>
      <c r="E831" s="10"/>
      <c r="F831" s="9"/>
      <c r="G831" s="1"/>
      <c r="H831" s="1"/>
      <c r="I831" s="1"/>
      <c r="J831" s="1"/>
    </row>
    <row r="832" spans="1:10" s="6" customFormat="1">
      <c r="A832" s="17"/>
      <c r="C832" s="9"/>
      <c r="D832" s="10"/>
      <c r="E832" s="10"/>
      <c r="F832" s="9"/>
      <c r="G832" s="1"/>
      <c r="H832" s="1"/>
      <c r="I832" s="1"/>
      <c r="J832" s="1"/>
    </row>
    <row r="833" spans="1:10" s="6" customFormat="1">
      <c r="A833" s="17"/>
      <c r="C833" s="9"/>
      <c r="D833" s="10"/>
      <c r="E833" s="10"/>
      <c r="F833" s="9"/>
      <c r="G833" s="1"/>
      <c r="H833" s="1"/>
      <c r="I833" s="1"/>
      <c r="J833" s="1"/>
    </row>
    <row r="834" spans="1:10" s="6" customFormat="1">
      <c r="A834" s="17"/>
      <c r="C834" s="9"/>
      <c r="D834" s="10"/>
      <c r="E834" s="10"/>
      <c r="F834" s="9"/>
      <c r="G834" s="1"/>
      <c r="H834" s="1"/>
      <c r="I834" s="1"/>
      <c r="J834" s="1"/>
    </row>
    <row r="835" spans="1:10" s="6" customFormat="1">
      <c r="A835" s="17"/>
      <c r="C835" s="9"/>
      <c r="D835" s="10"/>
      <c r="E835" s="10"/>
      <c r="F835" s="9"/>
      <c r="G835" s="1"/>
      <c r="H835" s="1"/>
      <c r="I835" s="1"/>
      <c r="J835" s="1"/>
    </row>
    <row r="836" spans="1:10" s="6" customFormat="1">
      <c r="A836" s="17"/>
      <c r="C836" s="9"/>
      <c r="D836" s="10"/>
      <c r="E836" s="10"/>
      <c r="F836" s="9"/>
      <c r="G836" s="1"/>
      <c r="H836" s="1"/>
      <c r="I836" s="1"/>
      <c r="J836" s="1"/>
    </row>
    <row r="837" spans="1:10" s="6" customFormat="1">
      <c r="A837" s="17"/>
      <c r="C837" s="9"/>
      <c r="D837" s="10"/>
      <c r="E837" s="10"/>
      <c r="F837" s="9"/>
      <c r="G837" s="1"/>
      <c r="H837" s="1"/>
      <c r="I837" s="1"/>
      <c r="J837" s="1"/>
    </row>
    <row r="838" spans="1:10" s="6" customFormat="1">
      <c r="A838" s="17"/>
      <c r="C838" s="9"/>
      <c r="D838" s="10"/>
      <c r="E838" s="10"/>
      <c r="F838" s="9"/>
      <c r="G838" s="1"/>
      <c r="H838" s="1"/>
      <c r="I838" s="1"/>
      <c r="J838" s="1"/>
    </row>
    <row r="839" spans="1:10" s="6" customFormat="1">
      <c r="A839" s="17"/>
      <c r="C839" s="9"/>
      <c r="D839" s="10"/>
      <c r="E839" s="10"/>
      <c r="F839" s="9"/>
      <c r="G839" s="1"/>
      <c r="H839" s="1"/>
      <c r="I839" s="1"/>
      <c r="J839" s="1"/>
    </row>
    <row r="840" spans="1:10" s="6" customFormat="1">
      <c r="A840" s="17"/>
      <c r="C840" s="9"/>
      <c r="D840" s="10"/>
      <c r="E840" s="10"/>
      <c r="F840" s="9"/>
      <c r="G840" s="1"/>
      <c r="H840" s="1"/>
      <c r="I840" s="1"/>
      <c r="J840" s="1"/>
    </row>
    <row r="841" spans="1:10" s="6" customFormat="1">
      <c r="A841" s="17"/>
      <c r="C841" s="9"/>
      <c r="D841" s="10"/>
      <c r="E841" s="10"/>
      <c r="F841" s="9"/>
      <c r="G841" s="1"/>
      <c r="H841" s="1"/>
      <c r="I841" s="1"/>
      <c r="J841" s="1"/>
    </row>
    <row r="842" spans="1:10" s="6" customFormat="1">
      <c r="A842" s="17"/>
      <c r="C842" s="9"/>
      <c r="D842" s="10"/>
      <c r="E842" s="10"/>
      <c r="F842" s="9"/>
      <c r="G842" s="1"/>
      <c r="H842" s="1"/>
      <c r="I842" s="1"/>
      <c r="J842" s="1"/>
    </row>
    <row r="843" spans="1:10" s="6" customFormat="1">
      <c r="A843" s="17"/>
      <c r="C843" s="9"/>
      <c r="D843" s="10"/>
      <c r="E843" s="10"/>
      <c r="F843" s="9"/>
      <c r="G843" s="1"/>
      <c r="H843" s="1"/>
      <c r="I843" s="1"/>
      <c r="J843" s="1"/>
    </row>
    <row r="844" spans="1:10" s="6" customFormat="1">
      <c r="A844" s="17"/>
      <c r="C844" s="9"/>
      <c r="D844" s="10"/>
      <c r="E844" s="10"/>
      <c r="F844" s="9"/>
      <c r="G844" s="1"/>
      <c r="H844" s="1"/>
      <c r="I844" s="1"/>
      <c r="J844" s="1"/>
    </row>
    <row r="845" spans="1:10" s="6" customFormat="1">
      <c r="A845" s="17"/>
      <c r="C845" s="9"/>
      <c r="D845" s="10"/>
      <c r="E845" s="10"/>
      <c r="F845" s="9"/>
      <c r="G845" s="1"/>
      <c r="H845" s="1"/>
      <c r="I845" s="1"/>
      <c r="J845" s="1"/>
    </row>
    <row r="846" spans="1:10" s="6" customFormat="1">
      <c r="A846" s="17"/>
      <c r="C846" s="9"/>
      <c r="D846" s="10"/>
      <c r="E846" s="10"/>
      <c r="F846" s="9"/>
      <c r="G846" s="1"/>
      <c r="H846" s="1"/>
      <c r="I846" s="1"/>
      <c r="J846" s="1"/>
    </row>
    <row r="847" spans="1:10" s="6" customFormat="1">
      <c r="A847" s="17"/>
      <c r="C847" s="9"/>
      <c r="D847" s="10"/>
      <c r="E847" s="10"/>
      <c r="F847" s="9"/>
      <c r="G847" s="1"/>
      <c r="H847" s="1"/>
      <c r="I847" s="1"/>
      <c r="J847" s="1"/>
    </row>
    <row r="848" spans="1:10" s="6" customFormat="1">
      <c r="A848" s="17"/>
      <c r="C848" s="9"/>
      <c r="D848" s="10"/>
      <c r="E848" s="10"/>
      <c r="F848" s="9"/>
      <c r="G848" s="1"/>
      <c r="H848" s="1"/>
      <c r="I848" s="1"/>
      <c r="J848" s="1"/>
    </row>
    <row r="849" spans="1:10" s="6" customFormat="1">
      <c r="A849" s="17"/>
      <c r="C849" s="9"/>
      <c r="D849" s="10"/>
      <c r="E849" s="10"/>
      <c r="F849" s="9"/>
      <c r="G849" s="1"/>
      <c r="H849" s="1"/>
      <c r="I849" s="1"/>
      <c r="J849" s="1"/>
    </row>
    <row r="850" spans="1:10" s="6" customFormat="1">
      <c r="A850" s="17"/>
      <c r="C850" s="9"/>
      <c r="D850" s="10"/>
      <c r="E850" s="10"/>
      <c r="F850" s="9"/>
      <c r="G850" s="1"/>
      <c r="H850" s="1"/>
      <c r="I850" s="1"/>
      <c r="J850" s="1"/>
    </row>
    <row r="851" spans="1:10" s="6" customFormat="1">
      <c r="A851" s="17"/>
      <c r="C851" s="9"/>
      <c r="D851" s="10"/>
      <c r="E851" s="10"/>
      <c r="F851" s="9"/>
      <c r="G851" s="1"/>
      <c r="H851" s="1"/>
      <c r="I851" s="1"/>
      <c r="J851" s="1"/>
    </row>
    <row r="852" spans="1:10" s="6" customFormat="1">
      <c r="A852" s="17"/>
      <c r="C852" s="9"/>
      <c r="D852" s="10"/>
      <c r="E852" s="10"/>
      <c r="F852" s="9"/>
      <c r="G852" s="1"/>
      <c r="H852" s="1"/>
      <c r="I852" s="1"/>
      <c r="J852" s="1"/>
    </row>
    <row r="853" spans="1:10" s="6" customFormat="1">
      <c r="A853" s="17"/>
      <c r="C853" s="9"/>
      <c r="D853" s="10"/>
      <c r="E853" s="10"/>
      <c r="F853" s="9"/>
      <c r="G853" s="1"/>
      <c r="H853" s="1"/>
      <c r="I853" s="1"/>
      <c r="J853" s="1"/>
    </row>
    <row r="854" spans="1:10" s="6" customFormat="1">
      <c r="A854" s="17"/>
      <c r="C854" s="9"/>
      <c r="D854" s="10"/>
      <c r="E854" s="10"/>
      <c r="F854" s="9"/>
      <c r="G854" s="1"/>
      <c r="H854" s="1"/>
      <c r="I854" s="1"/>
      <c r="J854" s="1"/>
    </row>
    <row r="855" spans="1:10" s="6" customFormat="1">
      <c r="A855" s="17"/>
      <c r="C855" s="9"/>
      <c r="D855" s="10"/>
      <c r="E855" s="10"/>
      <c r="F855" s="9"/>
      <c r="G855" s="1"/>
      <c r="H855" s="1"/>
      <c r="I855" s="1"/>
      <c r="J855" s="1"/>
    </row>
    <row r="856" spans="1:10" s="6" customFormat="1">
      <c r="A856" s="17"/>
      <c r="C856" s="9"/>
      <c r="D856" s="10"/>
      <c r="E856" s="10"/>
      <c r="F856" s="9"/>
      <c r="G856" s="1"/>
      <c r="H856" s="1"/>
      <c r="I856" s="1"/>
      <c r="J856" s="1"/>
    </row>
    <row r="857" spans="1:10" s="6" customFormat="1">
      <c r="A857" s="17"/>
      <c r="C857" s="9"/>
      <c r="D857" s="10"/>
      <c r="E857" s="10"/>
      <c r="F857" s="9"/>
      <c r="G857" s="1"/>
      <c r="H857" s="1"/>
      <c r="I857" s="1"/>
      <c r="J857" s="1"/>
    </row>
    <row r="858" spans="1:10" s="6" customFormat="1">
      <c r="A858" s="17"/>
      <c r="C858" s="9"/>
      <c r="D858" s="10"/>
      <c r="E858" s="10"/>
      <c r="F858" s="9"/>
      <c r="G858" s="1"/>
      <c r="H858" s="1"/>
      <c r="I858" s="1"/>
      <c r="J858" s="1"/>
    </row>
    <row r="859" spans="1:10" s="6" customFormat="1">
      <c r="A859" s="17"/>
      <c r="C859" s="9"/>
      <c r="D859" s="10"/>
      <c r="E859" s="10"/>
      <c r="F859" s="9"/>
      <c r="G859" s="1"/>
      <c r="H859" s="1"/>
      <c r="I859" s="1"/>
      <c r="J859" s="1"/>
    </row>
    <row r="860" spans="1:10" s="6" customFormat="1">
      <c r="A860" s="17"/>
      <c r="C860" s="9"/>
      <c r="D860" s="10"/>
      <c r="E860" s="10"/>
      <c r="F860" s="9"/>
      <c r="G860" s="1"/>
      <c r="H860" s="1"/>
      <c r="I860" s="1"/>
      <c r="J860" s="1"/>
    </row>
    <row r="861" spans="1:10" s="6" customFormat="1">
      <c r="A861" s="17"/>
      <c r="C861" s="9"/>
      <c r="D861" s="10"/>
      <c r="E861" s="10"/>
      <c r="F861" s="9"/>
      <c r="G861" s="1"/>
      <c r="H861" s="1"/>
      <c r="I861" s="1"/>
      <c r="J861" s="1"/>
    </row>
    <row r="862" spans="1:10" s="6" customFormat="1">
      <c r="A862" s="17"/>
      <c r="C862" s="9"/>
      <c r="D862" s="10"/>
      <c r="E862" s="10"/>
      <c r="F862" s="9"/>
      <c r="G862" s="1"/>
      <c r="H862" s="1"/>
      <c r="I862" s="1"/>
      <c r="J862" s="1"/>
    </row>
    <row r="863" spans="1:10" s="6" customFormat="1">
      <c r="A863" s="17"/>
      <c r="C863" s="9"/>
      <c r="D863" s="10"/>
      <c r="E863" s="10"/>
      <c r="F863" s="9"/>
      <c r="G863" s="1"/>
      <c r="H863" s="1"/>
      <c r="I863" s="1"/>
      <c r="J863" s="1"/>
    </row>
    <row r="864" spans="1:10" s="6" customFormat="1">
      <c r="A864" s="17"/>
      <c r="C864" s="9"/>
      <c r="D864" s="10"/>
      <c r="E864" s="10"/>
      <c r="F864" s="9"/>
      <c r="G864" s="1"/>
      <c r="H864" s="1"/>
      <c r="I864" s="1"/>
      <c r="J864" s="1"/>
    </row>
    <row r="865" spans="1:10" s="6" customFormat="1">
      <c r="A865" s="17"/>
      <c r="C865" s="9"/>
      <c r="D865" s="10"/>
      <c r="E865" s="10"/>
      <c r="F865" s="9"/>
      <c r="G865" s="1"/>
      <c r="H865" s="1"/>
      <c r="I865" s="1"/>
      <c r="J865" s="1"/>
    </row>
    <row r="866" spans="1:10" s="6" customFormat="1">
      <c r="A866" s="17"/>
      <c r="C866" s="9"/>
      <c r="D866" s="10"/>
      <c r="E866" s="10"/>
      <c r="F866" s="9"/>
      <c r="G866" s="1"/>
      <c r="H866" s="1"/>
      <c r="I866" s="1"/>
      <c r="J866" s="1"/>
    </row>
    <row r="867" spans="1:10" s="6" customFormat="1">
      <c r="A867" s="17"/>
      <c r="C867" s="9"/>
      <c r="D867" s="10"/>
      <c r="E867" s="10"/>
      <c r="F867" s="9"/>
      <c r="G867" s="1"/>
      <c r="H867" s="1"/>
      <c r="I867" s="1"/>
      <c r="J867" s="1"/>
    </row>
    <row r="868" spans="1:10" s="6" customFormat="1">
      <c r="A868" s="17"/>
      <c r="C868" s="9"/>
      <c r="D868" s="10"/>
      <c r="E868" s="10"/>
      <c r="F868" s="9"/>
      <c r="G868" s="1"/>
      <c r="H868" s="1"/>
      <c r="I868" s="1"/>
      <c r="J868" s="1"/>
    </row>
    <row r="869" spans="1:10" s="6" customFormat="1">
      <c r="A869" s="17"/>
      <c r="C869" s="9"/>
      <c r="D869" s="10"/>
      <c r="E869" s="10"/>
      <c r="F869" s="9"/>
      <c r="G869" s="1"/>
      <c r="H869" s="1"/>
      <c r="I869" s="1"/>
      <c r="J869" s="1"/>
    </row>
    <row r="870" spans="1:10" s="6" customFormat="1">
      <c r="A870" s="17"/>
      <c r="C870" s="9"/>
      <c r="D870" s="10"/>
      <c r="E870" s="10"/>
      <c r="F870" s="9"/>
      <c r="G870" s="1"/>
      <c r="H870" s="1"/>
      <c r="I870" s="1"/>
      <c r="J870" s="1"/>
    </row>
    <row r="871" spans="1:10" s="6" customFormat="1">
      <c r="A871" s="17"/>
      <c r="C871" s="9"/>
      <c r="D871" s="10"/>
      <c r="E871" s="10"/>
      <c r="F871" s="9"/>
      <c r="G871" s="1"/>
      <c r="H871" s="1"/>
      <c r="I871" s="1"/>
      <c r="J871" s="1"/>
    </row>
    <row r="872" spans="1:10" s="6" customFormat="1">
      <c r="A872" s="17"/>
      <c r="C872" s="9"/>
      <c r="D872" s="10"/>
      <c r="E872" s="10"/>
      <c r="F872" s="9"/>
      <c r="G872" s="1"/>
      <c r="H872" s="1"/>
      <c r="I872" s="1"/>
      <c r="J872" s="1"/>
    </row>
    <row r="873" spans="1:10" s="6" customFormat="1">
      <c r="A873" s="17"/>
      <c r="C873" s="9"/>
      <c r="D873" s="10"/>
      <c r="E873" s="10"/>
      <c r="F873" s="9"/>
      <c r="G873" s="1"/>
      <c r="H873" s="1"/>
      <c r="I873" s="1"/>
      <c r="J873" s="1"/>
    </row>
    <row r="874" spans="1:10" s="6" customFormat="1">
      <c r="A874" s="17"/>
      <c r="C874" s="9"/>
      <c r="D874" s="10"/>
      <c r="E874" s="10"/>
      <c r="F874" s="9"/>
      <c r="G874" s="1"/>
      <c r="H874" s="1"/>
      <c r="I874" s="1"/>
      <c r="J874" s="1"/>
    </row>
    <row r="875" spans="1:10" s="6" customFormat="1">
      <c r="A875" s="17"/>
      <c r="C875" s="9"/>
      <c r="D875" s="10"/>
      <c r="E875" s="10"/>
      <c r="F875" s="9"/>
      <c r="G875" s="1"/>
      <c r="H875" s="1"/>
      <c r="I875" s="1"/>
      <c r="J875" s="1"/>
    </row>
    <row r="876" spans="1:10" s="6" customFormat="1">
      <c r="A876" s="17"/>
      <c r="C876" s="9"/>
      <c r="D876" s="10"/>
      <c r="E876" s="10"/>
      <c r="F876" s="9"/>
      <c r="G876" s="1"/>
      <c r="H876" s="1"/>
      <c r="I876" s="1"/>
      <c r="J876" s="1"/>
    </row>
    <row r="877" spans="1:10" s="6" customFormat="1">
      <c r="A877" s="17"/>
      <c r="C877" s="9"/>
      <c r="D877" s="10"/>
      <c r="E877" s="10"/>
      <c r="F877" s="9"/>
      <c r="G877" s="1"/>
      <c r="H877" s="1"/>
      <c r="I877" s="1"/>
      <c r="J877" s="1"/>
    </row>
    <row r="878" spans="1:10" s="6" customFormat="1">
      <c r="A878" s="17"/>
      <c r="C878" s="9"/>
      <c r="D878" s="10"/>
      <c r="E878" s="10"/>
      <c r="F878" s="9"/>
      <c r="G878" s="1"/>
      <c r="H878" s="1"/>
      <c r="I878" s="1"/>
      <c r="J878" s="1"/>
    </row>
    <row r="879" spans="1:10" s="6" customFormat="1">
      <c r="A879" s="17"/>
      <c r="C879" s="9"/>
      <c r="D879" s="10"/>
      <c r="E879" s="10"/>
      <c r="F879" s="9"/>
      <c r="G879" s="1"/>
      <c r="H879" s="1"/>
      <c r="I879" s="1"/>
      <c r="J879" s="1"/>
    </row>
    <row r="880" spans="1:10" s="6" customFormat="1">
      <c r="A880" s="17"/>
      <c r="C880" s="9"/>
      <c r="D880" s="10"/>
      <c r="E880" s="10"/>
      <c r="F880" s="9"/>
      <c r="G880" s="1"/>
      <c r="H880" s="1"/>
      <c r="I880" s="1"/>
      <c r="J880" s="1"/>
    </row>
    <row r="881" spans="1:10" s="6" customFormat="1">
      <c r="A881" s="17"/>
      <c r="C881" s="9"/>
      <c r="D881" s="10"/>
      <c r="E881" s="10"/>
      <c r="F881" s="9"/>
      <c r="G881" s="1"/>
      <c r="H881" s="1"/>
      <c r="I881" s="1"/>
      <c r="J881" s="1"/>
    </row>
    <row r="882" spans="1:10" s="6" customFormat="1">
      <c r="A882" s="17"/>
      <c r="C882" s="9"/>
      <c r="D882" s="10"/>
      <c r="E882" s="10"/>
      <c r="F882" s="9"/>
      <c r="G882" s="1"/>
      <c r="H882" s="1"/>
      <c r="I882" s="1"/>
      <c r="J882" s="1"/>
    </row>
    <row r="883" spans="1:10" s="6" customFormat="1">
      <c r="A883" s="17"/>
      <c r="C883" s="9"/>
      <c r="D883" s="10"/>
      <c r="E883" s="10"/>
      <c r="F883" s="9"/>
      <c r="G883" s="1"/>
      <c r="H883" s="1"/>
      <c r="I883" s="1"/>
      <c r="J883" s="1"/>
    </row>
    <row r="884" spans="1:10" s="6" customFormat="1">
      <c r="A884" s="17"/>
      <c r="C884" s="9"/>
      <c r="D884" s="10"/>
      <c r="E884" s="10"/>
      <c r="F884" s="9"/>
      <c r="G884" s="1"/>
      <c r="H884" s="1"/>
      <c r="I884" s="1"/>
      <c r="J884" s="1"/>
    </row>
    <row r="885" spans="1:10" s="6" customFormat="1">
      <c r="A885" s="17"/>
      <c r="C885" s="9"/>
      <c r="D885" s="10"/>
      <c r="E885" s="10"/>
      <c r="F885" s="9"/>
      <c r="G885" s="1"/>
      <c r="H885" s="1"/>
      <c r="I885" s="1"/>
      <c r="J885" s="1"/>
    </row>
    <row r="886" spans="1:10" s="6" customFormat="1">
      <c r="A886" s="17"/>
      <c r="C886" s="9"/>
      <c r="D886" s="10"/>
      <c r="E886" s="10"/>
      <c r="F886" s="9"/>
      <c r="G886" s="1"/>
      <c r="H886" s="1"/>
      <c r="I886" s="1"/>
      <c r="J886" s="1"/>
    </row>
    <row r="887" spans="1:10" s="6" customFormat="1">
      <c r="A887" s="17"/>
      <c r="C887" s="9"/>
      <c r="D887" s="10"/>
      <c r="E887" s="10"/>
      <c r="F887" s="9"/>
      <c r="G887" s="1"/>
      <c r="H887" s="1"/>
      <c r="I887" s="1"/>
      <c r="J887" s="1"/>
    </row>
    <row r="888" spans="1:10" s="6" customFormat="1">
      <c r="A888" s="17"/>
      <c r="C888" s="9"/>
      <c r="D888" s="10"/>
      <c r="E888" s="10"/>
      <c r="F888" s="9"/>
      <c r="G888" s="1"/>
      <c r="H888" s="1"/>
      <c r="I888" s="1"/>
      <c r="J888" s="1"/>
    </row>
    <row r="889" spans="1:10" s="6" customFormat="1">
      <c r="A889" s="17"/>
      <c r="C889" s="9"/>
      <c r="D889" s="10"/>
      <c r="E889" s="10"/>
      <c r="F889" s="9"/>
      <c r="G889" s="1"/>
      <c r="H889" s="1"/>
      <c r="I889" s="1"/>
      <c r="J889" s="1"/>
    </row>
    <row r="890" spans="1:10" s="6" customFormat="1">
      <c r="A890" s="17"/>
      <c r="C890" s="9"/>
      <c r="D890" s="10"/>
      <c r="E890" s="10"/>
      <c r="F890" s="9"/>
      <c r="G890" s="1"/>
      <c r="H890" s="1"/>
      <c r="I890" s="1"/>
      <c r="J890" s="1"/>
    </row>
    <row r="891" spans="1:10" s="6" customFormat="1">
      <c r="A891" s="17"/>
      <c r="C891" s="9"/>
      <c r="D891" s="10"/>
      <c r="E891" s="10"/>
      <c r="F891" s="9"/>
      <c r="G891" s="1"/>
      <c r="H891" s="1"/>
      <c r="I891" s="1"/>
      <c r="J891" s="1"/>
    </row>
    <row r="892" spans="1:10" s="6" customFormat="1">
      <c r="A892" s="17"/>
      <c r="C892" s="9"/>
      <c r="D892" s="10"/>
      <c r="E892" s="10"/>
      <c r="F892" s="9"/>
      <c r="G892" s="1"/>
      <c r="H892" s="1"/>
      <c r="I892" s="1"/>
      <c r="J892" s="1"/>
    </row>
    <row r="893" spans="1:10" s="6" customFormat="1">
      <c r="A893" s="17"/>
      <c r="C893" s="9"/>
      <c r="D893" s="10"/>
      <c r="E893" s="10"/>
      <c r="F893" s="9"/>
      <c r="G893" s="1"/>
      <c r="H893" s="1"/>
      <c r="I893" s="1"/>
      <c r="J893" s="1"/>
    </row>
    <row r="894" spans="1:10" s="6" customFormat="1">
      <c r="A894" s="17"/>
      <c r="C894" s="9"/>
      <c r="D894" s="10"/>
      <c r="E894" s="10"/>
      <c r="F894" s="9"/>
      <c r="G894" s="1"/>
      <c r="H894" s="1"/>
      <c r="I894" s="1"/>
      <c r="J894" s="1"/>
    </row>
    <row r="895" spans="1:10" s="6" customFormat="1">
      <c r="A895" s="17"/>
      <c r="C895" s="9"/>
      <c r="D895" s="10"/>
      <c r="E895" s="10"/>
      <c r="F895" s="9"/>
      <c r="G895" s="1"/>
      <c r="H895" s="1"/>
      <c r="I895" s="1"/>
      <c r="J895" s="1"/>
    </row>
    <row r="896" spans="1:10" s="6" customFormat="1">
      <c r="A896" s="17"/>
      <c r="C896" s="9"/>
      <c r="D896" s="10"/>
      <c r="E896" s="10"/>
      <c r="F896" s="9"/>
      <c r="G896" s="1"/>
      <c r="H896" s="1"/>
      <c r="I896" s="1"/>
      <c r="J896" s="1"/>
    </row>
    <row r="897" spans="1:10" s="6" customFormat="1">
      <c r="A897" s="17"/>
      <c r="C897" s="9"/>
      <c r="D897" s="10"/>
      <c r="E897" s="10"/>
      <c r="F897" s="9"/>
      <c r="G897" s="1"/>
      <c r="H897" s="1"/>
      <c r="I897" s="1"/>
      <c r="J897" s="1"/>
    </row>
    <row r="898" spans="1:10" s="6" customFormat="1">
      <c r="A898" s="17"/>
      <c r="C898" s="9"/>
      <c r="D898" s="10"/>
      <c r="E898" s="10"/>
      <c r="F898" s="9"/>
      <c r="G898" s="1"/>
      <c r="H898" s="1"/>
      <c r="I898" s="1"/>
      <c r="J898" s="1"/>
    </row>
    <row r="899" spans="1:10" s="6" customFormat="1">
      <c r="A899" s="17"/>
      <c r="C899" s="9"/>
      <c r="D899" s="10"/>
      <c r="E899" s="10"/>
      <c r="F899" s="9"/>
      <c r="G899" s="1"/>
      <c r="H899" s="1"/>
      <c r="I899" s="1"/>
      <c r="J899" s="1"/>
    </row>
    <row r="900" spans="1:10" s="6" customFormat="1">
      <c r="A900" s="17"/>
      <c r="C900" s="9"/>
      <c r="D900" s="10"/>
      <c r="E900" s="10"/>
      <c r="F900" s="9"/>
      <c r="G900" s="1"/>
      <c r="H900" s="1"/>
      <c r="I900" s="1"/>
      <c r="J900" s="1"/>
    </row>
    <row r="901" spans="1:10" s="6" customFormat="1">
      <c r="A901" s="17"/>
      <c r="C901" s="9"/>
      <c r="D901" s="10"/>
      <c r="E901" s="10"/>
      <c r="F901" s="9"/>
      <c r="G901" s="1"/>
      <c r="H901" s="1"/>
      <c r="I901" s="1"/>
      <c r="J901" s="1"/>
    </row>
    <row r="902" spans="1:10" s="6" customFormat="1">
      <c r="A902" s="17"/>
      <c r="C902" s="9"/>
      <c r="D902" s="10"/>
      <c r="E902" s="10"/>
      <c r="F902" s="9"/>
      <c r="G902" s="1"/>
      <c r="H902" s="1"/>
      <c r="I902" s="1"/>
      <c r="J902" s="1"/>
    </row>
    <row r="903" spans="1:10" s="6" customFormat="1">
      <c r="A903" s="17"/>
      <c r="C903" s="9"/>
      <c r="D903" s="10"/>
      <c r="E903" s="10"/>
      <c r="F903" s="9"/>
      <c r="G903" s="1"/>
      <c r="H903" s="1"/>
      <c r="I903" s="1"/>
      <c r="J903" s="1"/>
    </row>
    <row r="904" spans="1:10" s="6" customFormat="1">
      <c r="A904" s="17"/>
      <c r="C904" s="9"/>
      <c r="D904" s="10"/>
      <c r="E904" s="10"/>
      <c r="F904" s="9"/>
      <c r="G904" s="1"/>
      <c r="H904" s="1"/>
      <c r="I904" s="1"/>
      <c r="J904" s="1"/>
    </row>
    <row r="905" spans="1:10" s="6" customFormat="1">
      <c r="A905" s="17"/>
      <c r="C905" s="9"/>
      <c r="D905" s="10"/>
      <c r="E905" s="10"/>
      <c r="F905" s="9"/>
      <c r="G905" s="1"/>
      <c r="H905" s="1"/>
      <c r="I905" s="1"/>
      <c r="J905" s="1"/>
    </row>
    <row r="906" spans="1:10" s="6" customFormat="1">
      <c r="A906" s="17"/>
      <c r="C906" s="9"/>
      <c r="D906" s="10"/>
      <c r="E906" s="10"/>
      <c r="F906" s="9"/>
      <c r="G906" s="1"/>
      <c r="H906" s="1"/>
      <c r="I906" s="1"/>
      <c r="J906" s="1"/>
    </row>
    <row r="907" spans="1:10" s="6" customFormat="1">
      <c r="A907" s="17"/>
      <c r="C907" s="9"/>
      <c r="D907" s="10"/>
      <c r="E907" s="10"/>
      <c r="F907" s="9"/>
      <c r="G907" s="1"/>
      <c r="H907" s="1"/>
      <c r="I907" s="1"/>
      <c r="J907" s="1"/>
    </row>
    <row r="908" spans="1:10" s="6" customFormat="1">
      <c r="A908" s="17"/>
      <c r="C908" s="9"/>
      <c r="D908" s="10"/>
      <c r="E908" s="10"/>
      <c r="F908" s="9"/>
      <c r="G908" s="1"/>
      <c r="H908" s="1"/>
      <c r="I908" s="1"/>
      <c r="J908" s="1"/>
    </row>
    <row r="909" spans="1:10" s="6" customFormat="1">
      <c r="A909" s="17"/>
      <c r="C909" s="9"/>
      <c r="D909" s="10"/>
      <c r="E909" s="10"/>
      <c r="F909" s="9"/>
      <c r="G909" s="1"/>
      <c r="H909" s="1"/>
      <c r="I909" s="1"/>
      <c r="J909" s="1"/>
    </row>
    <row r="910" spans="1:10" s="6" customFormat="1">
      <c r="A910" s="17"/>
      <c r="C910" s="9"/>
      <c r="D910" s="10"/>
      <c r="E910" s="10"/>
      <c r="F910" s="9"/>
      <c r="G910" s="1"/>
      <c r="H910" s="1"/>
      <c r="I910" s="1"/>
      <c r="J910" s="1"/>
    </row>
    <row r="911" spans="1:10" s="6" customFormat="1">
      <c r="A911" s="17"/>
      <c r="C911" s="9"/>
      <c r="D911" s="10"/>
      <c r="E911" s="10"/>
      <c r="F911" s="9"/>
      <c r="G911" s="1"/>
      <c r="H911" s="1"/>
      <c r="I911" s="1"/>
      <c r="J911" s="1"/>
    </row>
    <row r="912" spans="1:10" s="6" customFormat="1">
      <c r="A912" s="17"/>
      <c r="C912" s="9"/>
      <c r="D912" s="10"/>
      <c r="E912" s="10"/>
      <c r="F912" s="9"/>
      <c r="G912" s="1"/>
      <c r="H912" s="1"/>
      <c r="I912" s="1"/>
      <c r="J912" s="1"/>
    </row>
    <row r="913" spans="1:10" s="6" customFormat="1">
      <c r="A913" s="17"/>
      <c r="C913" s="9"/>
      <c r="D913" s="10"/>
      <c r="E913" s="10"/>
      <c r="F913" s="9"/>
      <c r="G913" s="1"/>
      <c r="H913" s="1"/>
      <c r="I913" s="1"/>
      <c r="J913" s="1"/>
    </row>
    <row r="914" spans="1:10" s="6" customFormat="1">
      <c r="A914" s="17"/>
      <c r="C914" s="9"/>
      <c r="D914" s="10"/>
      <c r="E914" s="10"/>
      <c r="F914" s="9"/>
      <c r="G914" s="1"/>
      <c r="H914" s="1"/>
      <c r="I914" s="1"/>
      <c r="J914" s="1"/>
    </row>
    <row r="915" spans="1:10" s="6" customFormat="1">
      <c r="A915" s="17"/>
      <c r="C915" s="9"/>
      <c r="D915" s="10"/>
      <c r="E915" s="10"/>
      <c r="F915" s="9"/>
      <c r="G915" s="1"/>
      <c r="H915" s="1"/>
      <c r="I915" s="1"/>
      <c r="J915" s="1"/>
    </row>
    <row r="916" spans="1:10" s="6" customFormat="1">
      <c r="A916" s="17"/>
      <c r="C916" s="9"/>
      <c r="D916" s="10"/>
      <c r="E916" s="10"/>
      <c r="F916" s="9"/>
      <c r="G916" s="1"/>
      <c r="H916" s="1"/>
      <c r="I916" s="1"/>
      <c r="J916" s="1"/>
    </row>
    <row r="917" spans="1:10" s="6" customFormat="1">
      <c r="A917" s="17"/>
      <c r="C917" s="9"/>
      <c r="D917" s="10"/>
      <c r="E917" s="10"/>
      <c r="F917" s="9"/>
      <c r="G917" s="1"/>
      <c r="H917" s="1"/>
      <c r="I917" s="1"/>
      <c r="J917" s="1"/>
    </row>
    <row r="918" spans="1:10" s="6" customFormat="1">
      <c r="A918" s="17"/>
      <c r="C918" s="9"/>
      <c r="D918" s="10"/>
      <c r="E918" s="10"/>
      <c r="F918" s="9"/>
      <c r="G918" s="1"/>
      <c r="H918" s="1"/>
      <c r="I918" s="1"/>
      <c r="J918" s="1"/>
    </row>
    <row r="919" spans="1:10" s="6" customFormat="1">
      <c r="A919" s="17"/>
      <c r="C919" s="9"/>
      <c r="D919" s="10"/>
      <c r="E919" s="10"/>
      <c r="F919" s="9"/>
      <c r="G919" s="1"/>
      <c r="H919" s="1"/>
      <c r="I919" s="1"/>
      <c r="J919" s="1"/>
    </row>
    <row r="920" spans="1:10" s="6" customFormat="1">
      <c r="A920" s="17"/>
      <c r="C920" s="9"/>
      <c r="D920" s="10"/>
      <c r="E920" s="10"/>
      <c r="F920" s="9"/>
      <c r="G920" s="1"/>
      <c r="H920" s="1"/>
      <c r="I920" s="1"/>
      <c r="J920" s="1"/>
    </row>
    <row r="921" spans="1:10" s="6" customFormat="1">
      <c r="A921" s="17"/>
      <c r="C921" s="9"/>
      <c r="D921" s="10"/>
      <c r="E921" s="10"/>
      <c r="F921" s="9"/>
      <c r="G921" s="1"/>
      <c r="H921" s="1"/>
      <c r="I921" s="1"/>
      <c r="J921" s="1"/>
    </row>
    <row r="922" spans="1:10" s="6" customFormat="1">
      <c r="A922" s="17"/>
      <c r="C922" s="9"/>
      <c r="D922" s="10"/>
      <c r="E922" s="10"/>
      <c r="F922" s="9"/>
      <c r="G922" s="1"/>
      <c r="H922" s="1"/>
      <c r="I922" s="1"/>
      <c r="J922" s="1"/>
    </row>
    <row r="923" spans="1:10" s="6" customFormat="1">
      <c r="A923" s="17"/>
      <c r="C923" s="9"/>
      <c r="D923" s="10"/>
      <c r="E923" s="10"/>
      <c r="F923" s="9"/>
      <c r="G923" s="1"/>
      <c r="H923" s="1"/>
      <c r="I923" s="1"/>
      <c r="J923" s="1"/>
    </row>
    <row r="924" spans="1:10" s="6" customFormat="1">
      <c r="A924" s="17"/>
      <c r="C924" s="9"/>
      <c r="D924" s="10"/>
      <c r="E924" s="10"/>
      <c r="F924" s="9"/>
      <c r="G924" s="1"/>
      <c r="H924" s="1"/>
      <c r="I924" s="1"/>
      <c r="J924" s="1"/>
    </row>
    <row r="925" spans="1:10" s="6" customFormat="1">
      <c r="A925" s="17"/>
      <c r="C925" s="9"/>
      <c r="D925" s="10"/>
      <c r="E925" s="10"/>
      <c r="F925" s="9"/>
      <c r="G925" s="1"/>
      <c r="H925" s="1"/>
      <c r="I925" s="1"/>
      <c r="J925" s="1"/>
    </row>
    <row r="926" spans="1:10" s="6" customFormat="1">
      <c r="A926" s="17"/>
      <c r="C926" s="9"/>
      <c r="D926" s="10"/>
      <c r="E926" s="10"/>
      <c r="F926" s="9"/>
      <c r="G926" s="1"/>
      <c r="H926" s="1"/>
      <c r="I926" s="1"/>
      <c r="J926" s="1"/>
    </row>
    <row r="927" spans="1:10" s="6" customFormat="1">
      <c r="A927" s="17"/>
      <c r="C927" s="9"/>
      <c r="D927" s="10"/>
      <c r="E927" s="10"/>
      <c r="F927" s="9"/>
      <c r="G927" s="1"/>
      <c r="H927" s="1"/>
      <c r="I927" s="1"/>
      <c r="J927" s="1"/>
    </row>
    <row r="928" spans="1:10" s="6" customFormat="1">
      <c r="A928" s="17"/>
      <c r="C928" s="9"/>
      <c r="D928" s="10"/>
      <c r="E928" s="10"/>
      <c r="F928" s="9"/>
      <c r="G928" s="1"/>
      <c r="H928" s="1"/>
      <c r="I928" s="1"/>
      <c r="J928" s="1"/>
    </row>
    <row r="929" spans="1:10" s="6" customFormat="1">
      <c r="A929" s="17"/>
      <c r="C929" s="9"/>
      <c r="D929" s="10"/>
      <c r="E929" s="10"/>
      <c r="F929" s="9"/>
      <c r="G929" s="1"/>
      <c r="H929" s="1"/>
      <c r="I929" s="1"/>
      <c r="J929" s="1"/>
    </row>
    <row r="930" spans="1:10" s="6" customFormat="1">
      <c r="A930" s="17"/>
      <c r="C930" s="9"/>
      <c r="D930" s="10"/>
      <c r="E930" s="10"/>
      <c r="F930" s="9"/>
      <c r="G930" s="1"/>
      <c r="H930" s="1"/>
      <c r="I930" s="1"/>
      <c r="J930" s="1"/>
    </row>
    <row r="931" spans="1:10" s="6" customFormat="1">
      <c r="A931" s="17"/>
      <c r="C931" s="9"/>
      <c r="D931" s="10"/>
      <c r="E931" s="10"/>
      <c r="F931" s="9"/>
      <c r="G931" s="1"/>
      <c r="H931" s="1"/>
      <c r="I931" s="1"/>
      <c r="J931" s="1"/>
    </row>
    <row r="932" spans="1:10" s="6" customFormat="1">
      <c r="A932" s="17"/>
      <c r="C932" s="9"/>
      <c r="D932" s="10"/>
      <c r="E932" s="10"/>
      <c r="F932" s="9"/>
      <c r="G932" s="1"/>
      <c r="H932" s="1"/>
      <c r="I932" s="1"/>
      <c r="J932" s="1"/>
    </row>
    <row r="933" spans="1:10" s="6" customFormat="1">
      <c r="A933" s="17"/>
      <c r="C933" s="9"/>
      <c r="D933" s="10"/>
      <c r="E933" s="10"/>
      <c r="F933" s="9"/>
      <c r="G933" s="1"/>
      <c r="H933" s="1"/>
      <c r="I933" s="1"/>
      <c r="J933" s="1"/>
    </row>
    <row r="934" spans="1:10" s="6" customFormat="1">
      <c r="A934" s="17"/>
      <c r="C934" s="9"/>
      <c r="D934" s="10"/>
      <c r="E934" s="10"/>
      <c r="F934" s="9"/>
      <c r="G934" s="1"/>
      <c r="H934" s="1"/>
      <c r="I934" s="1"/>
      <c r="J934" s="1"/>
    </row>
    <row r="935" spans="1:10" s="6" customFormat="1">
      <c r="A935" s="17"/>
      <c r="C935" s="9"/>
      <c r="D935" s="10"/>
      <c r="E935" s="10"/>
      <c r="F935" s="9"/>
      <c r="G935" s="1"/>
      <c r="H935" s="1"/>
      <c r="I935" s="1"/>
      <c r="J935" s="1"/>
    </row>
    <row r="936" spans="1:10" s="6" customFormat="1">
      <c r="A936" s="17"/>
      <c r="C936" s="9"/>
      <c r="D936" s="10"/>
      <c r="E936" s="10"/>
      <c r="F936" s="9"/>
      <c r="G936" s="1"/>
      <c r="H936" s="1"/>
      <c r="I936" s="1"/>
      <c r="J936" s="1"/>
    </row>
    <row r="937" spans="1:10" s="6" customFormat="1">
      <c r="A937" s="17"/>
      <c r="C937" s="9"/>
      <c r="D937" s="10"/>
      <c r="E937" s="10"/>
      <c r="F937" s="9"/>
      <c r="G937" s="1"/>
      <c r="H937" s="1"/>
      <c r="I937" s="1"/>
      <c r="J937" s="1"/>
    </row>
    <row r="938" spans="1:10" s="6" customFormat="1">
      <c r="A938" s="17"/>
      <c r="C938" s="9"/>
      <c r="D938" s="10"/>
      <c r="E938" s="10"/>
      <c r="F938" s="9"/>
      <c r="G938" s="1"/>
      <c r="H938" s="1"/>
      <c r="I938" s="1"/>
      <c r="J938" s="1"/>
    </row>
    <row r="939" spans="1:10" s="6" customFormat="1">
      <c r="A939" s="17"/>
      <c r="C939" s="9"/>
      <c r="D939" s="10"/>
      <c r="E939" s="10"/>
      <c r="F939" s="9"/>
      <c r="G939" s="1"/>
      <c r="H939" s="1"/>
      <c r="I939" s="1"/>
      <c r="J939" s="1"/>
    </row>
    <row r="940" spans="1:10" s="6" customFormat="1">
      <c r="A940" s="17"/>
      <c r="C940" s="9"/>
      <c r="D940" s="10"/>
      <c r="E940" s="10"/>
      <c r="F940" s="9"/>
      <c r="G940" s="1"/>
      <c r="H940" s="1"/>
      <c r="I940" s="1"/>
      <c r="J940" s="1"/>
    </row>
    <row r="941" spans="1:10" s="6" customFormat="1">
      <c r="A941" s="17"/>
      <c r="C941" s="9"/>
      <c r="D941" s="10"/>
      <c r="E941" s="10"/>
      <c r="F941" s="9"/>
      <c r="G941" s="1"/>
      <c r="H941" s="1"/>
      <c r="I941" s="1"/>
      <c r="J941" s="1"/>
    </row>
    <row r="942" spans="1:10" s="6" customFormat="1">
      <c r="A942" s="17"/>
      <c r="C942" s="9"/>
      <c r="D942" s="10"/>
      <c r="E942" s="10"/>
      <c r="F942" s="9"/>
      <c r="G942" s="1"/>
      <c r="H942" s="1"/>
      <c r="I942" s="1"/>
      <c r="J942" s="1"/>
    </row>
    <row r="943" spans="1:10" s="6" customFormat="1">
      <c r="A943" s="17"/>
      <c r="C943" s="9"/>
      <c r="D943" s="10"/>
      <c r="E943" s="10"/>
      <c r="F943" s="9"/>
      <c r="G943" s="1"/>
      <c r="H943" s="1"/>
      <c r="I943" s="1"/>
      <c r="J943" s="1"/>
    </row>
    <row r="944" spans="1:10" s="6" customFormat="1">
      <c r="A944" s="17"/>
      <c r="C944" s="9"/>
      <c r="D944" s="10"/>
      <c r="E944" s="10"/>
      <c r="F944" s="9"/>
      <c r="G944" s="1"/>
      <c r="H944" s="1"/>
      <c r="I944" s="1"/>
      <c r="J944" s="1"/>
    </row>
    <row r="945" spans="1:10" s="6" customFormat="1">
      <c r="A945" s="17"/>
      <c r="C945" s="9"/>
      <c r="D945" s="10"/>
      <c r="E945" s="10"/>
      <c r="F945" s="9"/>
      <c r="G945" s="1"/>
      <c r="H945" s="1"/>
      <c r="I945" s="1"/>
      <c r="J945" s="1"/>
    </row>
    <row r="946" spans="1:10" s="6" customFormat="1">
      <c r="A946" s="17"/>
      <c r="C946" s="9"/>
      <c r="D946" s="10"/>
      <c r="E946" s="10"/>
      <c r="F946" s="9"/>
      <c r="G946" s="1"/>
      <c r="H946" s="1"/>
      <c r="I946" s="1"/>
      <c r="J946" s="1"/>
    </row>
    <row r="947" spans="1:10" s="6" customFormat="1">
      <c r="A947" s="17"/>
      <c r="C947" s="9"/>
      <c r="D947" s="10"/>
      <c r="E947" s="10"/>
      <c r="F947" s="9"/>
      <c r="G947" s="1"/>
      <c r="H947" s="1"/>
      <c r="I947" s="1"/>
      <c r="J947" s="1"/>
    </row>
    <row r="948" spans="1:10" s="6" customFormat="1">
      <c r="A948" s="17"/>
      <c r="C948" s="9"/>
      <c r="D948" s="10"/>
      <c r="E948" s="10"/>
      <c r="F948" s="9"/>
      <c r="G948" s="1"/>
      <c r="H948" s="1"/>
      <c r="I948" s="1"/>
      <c r="J948" s="1"/>
    </row>
    <row r="949" spans="1:10" s="6" customFormat="1">
      <c r="A949" s="17"/>
      <c r="C949" s="9"/>
      <c r="D949" s="10"/>
      <c r="E949" s="10"/>
      <c r="F949" s="9"/>
      <c r="G949" s="1"/>
      <c r="H949" s="1"/>
      <c r="I949" s="1"/>
      <c r="J949" s="1"/>
    </row>
    <row r="950" spans="1:10" s="6" customFormat="1">
      <c r="A950" s="17"/>
      <c r="C950" s="9"/>
      <c r="D950" s="10"/>
      <c r="E950" s="10"/>
      <c r="F950" s="9"/>
      <c r="G950" s="1"/>
      <c r="H950" s="1"/>
      <c r="I950" s="1"/>
      <c r="J950" s="1"/>
    </row>
    <row r="951" spans="1:10" s="6" customFormat="1">
      <c r="A951" s="17"/>
      <c r="C951" s="9"/>
      <c r="D951" s="10"/>
      <c r="E951" s="10"/>
      <c r="F951" s="9"/>
      <c r="G951" s="1"/>
      <c r="H951" s="1"/>
      <c r="I951" s="1"/>
      <c r="J951" s="1"/>
    </row>
    <row r="952" spans="1:10" s="6" customFormat="1">
      <c r="A952" s="17"/>
      <c r="C952" s="9"/>
      <c r="D952" s="10"/>
      <c r="E952" s="10"/>
      <c r="F952" s="9"/>
      <c r="G952" s="1"/>
      <c r="H952" s="1"/>
      <c r="I952" s="1"/>
      <c r="J952" s="1"/>
    </row>
    <row r="953" spans="1:10" s="6" customFormat="1">
      <c r="A953" s="17"/>
      <c r="C953" s="9"/>
      <c r="D953" s="10"/>
      <c r="E953" s="10"/>
      <c r="F953" s="9"/>
      <c r="G953" s="1"/>
      <c r="H953" s="1"/>
      <c r="I953" s="1"/>
      <c r="J953" s="1"/>
    </row>
    <row r="954" spans="1:10" s="6" customFormat="1">
      <c r="A954" s="17"/>
      <c r="C954" s="9"/>
      <c r="D954" s="10"/>
      <c r="E954" s="10"/>
      <c r="F954" s="9"/>
      <c r="G954" s="1"/>
      <c r="H954" s="1"/>
      <c r="I954" s="1"/>
      <c r="J954" s="1"/>
    </row>
    <row r="955" spans="1:10" s="6" customFormat="1">
      <c r="A955" s="17"/>
      <c r="C955" s="9"/>
      <c r="D955" s="10"/>
      <c r="E955" s="10"/>
      <c r="F955" s="9"/>
      <c r="G955" s="1"/>
      <c r="H955" s="1"/>
      <c r="I955" s="1"/>
      <c r="J955" s="1"/>
    </row>
    <row r="956" spans="1:10" s="6" customFormat="1">
      <c r="A956" s="17"/>
      <c r="C956" s="9"/>
      <c r="D956" s="10"/>
      <c r="E956" s="10"/>
      <c r="F956" s="9"/>
      <c r="G956" s="1"/>
      <c r="H956" s="1"/>
      <c r="I956" s="1"/>
      <c r="J956" s="1"/>
    </row>
    <row r="957" spans="1:10" s="6" customFormat="1">
      <c r="A957" s="17"/>
      <c r="C957" s="9"/>
      <c r="D957" s="10"/>
      <c r="E957" s="10"/>
      <c r="F957" s="9"/>
      <c r="G957" s="1"/>
      <c r="H957" s="1"/>
      <c r="I957" s="1"/>
      <c r="J957" s="1"/>
    </row>
    <row r="958" spans="1:10" s="6" customFormat="1">
      <c r="A958" s="17"/>
      <c r="C958" s="9"/>
      <c r="D958" s="10"/>
      <c r="E958" s="10"/>
      <c r="F958" s="9"/>
      <c r="G958" s="1"/>
      <c r="H958" s="1"/>
      <c r="I958" s="1"/>
      <c r="J958" s="1"/>
    </row>
    <row r="959" spans="1:10" s="6" customFormat="1">
      <c r="A959" s="17"/>
      <c r="C959" s="9"/>
      <c r="D959" s="10"/>
      <c r="E959" s="10"/>
      <c r="F959" s="9"/>
      <c r="G959" s="1"/>
      <c r="H959" s="1"/>
      <c r="I959" s="1"/>
      <c r="J959" s="1"/>
    </row>
    <row r="960" spans="1:10" s="6" customFormat="1">
      <c r="A960" s="17"/>
      <c r="C960" s="9"/>
      <c r="D960" s="10"/>
      <c r="E960" s="10"/>
      <c r="F960" s="9"/>
      <c r="G960" s="1"/>
      <c r="H960" s="1"/>
      <c r="I960" s="1"/>
      <c r="J960" s="1"/>
    </row>
    <row r="961" spans="1:10" s="6" customFormat="1">
      <c r="A961" s="17"/>
      <c r="C961" s="9"/>
      <c r="D961" s="10"/>
      <c r="E961" s="10"/>
      <c r="F961" s="9"/>
      <c r="G961" s="1"/>
      <c r="H961" s="1"/>
      <c r="I961" s="1"/>
      <c r="J961" s="1"/>
    </row>
    <row r="962" spans="1:10" s="6" customFormat="1">
      <c r="A962" s="17"/>
      <c r="C962" s="9"/>
      <c r="D962" s="10"/>
      <c r="E962" s="10"/>
      <c r="F962" s="9"/>
      <c r="G962" s="1"/>
      <c r="H962" s="1"/>
      <c r="I962" s="1"/>
      <c r="J962" s="1"/>
    </row>
    <row r="963" spans="1:10" s="6" customFormat="1">
      <c r="A963" s="17"/>
      <c r="C963" s="9"/>
      <c r="D963" s="10"/>
      <c r="E963" s="10"/>
      <c r="F963" s="9"/>
      <c r="G963" s="1"/>
      <c r="H963" s="1"/>
      <c r="I963" s="1"/>
      <c r="J963" s="1"/>
    </row>
    <row r="964" spans="1:10" s="6" customFormat="1">
      <c r="A964" s="17"/>
      <c r="C964" s="9"/>
      <c r="D964" s="10"/>
      <c r="E964" s="10"/>
      <c r="F964" s="9"/>
      <c r="G964" s="1"/>
      <c r="H964" s="1"/>
      <c r="I964" s="1"/>
      <c r="J964" s="1"/>
    </row>
    <row r="965" spans="1:10" s="6" customFormat="1">
      <c r="A965" s="17"/>
      <c r="C965" s="9"/>
      <c r="D965" s="10"/>
      <c r="E965" s="10"/>
      <c r="F965" s="9"/>
      <c r="G965" s="1"/>
      <c r="H965" s="1"/>
      <c r="I965" s="1"/>
      <c r="J965" s="1"/>
    </row>
    <row r="966" spans="1:10" s="6" customFormat="1">
      <c r="A966" s="17"/>
      <c r="C966" s="9"/>
      <c r="D966" s="10"/>
      <c r="E966" s="10"/>
      <c r="F966" s="9"/>
      <c r="G966" s="1"/>
      <c r="H966" s="1"/>
      <c r="I966" s="1"/>
      <c r="J966" s="1"/>
    </row>
    <row r="967" spans="1:10" s="6" customFormat="1">
      <c r="A967" s="17"/>
      <c r="C967" s="9"/>
      <c r="D967" s="10"/>
      <c r="E967" s="10"/>
      <c r="F967" s="9"/>
      <c r="G967" s="1"/>
      <c r="H967" s="1"/>
      <c r="I967" s="1"/>
      <c r="J967" s="1"/>
    </row>
    <row r="968" spans="1:10" s="6" customFormat="1">
      <c r="A968" s="17"/>
      <c r="C968" s="9"/>
      <c r="D968" s="10"/>
      <c r="E968" s="10"/>
      <c r="F968" s="9"/>
      <c r="G968" s="1"/>
      <c r="H968" s="1"/>
      <c r="I968" s="1"/>
      <c r="J968" s="1"/>
    </row>
    <row r="969" spans="1:10" s="6" customFormat="1">
      <c r="A969" s="17"/>
      <c r="C969" s="9"/>
      <c r="D969" s="10"/>
      <c r="E969" s="10"/>
      <c r="F969" s="9"/>
      <c r="G969" s="1"/>
      <c r="H969" s="1"/>
      <c r="I969" s="1"/>
      <c r="J969" s="1"/>
    </row>
    <row r="970" spans="1:10" s="6" customFormat="1">
      <c r="A970" s="17"/>
      <c r="C970" s="9"/>
      <c r="D970" s="10"/>
      <c r="E970" s="10"/>
      <c r="F970" s="9"/>
      <c r="G970" s="1"/>
      <c r="H970" s="1"/>
      <c r="I970" s="1"/>
      <c r="J970" s="1"/>
    </row>
    <row r="971" spans="1:10" s="6" customFormat="1">
      <c r="A971" s="17"/>
      <c r="C971" s="9"/>
      <c r="D971" s="10"/>
      <c r="E971" s="10"/>
      <c r="F971" s="9"/>
      <c r="G971" s="1"/>
      <c r="H971" s="1"/>
      <c r="I971" s="1"/>
      <c r="J971" s="1"/>
    </row>
    <row r="972" spans="1:10" s="6" customFormat="1">
      <c r="A972" s="17"/>
      <c r="C972" s="9"/>
      <c r="D972" s="10"/>
      <c r="E972" s="10"/>
      <c r="F972" s="9"/>
      <c r="G972" s="1"/>
      <c r="H972" s="1"/>
      <c r="I972" s="1"/>
      <c r="J972" s="1"/>
    </row>
    <row r="973" spans="1:10" s="6" customFormat="1">
      <c r="A973" s="17"/>
      <c r="C973" s="9"/>
      <c r="D973" s="10"/>
      <c r="E973" s="10"/>
      <c r="F973" s="9"/>
      <c r="G973" s="1"/>
      <c r="H973" s="1"/>
      <c r="I973" s="1"/>
      <c r="J973" s="1"/>
    </row>
    <row r="974" spans="1:10" s="6" customFormat="1">
      <c r="A974" s="17"/>
      <c r="C974" s="9"/>
      <c r="D974" s="10"/>
      <c r="E974" s="10"/>
      <c r="F974" s="9"/>
      <c r="G974" s="1"/>
      <c r="H974" s="1"/>
      <c r="I974" s="1"/>
      <c r="J974" s="1"/>
    </row>
    <row r="975" spans="1:10" s="6" customFormat="1">
      <c r="A975" s="17"/>
      <c r="C975" s="9"/>
      <c r="D975" s="10"/>
      <c r="E975" s="10"/>
      <c r="F975" s="9"/>
      <c r="G975" s="1"/>
      <c r="H975" s="1"/>
      <c r="I975" s="1"/>
      <c r="J975" s="1"/>
    </row>
    <row r="976" spans="1:10" s="6" customFormat="1">
      <c r="A976" s="17"/>
      <c r="C976" s="9"/>
      <c r="D976" s="10"/>
      <c r="E976" s="10"/>
      <c r="F976" s="9"/>
      <c r="G976" s="1"/>
      <c r="H976" s="1"/>
      <c r="I976" s="1"/>
      <c r="J976" s="1"/>
    </row>
    <row r="977" spans="1:10" s="6" customFormat="1">
      <c r="A977" s="17"/>
      <c r="C977" s="9"/>
      <c r="D977" s="10"/>
      <c r="E977" s="10"/>
      <c r="F977" s="9"/>
      <c r="G977" s="1"/>
      <c r="H977" s="1"/>
      <c r="I977" s="1"/>
      <c r="J977" s="1"/>
    </row>
    <row r="978" spans="1:10" s="6" customFormat="1">
      <c r="A978" s="17"/>
      <c r="C978" s="9"/>
      <c r="D978" s="10"/>
      <c r="E978" s="10"/>
      <c r="F978" s="9"/>
      <c r="G978" s="1"/>
      <c r="H978" s="1"/>
      <c r="I978" s="1"/>
      <c r="J978" s="1"/>
    </row>
    <row r="979" spans="1:10" s="6" customFormat="1">
      <c r="A979" s="17"/>
      <c r="C979" s="9"/>
      <c r="D979" s="10"/>
      <c r="E979" s="10"/>
      <c r="F979" s="9"/>
      <c r="G979" s="1"/>
      <c r="H979" s="1"/>
      <c r="I979" s="1"/>
      <c r="J979" s="1"/>
    </row>
    <row r="980" spans="1:10" s="6" customFormat="1">
      <c r="A980" s="17"/>
      <c r="C980" s="9"/>
      <c r="D980" s="10"/>
      <c r="E980" s="10"/>
      <c r="F980" s="9"/>
      <c r="G980" s="1"/>
      <c r="H980" s="1"/>
      <c r="I980" s="1"/>
      <c r="J980" s="1"/>
    </row>
    <row r="981" spans="1:10" s="6" customFormat="1">
      <c r="A981" s="17"/>
      <c r="C981" s="9"/>
      <c r="D981" s="10"/>
      <c r="E981" s="10"/>
      <c r="F981" s="9"/>
      <c r="G981" s="1"/>
      <c r="H981" s="1"/>
      <c r="I981" s="1"/>
      <c r="J981" s="1"/>
    </row>
    <row r="982" spans="1:10" s="6" customFormat="1">
      <c r="A982" s="17"/>
      <c r="C982" s="9"/>
      <c r="D982" s="10"/>
      <c r="E982" s="10"/>
      <c r="F982" s="9"/>
      <c r="G982" s="1"/>
      <c r="H982" s="1"/>
      <c r="I982" s="1"/>
      <c r="J982" s="1"/>
    </row>
    <row r="983" spans="1:10" s="6" customFormat="1">
      <c r="A983" s="17"/>
      <c r="C983" s="9"/>
      <c r="D983" s="10"/>
      <c r="E983" s="10"/>
      <c r="F983" s="9"/>
      <c r="G983" s="1"/>
      <c r="H983" s="1"/>
      <c r="I983" s="1"/>
      <c r="J983" s="1"/>
    </row>
    <row r="984" spans="1:10" s="6" customFormat="1">
      <c r="A984" s="17"/>
      <c r="C984" s="9"/>
      <c r="D984" s="10"/>
      <c r="E984" s="10"/>
      <c r="F984" s="9"/>
      <c r="G984" s="1"/>
      <c r="H984" s="1"/>
      <c r="I984" s="1"/>
      <c r="J984" s="1"/>
    </row>
    <row r="985" spans="1:10" s="6" customFormat="1">
      <c r="A985" s="17"/>
      <c r="C985" s="9"/>
      <c r="D985" s="10"/>
      <c r="E985" s="10"/>
      <c r="F985" s="9"/>
      <c r="G985" s="1"/>
      <c r="H985" s="1"/>
      <c r="I985" s="1"/>
      <c r="J985" s="1"/>
    </row>
    <row r="986" spans="1:10" s="6" customFormat="1">
      <c r="A986" s="17"/>
      <c r="C986" s="9"/>
      <c r="D986" s="10"/>
      <c r="E986" s="10"/>
      <c r="F986" s="9"/>
      <c r="G986" s="1"/>
      <c r="H986" s="1"/>
      <c r="I986" s="1"/>
      <c r="J986" s="1"/>
    </row>
    <row r="987" spans="1:10" s="6" customFormat="1">
      <c r="A987" s="17"/>
      <c r="C987" s="9"/>
      <c r="D987" s="10"/>
      <c r="E987" s="10"/>
      <c r="F987" s="9"/>
      <c r="G987" s="1"/>
      <c r="H987" s="1"/>
      <c r="I987" s="1"/>
      <c r="J987" s="1"/>
    </row>
    <row r="988" spans="1:10" s="6" customFormat="1">
      <c r="A988" s="17"/>
      <c r="C988" s="9"/>
      <c r="D988" s="10"/>
      <c r="E988" s="10"/>
      <c r="F988" s="9"/>
      <c r="G988" s="1"/>
      <c r="H988" s="1"/>
      <c r="I988" s="1"/>
      <c r="J988" s="1"/>
    </row>
    <row r="989" spans="1:10" s="6" customFormat="1">
      <c r="A989" s="17"/>
      <c r="C989" s="9"/>
      <c r="D989" s="10"/>
      <c r="E989" s="10"/>
      <c r="F989" s="9"/>
      <c r="G989" s="1"/>
      <c r="H989" s="1"/>
      <c r="I989" s="1"/>
      <c r="J989" s="1"/>
    </row>
    <row r="990" spans="1:10" s="6" customFormat="1">
      <c r="A990" s="17"/>
      <c r="C990" s="9"/>
      <c r="D990" s="10"/>
      <c r="E990" s="10"/>
      <c r="F990" s="9"/>
      <c r="G990" s="1"/>
      <c r="H990" s="1"/>
      <c r="I990" s="1"/>
      <c r="J990" s="1"/>
    </row>
    <row r="991" spans="1:10" s="6" customFormat="1">
      <c r="A991" s="17"/>
      <c r="C991" s="9"/>
      <c r="D991" s="10"/>
      <c r="E991" s="10"/>
      <c r="F991" s="9"/>
      <c r="G991" s="1"/>
      <c r="H991" s="1"/>
      <c r="I991" s="1"/>
      <c r="J991" s="1"/>
    </row>
    <row r="992" spans="1:10" s="6" customFormat="1">
      <c r="A992" s="17"/>
      <c r="C992" s="9"/>
      <c r="D992" s="10"/>
      <c r="E992" s="10"/>
      <c r="F992" s="9"/>
      <c r="G992" s="1"/>
      <c r="H992" s="1"/>
      <c r="I992" s="1"/>
      <c r="J992" s="1"/>
    </row>
    <row r="993" spans="1:10" s="6" customFormat="1">
      <c r="A993" s="17"/>
      <c r="C993" s="9"/>
      <c r="D993" s="10"/>
      <c r="E993" s="10"/>
      <c r="F993" s="9"/>
      <c r="G993" s="1"/>
      <c r="H993" s="1"/>
      <c r="I993" s="1"/>
      <c r="J993" s="1"/>
    </row>
    <row r="994" spans="1:10" s="6" customFormat="1">
      <c r="A994" s="17"/>
      <c r="C994" s="9"/>
      <c r="D994" s="10"/>
      <c r="E994" s="10"/>
      <c r="F994" s="9"/>
      <c r="G994" s="1"/>
      <c r="H994" s="1"/>
      <c r="I994" s="1"/>
      <c r="J994" s="1"/>
    </row>
    <row r="995" spans="1:10" s="6" customFormat="1">
      <c r="A995" s="17"/>
      <c r="C995" s="9"/>
      <c r="D995" s="10"/>
      <c r="E995" s="10"/>
      <c r="F995" s="9"/>
      <c r="G995" s="1"/>
      <c r="H995" s="1"/>
      <c r="I995" s="1"/>
      <c r="J995" s="1"/>
    </row>
    <row r="996" spans="1:10" s="6" customFormat="1">
      <c r="A996" s="17"/>
      <c r="C996" s="9"/>
      <c r="D996" s="10"/>
      <c r="E996" s="10"/>
      <c r="F996" s="9"/>
      <c r="G996" s="1"/>
      <c r="H996" s="1"/>
      <c r="I996" s="1"/>
      <c r="J996" s="1"/>
    </row>
    <row r="997" spans="1:10" s="6" customFormat="1">
      <c r="A997" s="17"/>
      <c r="C997" s="9"/>
      <c r="D997" s="10"/>
      <c r="E997" s="10"/>
      <c r="F997" s="9"/>
      <c r="G997" s="1"/>
      <c r="H997" s="1"/>
      <c r="I997" s="1"/>
      <c r="J997" s="1"/>
    </row>
    <row r="998" spans="1:10" s="6" customFormat="1">
      <c r="A998" s="17"/>
      <c r="C998" s="9"/>
      <c r="D998" s="10"/>
      <c r="E998" s="10"/>
      <c r="F998" s="9"/>
      <c r="G998" s="1"/>
      <c r="H998" s="1"/>
      <c r="I998" s="1"/>
      <c r="J998" s="1"/>
    </row>
    <row r="999" spans="1:10" s="6" customFormat="1">
      <c r="A999" s="17"/>
      <c r="C999" s="9"/>
      <c r="D999" s="10"/>
      <c r="E999" s="10"/>
      <c r="F999" s="9"/>
      <c r="G999" s="1"/>
      <c r="H999" s="1"/>
      <c r="I999" s="1"/>
      <c r="J999" s="1"/>
    </row>
    <row r="1000" spans="1:10" s="6" customFormat="1">
      <c r="A1000" s="17"/>
      <c r="C1000" s="9"/>
      <c r="D1000" s="10"/>
      <c r="E1000" s="10"/>
      <c r="F1000" s="9"/>
      <c r="G1000" s="1"/>
      <c r="H1000" s="1"/>
      <c r="I1000" s="1"/>
      <c r="J1000" s="1"/>
    </row>
    <row r="1001" spans="1:10" s="6" customFormat="1">
      <c r="A1001" s="17"/>
      <c r="C1001" s="9"/>
      <c r="D1001" s="10"/>
      <c r="E1001" s="10"/>
      <c r="F1001" s="9"/>
      <c r="G1001" s="1"/>
      <c r="H1001" s="1"/>
      <c r="I1001" s="1"/>
      <c r="J1001" s="1"/>
    </row>
    <row r="1002" spans="1:10" s="6" customFormat="1">
      <c r="A1002" s="17"/>
      <c r="C1002" s="9"/>
      <c r="D1002" s="10"/>
      <c r="E1002" s="10"/>
      <c r="F1002" s="9"/>
      <c r="G1002" s="1"/>
      <c r="H1002" s="1"/>
      <c r="I1002" s="1"/>
      <c r="J1002" s="1"/>
    </row>
    <row r="1003" spans="1:10" s="6" customFormat="1">
      <c r="A1003" s="17"/>
      <c r="C1003" s="9"/>
      <c r="D1003" s="10"/>
      <c r="E1003" s="10"/>
      <c r="F1003" s="9"/>
      <c r="G1003" s="1"/>
      <c r="H1003" s="1"/>
      <c r="I1003" s="1"/>
      <c r="J1003" s="1"/>
    </row>
    <row r="1004" spans="1:10" s="6" customFormat="1">
      <c r="A1004" s="17"/>
      <c r="C1004" s="9"/>
      <c r="D1004" s="10"/>
      <c r="E1004" s="10"/>
      <c r="F1004" s="9"/>
      <c r="G1004" s="1"/>
      <c r="H1004" s="1"/>
      <c r="I1004" s="1"/>
      <c r="J1004" s="1"/>
    </row>
    <row r="1005" spans="1:10" s="6" customFormat="1">
      <c r="A1005" s="17"/>
      <c r="C1005" s="9"/>
      <c r="D1005" s="10"/>
      <c r="E1005" s="10"/>
      <c r="F1005" s="9"/>
      <c r="G1005" s="1"/>
      <c r="H1005" s="1"/>
      <c r="I1005" s="1"/>
      <c r="J1005" s="1"/>
    </row>
    <row r="1006" spans="1:10" s="6" customFormat="1">
      <c r="A1006" s="17"/>
      <c r="C1006" s="9"/>
      <c r="D1006" s="10"/>
      <c r="E1006" s="10"/>
      <c r="F1006" s="9"/>
      <c r="G1006" s="1"/>
      <c r="H1006" s="1"/>
      <c r="I1006" s="1"/>
      <c r="J1006" s="1"/>
    </row>
    <row r="1007" spans="1:10" s="6" customFormat="1">
      <c r="A1007" s="17"/>
      <c r="C1007" s="9"/>
      <c r="D1007" s="10"/>
      <c r="E1007" s="10"/>
      <c r="F1007" s="9"/>
      <c r="G1007" s="1"/>
      <c r="H1007" s="1"/>
      <c r="I1007" s="1"/>
      <c r="J1007" s="1"/>
    </row>
    <row r="1008" spans="1:10" s="6" customFormat="1">
      <c r="A1008" s="17"/>
      <c r="C1008" s="9"/>
      <c r="D1008" s="10"/>
      <c r="E1008" s="10"/>
      <c r="F1008" s="9"/>
      <c r="G1008" s="1"/>
      <c r="H1008" s="1"/>
      <c r="I1008" s="1"/>
      <c r="J1008" s="1"/>
    </row>
    <row r="1009" spans="1:10" s="6" customFormat="1">
      <c r="A1009" s="17"/>
      <c r="C1009" s="9"/>
      <c r="D1009" s="10"/>
      <c r="E1009" s="10"/>
      <c r="F1009" s="9"/>
      <c r="G1009" s="1"/>
      <c r="H1009" s="1"/>
      <c r="I1009" s="1"/>
      <c r="J1009" s="1"/>
    </row>
    <row r="1010" spans="1:10" s="6" customFormat="1">
      <c r="A1010" s="17"/>
      <c r="C1010" s="9"/>
      <c r="D1010" s="10"/>
      <c r="E1010" s="10"/>
      <c r="F1010" s="9"/>
      <c r="G1010" s="1"/>
      <c r="H1010" s="1"/>
      <c r="I1010" s="1"/>
      <c r="J1010" s="1"/>
    </row>
    <row r="1011" spans="1:10" s="6" customFormat="1">
      <c r="A1011" s="17"/>
      <c r="C1011" s="9"/>
      <c r="D1011" s="10"/>
      <c r="E1011" s="10"/>
      <c r="F1011" s="9"/>
      <c r="G1011" s="1"/>
      <c r="H1011" s="1"/>
      <c r="I1011" s="1"/>
      <c r="J1011" s="1"/>
    </row>
    <row r="1012" spans="1:10" s="6" customFormat="1">
      <c r="A1012" s="17"/>
      <c r="C1012" s="9"/>
      <c r="D1012" s="10"/>
      <c r="E1012" s="10"/>
      <c r="F1012" s="9"/>
      <c r="G1012" s="1"/>
      <c r="H1012" s="1"/>
      <c r="I1012" s="1"/>
      <c r="J1012" s="1"/>
    </row>
    <row r="1013" spans="1:10" s="6" customFormat="1">
      <c r="A1013" s="17"/>
      <c r="C1013" s="9"/>
      <c r="D1013" s="10"/>
      <c r="E1013" s="10"/>
      <c r="F1013" s="9"/>
      <c r="G1013" s="1"/>
      <c r="H1013" s="1"/>
      <c r="I1013" s="1"/>
      <c r="J1013" s="1"/>
    </row>
    <row r="1014" spans="1:10" s="6" customFormat="1">
      <c r="A1014" s="17"/>
      <c r="C1014" s="9"/>
      <c r="D1014" s="10"/>
      <c r="E1014" s="10"/>
      <c r="F1014" s="9"/>
      <c r="G1014" s="1"/>
      <c r="H1014" s="1"/>
      <c r="I1014" s="1"/>
      <c r="J1014" s="1"/>
    </row>
    <row r="1015" spans="1:10" s="6" customFormat="1">
      <c r="A1015" s="17"/>
      <c r="C1015" s="9"/>
      <c r="D1015" s="10"/>
      <c r="E1015" s="10"/>
      <c r="F1015" s="9"/>
      <c r="G1015" s="1"/>
      <c r="H1015" s="1"/>
      <c r="I1015" s="1"/>
      <c r="J1015" s="1"/>
    </row>
    <row r="1016" spans="1:10" s="6" customFormat="1">
      <c r="A1016" s="17"/>
      <c r="C1016" s="9"/>
      <c r="D1016" s="10"/>
      <c r="E1016" s="10"/>
      <c r="F1016" s="9"/>
      <c r="G1016" s="1"/>
      <c r="H1016" s="1"/>
      <c r="I1016" s="1"/>
      <c r="J1016" s="1"/>
    </row>
    <row r="1017" spans="1:10" s="6" customFormat="1">
      <c r="A1017" s="17"/>
      <c r="C1017" s="9"/>
      <c r="D1017" s="10"/>
      <c r="E1017" s="10"/>
      <c r="F1017" s="9"/>
      <c r="G1017" s="1"/>
      <c r="H1017" s="1"/>
      <c r="I1017" s="1"/>
      <c r="J1017" s="1"/>
    </row>
    <row r="1018" spans="1:10" s="6" customFormat="1">
      <c r="A1018" s="17"/>
      <c r="C1018" s="9"/>
      <c r="D1018" s="10"/>
      <c r="E1018" s="10"/>
      <c r="F1018" s="9"/>
      <c r="G1018" s="1"/>
      <c r="H1018" s="1"/>
      <c r="I1018" s="1"/>
      <c r="J1018" s="1"/>
    </row>
    <row r="1019" spans="1:10" s="6" customFormat="1">
      <c r="A1019" s="17"/>
      <c r="C1019" s="9"/>
      <c r="D1019" s="10"/>
      <c r="E1019" s="10"/>
      <c r="F1019" s="9"/>
      <c r="G1019" s="1"/>
      <c r="H1019" s="1"/>
      <c r="I1019" s="1"/>
      <c r="J1019" s="1"/>
    </row>
    <row r="1020" spans="1:10" s="6" customFormat="1">
      <c r="A1020" s="17"/>
      <c r="C1020" s="9"/>
      <c r="D1020" s="10"/>
      <c r="E1020" s="10"/>
      <c r="F1020" s="9"/>
      <c r="G1020" s="1"/>
      <c r="H1020" s="1"/>
      <c r="I1020" s="1"/>
      <c r="J1020" s="1"/>
    </row>
    <row r="1021" spans="1:10" s="6" customFormat="1">
      <c r="A1021" s="17"/>
      <c r="C1021" s="9"/>
      <c r="D1021" s="10"/>
      <c r="E1021" s="10"/>
      <c r="F1021" s="9"/>
      <c r="G1021" s="1"/>
      <c r="H1021" s="1"/>
      <c r="I1021" s="1"/>
      <c r="J1021" s="1"/>
    </row>
    <row r="1022" spans="1:10" s="6" customFormat="1">
      <c r="A1022" s="17"/>
      <c r="C1022" s="9"/>
      <c r="D1022" s="10"/>
      <c r="E1022" s="10"/>
      <c r="F1022" s="9"/>
      <c r="G1022" s="1"/>
      <c r="H1022" s="1"/>
      <c r="I1022" s="1"/>
      <c r="J1022" s="1"/>
    </row>
    <row r="1023" spans="1:10" s="6" customFormat="1">
      <c r="A1023" s="17"/>
      <c r="C1023" s="9"/>
      <c r="D1023" s="10"/>
      <c r="E1023" s="10"/>
      <c r="F1023" s="9"/>
      <c r="G1023" s="1"/>
      <c r="H1023" s="1"/>
      <c r="I1023" s="1"/>
      <c r="J1023" s="1"/>
    </row>
    <row r="1024" spans="1:10" s="6" customFormat="1">
      <c r="A1024" s="17"/>
      <c r="C1024" s="9"/>
      <c r="D1024" s="10"/>
      <c r="E1024" s="10"/>
      <c r="F1024" s="9"/>
      <c r="G1024" s="1"/>
      <c r="H1024" s="1"/>
      <c r="I1024" s="1"/>
      <c r="J1024" s="1"/>
    </row>
    <row r="1025" spans="1:10" s="6" customFormat="1">
      <c r="A1025" s="17"/>
      <c r="C1025" s="9"/>
      <c r="D1025" s="10"/>
      <c r="E1025" s="10"/>
      <c r="F1025" s="9"/>
      <c r="G1025" s="1"/>
      <c r="H1025" s="1"/>
      <c r="I1025" s="1"/>
      <c r="J1025" s="1"/>
    </row>
    <row r="1026" spans="1:10" s="6" customFormat="1">
      <c r="A1026" s="17"/>
      <c r="C1026" s="9"/>
      <c r="D1026" s="10"/>
      <c r="E1026" s="10"/>
      <c r="F1026" s="9"/>
      <c r="G1026" s="1"/>
      <c r="H1026" s="1"/>
      <c r="I1026" s="1"/>
      <c r="J1026" s="1"/>
    </row>
    <row r="1027" spans="1:10" s="6" customFormat="1">
      <c r="A1027" s="17"/>
      <c r="C1027" s="9"/>
      <c r="D1027" s="10"/>
      <c r="E1027" s="10"/>
      <c r="F1027" s="9"/>
      <c r="G1027" s="1"/>
      <c r="H1027" s="1"/>
      <c r="I1027" s="1"/>
      <c r="J1027" s="1"/>
    </row>
    <row r="1028" spans="1:10" s="6" customFormat="1">
      <c r="A1028" s="17"/>
      <c r="C1028" s="9"/>
      <c r="D1028" s="10"/>
      <c r="E1028" s="10"/>
      <c r="F1028" s="9"/>
      <c r="G1028" s="1"/>
      <c r="H1028" s="1"/>
      <c r="I1028" s="1"/>
      <c r="J1028" s="1"/>
    </row>
    <row r="1029" spans="1:10" s="6" customFormat="1">
      <c r="A1029" s="17"/>
      <c r="C1029" s="9"/>
      <c r="D1029" s="10"/>
      <c r="E1029" s="10"/>
      <c r="F1029" s="9"/>
      <c r="G1029" s="1"/>
      <c r="H1029" s="1"/>
      <c r="I1029" s="1"/>
      <c r="J1029" s="1"/>
    </row>
    <row r="1030" spans="1:10" s="6" customFormat="1">
      <c r="A1030" s="17"/>
      <c r="C1030" s="9"/>
      <c r="D1030" s="10"/>
      <c r="E1030" s="10"/>
      <c r="F1030" s="9"/>
      <c r="G1030" s="1"/>
      <c r="H1030" s="1"/>
      <c r="I1030" s="1"/>
      <c r="J1030" s="1"/>
    </row>
    <row r="1031" spans="1:10" s="6" customFormat="1">
      <c r="A1031" s="17"/>
      <c r="C1031" s="9"/>
      <c r="D1031" s="10"/>
      <c r="E1031" s="10"/>
      <c r="F1031" s="9"/>
      <c r="G1031" s="1"/>
      <c r="H1031" s="1"/>
      <c r="I1031" s="1"/>
      <c r="J1031" s="1"/>
    </row>
    <row r="1032" spans="1:10" s="6" customFormat="1">
      <c r="A1032" s="17"/>
      <c r="C1032" s="9"/>
      <c r="D1032" s="10"/>
      <c r="E1032" s="10"/>
      <c r="F1032" s="9"/>
      <c r="G1032" s="1"/>
      <c r="H1032" s="1"/>
      <c r="I1032" s="1"/>
      <c r="J1032" s="1"/>
    </row>
    <row r="1033" spans="1:10" s="6" customFormat="1">
      <c r="A1033" s="17"/>
      <c r="C1033" s="9"/>
      <c r="D1033" s="10"/>
      <c r="E1033" s="10"/>
      <c r="F1033" s="9"/>
      <c r="G1033" s="1"/>
      <c r="H1033" s="1"/>
      <c r="I1033" s="1"/>
      <c r="J1033" s="1"/>
    </row>
    <row r="1034" spans="1:10" s="6" customFormat="1">
      <c r="A1034" s="17"/>
      <c r="C1034" s="9"/>
      <c r="D1034" s="10"/>
      <c r="E1034" s="10"/>
      <c r="F1034" s="9"/>
      <c r="G1034" s="1"/>
      <c r="H1034" s="1"/>
      <c r="I1034" s="1"/>
      <c r="J1034" s="1"/>
    </row>
    <row r="1035" spans="1:10" s="6" customFormat="1">
      <c r="A1035" s="17"/>
      <c r="C1035" s="9"/>
      <c r="D1035" s="10"/>
      <c r="E1035" s="10"/>
      <c r="F1035" s="9"/>
      <c r="G1035" s="1"/>
      <c r="H1035" s="1"/>
      <c r="I1035" s="1"/>
      <c r="J1035" s="1"/>
    </row>
    <row r="1036" spans="1:10" s="6" customFormat="1">
      <c r="A1036" s="17"/>
      <c r="C1036" s="9"/>
      <c r="D1036" s="10"/>
      <c r="E1036" s="10"/>
      <c r="F1036" s="9"/>
      <c r="G1036" s="1"/>
      <c r="H1036" s="1"/>
      <c r="I1036" s="1"/>
      <c r="J1036" s="1"/>
    </row>
    <row r="1037" spans="1:10" s="6" customFormat="1">
      <c r="A1037" s="17"/>
      <c r="C1037" s="9"/>
      <c r="D1037" s="10"/>
      <c r="E1037" s="10"/>
      <c r="F1037" s="9"/>
      <c r="G1037" s="1"/>
      <c r="H1037" s="1"/>
      <c r="I1037" s="1"/>
      <c r="J1037" s="1"/>
    </row>
    <row r="1038" spans="1:10" s="6" customFormat="1">
      <c r="A1038" s="17"/>
      <c r="C1038" s="9"/>
      <c r="D1038" s="10"/>
      <c r="E1038" s="10"/>
      <c r="F1038" s="9"/>
      <c r="G1038" s="1"/>
      <c r="H1038" s="1"/>
      <c r="I1038" s="1"/>
      <c r="J1038" s="1"/>
    </row>
    <row r="1039" spans="1:10" s="6" customFormat="1">
      <c r="A1039" s="17"/>
      <c r="C1039" s="9"/>
      <c r="D1039" s="10"/>
      <c r="E1039" s="10"/>
      <c r="F1039" s="9"/>
      <c r="G1039" s="1"/>
      <c r="H1039" s="1"/>
      <c r="I1039" s="1"/>
      <c r="J1039" s="1"/>
    </row>
    <row r="1040" spans="1:10" s="6" customFormat="1">
      <c r="A1040" s="17"/>
      <c r="C1040" s="9"/>
      <c r="D1040" s="10"/>
      <c r="E1040" s="10"/>
      <c r="F1040" s="9"/>
      <c r="G1040" s="1"/>
      <c r="H1040" s="1"/>
      <c r="I1040" s="1"/>
      <c r="J1040" s="1"/>
    </row>
    <row r="1041" spans="1:10" s="6" customFormat="1">
      <c r="A1041" s="17"/>
      <c r="C1041" s="9"/>
      <c r="D1041" s="10"/>
      <c r="E1041" s="10"/>
      <c r="F1041" s="9"/>
      <c r="G1041" s="1"/>
      <c r="H1041" s="1"/>
      <c r="I1041" s="1"/>
      <c r="J1041" s="1"/>
    </row>
    <row r="1042" spans="1:10" s="6" customFormat="1">
      <c r="A1042" s="17"/>
      <c r="C1042" s="9"/>
      <c r="D1042" s="10"/>
      <c r="E1042" s="10"/>
      <c r="F1042" s="9"/>
      <c r="G1042" s="1"/>
      <c r="H1042" s="1"/>
      <c r="I1042" s="1"/>
      <c r="J1042" s="1"/>
    </row>
    <row r="1043" spans="1:10" s="6" customFormat="1">
      <c r="A1043" s="17"/>
      <c r="C1043" s="9"/>
      <c r="D1043" s="10"/>
      <c r="E1043" s="10"/>
      <c r="F1043" s="9"/>
      <c r="G1043" s="1"/>
      <c r="H1043" s="1"/>
      <c r="I1043" s="1"/>
      <c r="J1043" s="1"/>
    </row>
    <row r="1044" spans="1:10" s="6" customFormat="1">
      <c r="A1044" s="17"/>
      <c r="C1044" s="9"/>
      <c r="D1044" s="10"/>
      <c r="E1044" s="10"/>
      <c r="F1044" s="9"/>
      <c r="G1044" s="1"/>
      <c r="H1044" s="1"/>
      <c r="I1044" s="1"/>
      <c r="J1044" s="1"/>
    </row>
    <row r="1045" spans="1:10" s="6" customFormat="1">
      <c r="A1045" s="17"/>
      <c r="C1045" s="9"/>
      <c r="D1045" s="10"/>
      <c r="E1045" s="10"/>
      <c r="F1045" s="9"/>
      <c r="G1045" s="1"/>
      <c r="H1045" s="1"/>
      <c r="I1045" s="1"/>
      <c r="J1045" s="1"/>
    </row>
    <row r="1046" spans="1:10" s="6" customFormat="1">
      <c r="A1046" s="17"/>
      <c r="C1046" s="9"/>
      <c r="D1046" s="10"/>
      <c r="E1046" s="10"/>
      <c r="F1046" s="9"/>
      <c r="G1046" s="1"/>
      <c r="H1046" s="1"/>
      <c r="I1046" s="1"/>
      <c r="J1046" s="1"/>
    </row>
    <row r="1047" spans="1:10" s="6" customFormat="1">
      <c r="A1047" s="17"/>
      <c r="C1047" s="9"/>
      <c r="D1047" s="10"/>
      <c r="E1047" s="10"/>
      <c r="F1047" s="9"/>
      <c r="G1047" s="1"/>
      <c r="H1047" s="1"/>
      <c r="I1047" s="1"/>
      <c r="J1047" s="1"/>
    </row>
    <row r="1048" spans="1:10" s="6" customFormat="1">
      <c r="A1048" s="17"/>
      <c r="C1048" s="9"/>
      <c r="D1048" s="10"/>
      <c r="E1048" s="10"/>
      <c r="F1048" s="9"/>
      <c r="G1048" s="1"/>
      <c r="H1048" s="1"/>
      <c r="I1048" s="1"/>
      <c r="J1048" s="1"/>
    </row>
    <row r="1049" spans="1:10" s="6" customFormat="1">
      <c r="A1049" s="17"/>
      <c r="C1049" s="9"/>
      <c r="D1049" s="10"/>
      <c r="E1049" s="10"/>
      <c r="F1049" s="9"/>
      <c r="G1049" s="1"/>
      <c r="H1049" s="1"/>
      <c r="I1049" s="1"/>
      <c r="J1049" s="1"/>
    </row>
    <row r="1050" spans="1:10" s="6" customFormat="1">
      <c r="A1050" s="17"/>
      <c r="C1050" s="9"/>
      <c r="D1050" s="10"/>
      <c r="E1050" s="10"/>
      <c r="F1050" s="9"/>
      <c r="G1050" s="1"/>
      <c r="H1050" s="1"/>
      <c r="I1050" s="1"/>
      <c r="J1050" s="1"/>
    </row>
    <row r="1051" spans="1:10" s="6" customFormat="1">
      <c r="A1051" s="17"/>
      <c r="C1051" s="9"/>
      <c r="D1051" s="10"/>
      <c r="E1051" s="10"/>
      <c r="F1051" s="9"/>
      <c r="G1051" s="1"/>
      <c r="H1051" s="1"/>
      <c r="I1051" s="1"/>
      <c r="J1051" s="1"/>
    </row>
    <row r="1052" spans="1:10" s="6" customFormat="1">
      <c r="A1052" s="17"/>
      <c r="C1052" s="9"/>
      <c r="D1052" s="10"/>
      <c r="E1052" s="10"/>
      <c r="F1052" s="9"/>
      <c r="G1052" s="1"/>
      <c r="H1052" s="1"/>
      <c r="I1052" s="1"/>
      <c r="J1052" s="1"/>
    </row>
    <row r="1053" spans="1:10" s="6" customFormat="1">
      <c r="A1053" s="17"/>
      <c r="C1053" s="9"/>
      <c r="D1053" s="10"/>
      <c r="E1053" s="10"/>
      <c r="F1053" s="9"/>
      <c r="G1053" s="1"/>
      <c r="H1053" s="1"/>
      <c r="I1053" s="1"/>
      <c r="J1053" s="1"/>
    </row>
    <row r="1054" spans="1:10" s="6" customFormat="1">
      <c r="A1054" s="17"/>
      <c r="C1054" s="9"/>
      <c r="D1054" s="10"/>
      <c r="E1054" s="10"/>
      <c r="F1054" s="9"/>
      <c r="G1054" s="1"/>
      <c r="H1054" s="1"/>
      <c r="I1054" s="1"/>
      <c r="J1054" s="1"/>
    </row>
    <row r="1055" spans="1:10" s="6" customFormat="1">
      <c r="A1055" s="17"/>
      <c r="C1055" s="9"/>
      <c r="D1055" s="10"/>
      <c r="E1055" s="10"/>
      <c r="F1055" s="9"/>
      <c r="G1055" s="1"/>
      <c r="H1055" s="1"/>
      <c r="I1055" s="1"/>
      <c r="J1055" s="1"/>
    </row>
    <row r="1056" spans="1:10" s="6" customFormat="1">
      <c r="A1056" s="17"/>
      <c r="C1056" s="9"/>
      <c r="D1056" s="10"/>
      <c r="E1056" s="10"/>
      <c r="F1056" s="9"/>
      <c r="G1056" s="1"/>
      <c r="H1056" s="1"/>
      <c r="I1056" s="1"/>
      <c r="J1056" s="1"/>
    </row>
    <row r="1057" spans="1:10" s="6" customFormat="1">
      <c r="A1057" s="17"/>
      <c r="C1057" s="9"/>
      <c r="D1057" s="10"/>
      <c r="E1057" s="10"/>
      <c r="F1057" s="9"/>
      <c r="G1057" s="1"/>
      <c r="H1057" s="1"/>
      <c r="I1057" s="1"/>
      <c r="J1057" s="1"/>
    </row>
    <row r="1058" spans="1:10" s="6" customFormat="1">
      <c r="A1058" s="17"/>
      <c r="C1058" s="9"/>
      <c r="D1058" s="10"/>
      <c r="E1058" s="10"/>
      <c r="F1058" s="9"/>
      <c r="G1058" s="1"/>
      <c r="H1058" s="1"/>
      <c r="I1058" s="1"/>
      <c r="J1058" s="1"/>
    </row>
    <row r="1059" spans="1:10" s="6" customFormat="1">
      <c r="A1059" s="17"/>
      <c r="C1059" s="9"/>
      <c r="D1059" s="10"/>
      <c r="E1059" s="10"/>
      <c r="F1059" s="9"/>
      <c r="G1059" s="1"/>
      <c r="H1059" s="1"/>
      <c r="I1059" s="1"/>
      <c r="J1059" s="1"/>
    </row>
    <row r="1060" spans="1:10" s="6" customFormat="1">
      <c r="A1060" s="17"/>
      <c r="C1060" s="9"/>
      <c r="D1060" s="10"/>
      <c r="E1060" s="10"/>
      <c r="F1060" s="9"/>
      <c r="G1060" s="1"/>
      <c r="H1060" s="1"/>
      <c r="I1060" s="1"/>
      <c r="J1060" s="1"/>
    </row>
    <row r="1061" spans="1:10" s="6" customFormat="1">
      <c r="A1061" s="17"/>
      <c r="C1061" s="9"/>
      <c r="D1061" s="10"/>
      <c r="E1061" s="10"/>
      <c r="F1061" s="9"/>
      <c r="G1061" s="1"/>
      <c r="H1061" s="1"/>
      <c r="I1061" s="1"/>
      <c r="J1061" s="1"/>
    </row>
    <row r="1062" spans="1:10" s="6" customFormat="1">
      <c r="A1062" s="17"/>
      <c r="C1062" s="9"/>
      <c r="D1062" s="10"/>
      <c r="E1062" s="10"/>
      <c r="F1062" s="9"/>
      <c r="G1062" s="1"/>
      <c r="H1062" s="1"/>
      <c r="I1062" s="1"/>
      <c r="J1062" s="1"/>
    </row>
    <row r="1063" spans="1:10" s="6" customFormat="1">
      <c r="A1063" s="17"/>
      <c r="C1063" s="9"/>
      <c r="D1063" s="10"/>
      <c r="E1063" s="10"/>
      <c r="F1063" s="9"/>
      <c r="G1063" s="1"/>
      <c r="H1063" s="1"/>
      <c r="I1063" s="1"/>
      <c r="J1063" s="1"/>
    </row>
    <row r="1064" spans="1:10" s="6" customFormat="1">
      <c r="A1064" s="17"/>
      <c r="C1064" s="9"/>
      <c r="D1064" s="10"/>
      <c r="E1064" s="10"/>
      <c r="F1064" s="9"/>
      <c r="G1064" s="1"/>
      <c r="H1064" s="1"/>
      <c r="I1064" s="1"/>
      <c r="J1064" s="1"/>
    </row>
    <row r="1065" spans="1:10" s="6" customFormat="1">
      <c r="A1065" s="17"/>
      <c r="C1065" s="9"/>
      <c r="D1065" s="10"/>
      <c r="E1065" s="10"/>
      <c r="F1065" s="9"/>
      <c r="G1065" s="1"/>
      <c r="H1065" s="1"/>
      <c r="I1065" s="1"/>
      <c r="J1065" s="1"/>
    </row>
    <row r="1066" spans="1:10" s="6" customFormat="1">
      <c r="A1066" s="17"/>
      <c r="C1066" s="9"/>
      <c r="D1066" s="10"/>
      <c r="E1066" s="10"/>
      <c r="F1066" s="9"/>
      <c r="G1066" s="1"/>
      <c r="H1066" s="1"/>
      <c r="I1066" s="1"/>
      <c r="J1066" s="1"/>
    </row>
    <row r="1067" spans="1:10" s="6" customFormat="1">
      <c r="A1067" s="17"/>
      <c r="C1067" s="9"/>
      <c r="D1067" s="10"/>
      <c r="E1067" s="10"/>
      <c r="F1067" s="9"/>
      <c r="G1067" s="1"/>
      <c r="H1067" s="1"/>
      <c r="I1067" s="1"/>
      <c r="J1067" s="1"/>
    </row>
    <row r="1068" spans="1:10" s="6" customFormat="1">
      <c r="A1068" s="17"/>
      <c r="C1068" s="9"/>
      <c r="D1068" s="10"/>
      <c r="E1068" s="10"/>
      <c r="F1068" s="9"/>
      <c r="G1068" s="1"/>
      <c r="H1068" s="1"/>
      <c r="I1068" s="1"/>
      <c r="J1068" s="1"/>
    </row>
    <row r="1069" spans="1:10" s="6" customFormat="1">
      <c r="A1069" s="17"/>
      <c r="C1069" s="9"/>
      <c r="D1069" s="10"/>
      <c r="E1069" s="10"/>
      <c r="F1069" s="9"/>
      <c r="G1069" s="1"/>
      <c r="H1069" s="1"/>
      <c r="I1069" s="1"/>
      <c r="J1069" s="1"/>
    </row>
    <row r="1070" spans="1:10" s="6" customFormat="1">
      <c r="A1070" s="17"/>
      <c r="C1070" s="9"/>
      <c r="D1070" s="10"/>
      <c r="E1070" s="10"/>
      <c r="F1070" s="9"/>
      <c r="G1070" s="1"/>
      <c r="H1070" s="1"/>
      <c r="I1070" s="1"/>
      <c r="J1070" s="1"/>
    </row>
    <row r="1071" spans="1:10" s="6" customFormat="1">
      <c r="A1071" s="17"/>
      <c r="C1071" s="9"/>
      <c r="D1071" s="10"/>
      <c r="E1071" s="10"/>
      <c r="F1071" s="9"/>
      <c r="G1071" s="1"/>
      <c r="H1071" s="1"/>
      <c r="I1071" s="1"/>
      <c r="J1071" s="1"/>
    </row>
    <row r="1072" spans="1:10" s="6" customFormat="1">
      <c r="A1072" s="17"/>
      <c r="C1072" s="9"/>
      <c r="D1072" s="10"/>
      <c r="E1072" s="10"/>
      <c r="F1072" s="9"/>
      <c r="G1072" s="1"/>
      <c r="H1072" s="1"/>
      <c r="I1072" s="1"/>
      <c r="J1072" s="1"/>
    </row>
    <row r="1073" spans="1:10" s="6" customFormat="1">
      <c r="A1073" s="17"/>
      <c r="C1073" s="9"/>
      <c r="D1073" s="10"/>
      <c r="E1073" s="10"/>
      <c r="F1073" s="9"/>
      <c r="G1073" s="1"/>
      <c r="H1073" s="1"/>
      <c r="I1073" s="1"/>
      <c r="J1073" s="1"/>
    </row>
    <row r="1074" spans="1:10" s="6" customFormat="1">
      <c r="A1074" s="17"/>
      <c r="C1074" s="9"/>
      <c r="D1074" s="10"/>
      <c r="E1074" s="10"/>
      <c r="F1074" s="9"/>
      <c r="G1074" s="1"/>
      <c r="H1074" s="1"/>
      <c r="I1074" s="1"/>
      <c r="J1074" s="1"/>
    </row>
    <row r="1075" spans="1:10" s="6" customFormat="1">
      <c r="A1075" s="17"/>
      <c r="C1075" s="9"/>
      <c r="D1075" s="10"/>
      <c r="E1075" s="10"/>
      <c r="F1075" s="9"/>
      <c r="G1075" s="1"/>
      <c r="H1075" s="1"/>
      <c r="I1075" s="1"/>
      <c r="J1075" s="1"/>
    </row>
    <row r="1076" spans="1:10" s="6" customFormat="1">
      <c r="A1076" s="17"/>
      <c r="C1076" s="9"/>
      <c r="D1076" s="10"/>
      <c r="E1076" s="10"/>
      <c r="F1076" s="9"/>
      <c r="G1076" s="1"/>
      <c r="H1076" s="1"/>
      <c r="I1076" s="1"/>
      <c r="J1076" s="1"/>
    </row>
    <row r="1077" spans="1:10" s="6" customFormat="1">
      <c r="A1077" s="17"/>
      <c r="C1077" s="9"/>
      <c r="D1077" s="10"/>
      <c r="E1077" s="10"/>
      <c r="F1077" s="9"/>
      <c r="G1077" s="1"/>
      <c r="H1077" s="1"/>
      <c r="I1077" s="1"/>
      <c r="J1077" s="1"/>
    </row>
    <row r="1078" spans="1:10" s="6" customFormat="1">
      <c r="A1078" s="17"/>
      <c r="C1078" s="9"/>
      <c r="D1078" s="10"/>
      <c r="E1078" s="10"/>
      <c r="F1078" s="9"/>
      <c r="G1078" s="1"/>
      <c r="H1078" s="1"/>
      <c r="I1078" s="1"/>
      <c r="J1078" s="1"/>
    </row>
    <row r="1079" spans="1:10" s="6" customFormat="1">
      <c r="A1079" s="17"/>
      <c r="C1079" s="9"/>
      <c r="D1079" s="10"/>
      <c r="E1079" s="10"/>
      <c r="F1079" s="9"/>
      <c r="G1079" s="1"/>
      <c r="H1079" s="1"/>
      <c r="I1079" s="1"/>
      <c r="J1079" s="1"/>
    </row>
    <row r="1080" spans="1:10" s="6" customFormat="1">
      <c r="A1080" s="17"/>
      <c r="C1080" s="9"/>
      <c r="D1080" s="10"/>
      <c r="E1080" s="10"/>
      <c r="F1080" s="9"/>
      <c r="G1080" s="1"/>
      <c r="H1080" s="1"/>
      <c r="I1080" s="1"/>
      <c r="J1080" s="1"/>
    </row>
    <row r="1081" spans="1:10" s="6" customFormat="1">
      <c r="A1081" s="17"/>
      <c r="C1081" s="9"/>
      <c r="D1081" s="10"/>
      <c r="E1081" s="10"/>
      <c r="F1081" s="9"/>
      <c r="G1081" s="1"/>
      <c r="H1081" s="1"/>
      <c r="I1081" s="1"/>
      <c r="J1081" s="1"/>
    </row>
    <row r="1082" spans="1:10" s="6" customFormat="1">
      <c r="A1082" s="17"/>
      <c r="C1082" s="9"/>
      <c r="D1082" s="10"/>
      <c r="E1082" s="10"/>
      <c r="F1082" s="9"/>
      <c r="G1082" s="1"/>
      <c r="H1082" s="1"/>
      <c r="I1082" s="1"/>
      <c r="J1082" s="1"/>
    </row>
    <row r="1083" spans="1:10" s="6" customFormat="1">
      <c r="A1083" s="17"/>
      <c r="C1083" s="9"/>
      <c r="D1083" s="10"/>
      <c r="E1083" s="10"/>
      <c r="F1083" s="9"/>
      <c r="G1083" s="1"/>
      <c r="H1083" s="1"/>
      <c r="I1083" s="1"/>
      <c r="J1083" s="1"/>
    </row>
    <row r="1084" spans="1:10" s="6" customFormat="1">
      <c r="A1084" s="17"/>
      <c r="C1084" s="9"/>
      <c r="D1084" s="10"/>
      <c r="E1084" s="10"/>
      <c r="F1084" s="9"/>
      <c r="G1084" s="1"/>
      <c r="H1084" s="1"/>
      <c r="I1084" s="1"/>
      <c r="J1084" s="1"/>
    </row>
    <row r="1085" spans="1:10" s="6" customFormat="1">
      <c r="A1085" s="17"/>
      <c r="C1085" s="9"/>
      <c r="D1085" s="10"/>
      <c r="E1085" s="10"/>
      <c r="F1085" s="9"/>
      <c r="G1085" s="1"/>
      <c r="H1085" s="1"/>
      <c r="I1085" s="1"/>
      <c r="J1085" s="1"/>
    </row>
    <row r="1086" spans="1:10" s="6" customFormat="1">
      <c r="A1086" s="17"/>
      <c r="C1086" s="9"/>
      <c r="D1086" s="10"/>
      <c r="E1086" s="10"/>
      <c r="F1086" s="9"/>
      <c r="G1086" s="1"/>
      <c r="H1086" s="1"/>
      <c r="I1086" s="1"/>
      <c r="J1086" s="1"/>
    </row>
    <row r="1087" spans="1:10" s="6" customFormat="1">
      <c r="A1087" s="17"/>
      <c r="C1087" s="9"/>
      <c r="D1087" s="10"/>
      <c r="E1087" s="10"/>
      <c r="F1087" s="9"/>
      <c r="G1087" s="1"/>
      <c r="H1087" s="1"/>
      <c r="I1087" s="1"/>
      <c r="J1087" s="1"/>
    </row>
    <row r="1088" spans="1:10" s="6" customFormat="1">
      <c r="A1088" s="17"/>
      <c r="C1088" s="9"/>
      <c r="D1088" s="10"/>
      <c r="E1088" s="10"/>
      <c r="F1088" s="9"/>
      <c r="G1088" s="1"/>
      <c r="H1088" s="1"/>
      <c r="I1088" s="1"/>
      <c r="J1088" s="1"/>
    </row>
    <row r="1089" spans="1:10" s="6" customFormat="1">
      <c r="A1089" s="17"/>
      <c r="C1089" s="9"/>
      <c r="D1089" s="10"/>
      <c r="E1089" s="10"/>
      <c r="F1089" s="9"/>
      <c r="G1089" s="1"/>
      <c r="H1089" s="1"/>
      <c r="I1089" s="1"/>
      <c r="J1089" s="1"/>
    </row>
    <row r="1090" spans="1:10" s="6" customFormat="1">
      <c r="A1090" s="17"/>
      <c r="C1090" s="9"/>
      <c r="D1090" s="10"/>
      <c r="E1090" s="10"/>
      <c r="F1090" s="9"/>
      <c r="G1090" s="1"/>
      <c r="H1090" s="1"/>
      <c r="I1090" s="1"/>
      <c r="J1090" s="1"/>
    </row>
    <row r="1091" spans="1:10" s="6" customFormat="1">
      <c r="A1091" s="17"/>
      <c r="C1091" s="9"/>
      <c r="D1091" s="10"/>
      <c r="E1091" s="10"/>
      <c r="F1091" s="9"/>
      <c r="G1091" s="1"/>
      <c r="H1091" s="1"/>
      <c r="I1091" s="1"/>
      <c r="J1091" s="1"/>
    </row>
    <row r="1092" spans="1:10" s="6" customFormat="1">
      <c r="A1092" s="17"/>
      <c r="C1092" s="9"/>
      <c r="D1092" s="10"/>
      <c r="E1092" s="10"/>
      <c r="F1092" s="9"/>
      <c r="G1092" s="1"/>
      <c r="H1092" s="1"/>
      <c r="I1092" s="1"/>
      <c r="J1092" s="1"/>
    </row>
    <row r="1093" spans="1:10" s="6" customFormat="1">
      <c r="A1093" s="17"/>
      <c r="C1093" s="9"/>
      <c r="D1093" s="10"/>
      <c r="E1093" s="10"/>
      <c r="F1093" s="9"/>
      <c r="G1093" s="1"/>
      <c r="H1093" s="1"/>
      <c r="I1093" s="1"/>
      <c r="J1093" s="1"/>
    </row>
    <row r="1094" spans="1:10" s="6" customFormat="1">
      <c r="A1094" s="17"/>
      <c r="C1094" s="9"/>
      <c r="D1094" s="10"/>
      <c r="E1094" s="10"/>
      <c r="F1094" s="9"/>
      <c r="G1094" s="1"/>
      <c r="H1094" s="1"/>
      <c r="I1094" s="1"/>
      <c r="J1094" s="1"/>
    </row>
    <row r="1095" spans="1:10" s="6" customFormat="1">
      <c r="A1095" s="17"/>
      <c r="C1095" s="9"/>
      <c r="D1095" s="10"/>
      <c r="E1095" s="10"/>
      <c r="F1095" s="9"/>
      <c r="G1095" s="1"/>
      <c r="H1095" s="1"/>
      <c r="I1095" s="1"/>
      <c r="J1095" s="1"/>
    </row>
    <row r="1096" spans="1:10" s="6" customFormat="1">
      <c r="A1096" s="17"/>
      <c r="C1096" s="9"/>
      <c r="D1096" s="10"/>
      <c r="E1096" s="10"/>
      <c r="F1096" s="9"/>
      <c r="G1096" s="1"/>
      <c r="H1096" s="1"/>
      <c r="I1096" s="1"/>
      <c r="J1096" s="1"/>
    </row>
    <row r="1097" spans="1:10" s="6" customFormat="1">
      <c r="A1097" s="17"/>
      <c r="C1097" s="9"/>
      <c r="D1097" s="10"/>
      <c r="E1097" s="10"/>
      <c r="F1097" s="9"/>
      <c r="G1097" s="1"/>
      <c r="H1097" s="1"/>
      <c r="I1097" s="1"/>
      <c r="J1097" s="1"/>
    </row>
    <row r="1098" spans="1:10" s="6" customFormat="1">
      <c r="A1098" s="17"/>
      <c r="C1098" s="9"/>
      <c r="D1098" s="10"/>
      <c r="E1098" s="10"/>
      <c r="F1098" s="9"/>
      <c r="G1098" s="1"/>
      <c r="H1098" s="1"/>
      <c r="I1098" s="1"/>
      <c r="J1098" s="1"/>
    </row>
    <row r="1099" spans="1:10" s="6" customFormat="1">
      <c r="A1099" s="17"/>
      <c r="C1099" s="9"/>
      <c r="D1099" s="10"/>
      <c r="E1099" s="10"/>
      <c r="F1099" s="9"/>
      <c r="G1099" s="1"/>
      <c r="H1099" s="1"/>
      <c r="I1099" s="1"/>
      <c r="J1099" s="1"/>
    </row>
    <row r="1100" spans="1:10" s="6" customFormat="1">
      <c r="A1100" s="17"/>
      <c r="C1100" s="9"/>
      <c r="D1100" s="10"/>
      <c r="E1100" s="10"/>
      <c r="F1100" s="9"/>
      <c r="G1100" s="1"/>
      <c r="H1100" s="1"/>
      <c r="I1100" s="1"/>
      <c r="J1100" s="1"/>
    </row>
    <row r="1101" spans="1:10" s="6" customFormat="1">
      <c r="A1101" s="17"/>
      <c r="C1101" s="9"/>
      <c r="D1101" s="10"/>
      <c r="E1101" s="10"/>
      <c r="F1101" s="9"/>
      <c r="G1101" s="1"/>
      <c r="H1101" s="1"/>
      <c r="I1101" s="1"/>
      <c r="J1101" s="1"/>
    </row>
    <row r="1102" spans="1:10" s="6" customFormat="1">
      <c r="A1102" s="17"/>
      <c r="C1102" s="9"/>
      <c r="D1102" s="10"/>
      <c r="E1102" s="10"/>
      <c r="F1102" s="9"/>
      <c r="G1102" s="1"/>
      <c r="H1102" s="1"/>
      <c r="I1102" s="1"/>
      <c r="J1102" s="1"/>
    </row>
    <row r="1103" spans="1:10" s="6" customFormat="1">
      <c r="A1103" s="17"/>
      <c r="C1103" s="9"/>
      <c r="D1103" s="10"/>
      <c r="E1103" s="10"/>
      <c r="F1103" s="9"/>
      <c r="G1103" s="1"/>
      <c r="H1103" s="1"/>
      <c r="I1103" s="1"/>
      <c r="J1103" s="1"/>
    </row>
    <row r="1104" spans="1:10" s="6" customFormat="1">
      <c r="A1104" s="17"/>
      <c r="C1104" s="9"/>
      <c r="D1104" s="10"/>
      <c r="E1104" s="10"/>
      <c r="F1104" s="9"/>
      <c r="G1104" s="1"/>
      <c r="H1104" s="1"/>
      <c r="I1104" s="1"/>
      <c r="J1104" s="1"/>
    </row>
    <row r="1105" spans="1:10" s="6" customFormat="1">
      <c r="A1105" s="17"/>
      <c r="C1105" s="9"/>
      <c r="D1105" s="10"/>
      <c r="E1105" s="10"/>
      <c r="F1105" s="9"/>
      <c r="G1105" s="1"/>
      <c r="H1105" s="1"/>
      <c r="I1105" s="1"/>
      <c r="J1105" s="1"/>
    </row>
    <row r="1106" spans="1:10" s="6" customFormat="1">
      <c r="A1106" s="17"/>
      <c r="C1106" s="9"/>
      <c r="D1106" s="10"/>
      <c r="E1106" s="10"/>
      <c r="F1106" s="9"/>
      <c r="G1106" s="1"/>
      <c r="H1106" s="1"/>
      <c r="I1106" s="1"/>
      <c r="J1106" s="1"/>
    </row>
    <row r="1107" spans="1:10" s="6" customFormat="1">
      <c r="A1107" s="17"/>
      <c r="C1107" s="9"/>
      <c r="D1107" s="10"/>
      <c r="E1107" s="10"/>
      <c r="F1107" s="9"/>
      <c r="G1107" s="1"/>
      <c r="H1107" s="1"/>
      <c r="I1107" s="1"/>
      <c r="J1107" s="1"/>
    </row>
    <row r="1108" spans="1:10" s="6" customFormat="1">
      <c r="A1108" s="17"/>
      <c r="C1108" s="9"/>
      <c r="D1108" s="10"/>
      <c r="E1108" s="10"/>
      <c r="F1108" s="9"/>
      <c r="G1108" s="1"/>
      <c r="H1108" s="1"/>
      <c r="I1108" s="1"/>
      <c r="J1108" s="1"/>
    </row>
    <row r="1109" spans="1:10" s="6" customFormat="1">
      <c r="A1109" s="17"/>
      <c r="C1109" s="9"/>
      <c r="D1109" s="10"/>
      <c r="E1109" s="10"/>
      <c r="F1109" s="9"/>
      <c r="G1109" s="1"/>
      <c r="H1109" s="1"/>
      <c r="I1109" s="1"/>
      <c r="J1109" s="1"/>
    </row>
    <row r="1110" spans="1:10" s="6" customFormat="1">
      <c r="A1110" s="17"/>
      <c r="C1110" s="9"/>
      <c r="D1110" s="10"/>
      <c r="E1110" s="10"/>
      <c r="F1110" s="9"/>
      <c r="G1110" s="1"/>
      <c r="H1110" s="1"/>
      <c r="I1110" s="1"/>
      <c r="J1110" s="1"/>
    </row>
    <row r="1111" spans="1:10" s="6" customFormat="1">
      <c r="A1111" s="17"/>
      <c r="C1111" s="9"/>
      <c r="D1111" s="10"/>
      <c r="E1111" s="10"/>
      <c r="F1111" s="9"/>
      <c r="G1111" s="1"/>
      <c r="H1111" s="1"/>
      <c r="I1111" s="1"/>
      <c r="J1111" s="1"/>
    </row>
    <row r="1112" spans="1:10" s="6" customFormat="1">
      <c r="A1112" s="17"/>
      <c r="C1112" s="9"/>
      <c r="D1112" s="10"/>
      <c r="E1112" s="10"/>
      <c r="F1112" s="9"/>
      <c r="G1112" s="1"/>
      <c r="H1112" s="1"/>
      <c r="I1112" s="1"/>
      <c r="J1112" s="1"/>
    </row>
    <row r="1113" spans="1:10" s="6" customFormat="1">
      <c r="A1113" s="17"/>
      <c r="C1113" s="9"/>
      <c r="D1113" s="10"/>
      <c r="E1113" s="10"/>
      <c r="F1113" s="9"/>
      <c r="G1113" s="1"/>
      <c r="H1113" s="1"/>
      <c r="I1113" s="1"/>
      <c r="J1113" s="1"/>
    </row>
    <row r="1114" spans="1:10" s="6" customFormat="1">
      <c r="A1114" s="17"/>
      <c r="C1114" s="9"/>
      <c r="D1114" s="10"/>
      <c r="E1114" s="10"/>
      <c r="F1114" s="9"/>
      <c r="G1114" s="1"/>
      <c r="H1114" s="1"/>
      <c r="I1114" s="1"/>
      <c r="J1114" s="1"/>
    </row>
    <row r="1115" spans="1:10" s="6" customFormat="1">
      <c r="A1115" s="17"/>
      <c r="C1115" s="9"/>
      <c r="D1115" s="10"/>
      <c r="E1115" s="10"/>
      <c r="F1115" s="9"/>
      <c r="G1115" s="1"/>
      <c r="H1115" s="1"/>
      <c r="I1115" s="1"/>
      <c r="J1115" s="1"/>
    </row>
    <row r="1116" spans="1:10" s="6" customFormat="1">
      <c r="A1116" s="17"/>
      <c r="C1116" s="9"/>
      <c r="D1116" s="10"/>
      <c r="E1116" s="10"/>
      <c r="F1116" s="9"/>
      <c r="G1116" s="1"/>
      <c r="H1116" s="1"/>
      <c r="I1116" s="1"/>
      <c r="J1116" s="1"/>
    </row>
    <row r="1117" spans="1:10" s="6" customFormat="1">
      <c r="A1117" s="17"/>
      <c r="C1117" s="9"/>
      <c r="D1117" s="10"/>
      <c r="E1117" s="10"/>
      <c r="F1117" s="9"/>
      <c r="G1117" s="1"/>
      <c r="H1117" s="1"/>
      <c r="I1117" s="1"/>
      <c r="J1117" s="1"/>
    </row>
    <row r="1118" spans="1:10" s="6" customFormat="1">
      <c r="A1118" s="17"/>
      <c r="C1118" s="9"/>
      <c r="D1118" s="10"/>
      <c r="E1118" s="10"/>
      <c r="F1118" s="9"/>
      <c r="G1118" s="1"/>
      <c r="H1118" s="1"/>
      <c r="I1118" s="1"/>
      <c r="J1118" s="1"/>
    </row>
    <row r="1119" spans="1:10" s="6" customFormat="1">
      <c r="A1119" s="17"/>
      <c r="C1119" s="9"/>
      <c r="D1119" s="10"/>
      <c r="E1119" s="10"/>
      <c r="F1119" s="9"/>
      <c r="G1119" s="1"/>
      <c r="H1119" s="1"/>
      <c r="I1119" s="1"/>
      <c r="J1119" s="1"/>
    </row>
    <row r="1120" spans="1:10" s="6" customFormat="1">
      <c r="A1120" s="17"/>
      <c r="C1120" s="9"/>
      <c r="D1120" s="10"/>
      <c r="E1120" s="10"/>
      <c r="F1120" s="9"/>
      <c r="G1120" s="1"/>
      <c r="H1120" s="1"/>
      <c r="I1120" s="1"/>
      <c r="J1120" s="1"/>
    </row>
    <row r="1121" spans="1:10" s="6" customFormat="1">
      <c r="A1121" s="17"/>
      <c r="C1121" s="9"/>
      <c r="D1121" s="10"/>
      <c r="E1121" s="10"/>
      <c r="F1121" s="9"/>
      <c r="G1121" s="1"/>
      <c r="H1121" s="1"/>
      <c r="I1121" s="1"/>
      <c r="J1121" s="1"/>
    </row>
    <row r="1122" spans="1:10" s="6" customFormat="1">
      <c r="A1122" s="17"/>
      <c r="C1122" s="9"/>
      <c r="D1122" s="10"/>
      <c r="E1122" s="10"/>
      <c r="F1122" s="9"/>
      <c r="G1122" s="1"/>
      <c r="H1122" s="1"/>
      <c r="I1122" s="1"/>
      <c r="J1122" s="1"/>
    </row>
    <row r="1123" spans="1:10" s="6" customFormat="1">
      <c r="A1123" s="17"/>
      <c r="C1123" s="9"/>
      <c r="D1123" s="10"/>
      <c r="E1123" s="10"/>
      <c r="F1123" s="9"/>
      <c r="G1123" s="1"/>
      <c r="H1123" s="1"/>
      <c r="I1123" s="1"/>
      <c r="J1123" s="1"/>
    </row>
    <row r="1124" spans="1:10" s="6" customFormat="1">
      <c r="A1124" s="17"/>
      <c r="C1124" s="9"/>
      <c r="D1124" s="10"/>
      <c r="E1124" s="10"/>
      <c r="F1124" s="9"/>
      <c r="G1124" s="1"/>
      <c r="H1124" s="1"/>
      <c r="I1124" s="1"/>
      <c r="J1124" s="1"/>
    </row>
    <row r="1125" spans="1:10" s="6" customFormat="1">
      <c r="A1125" s="17"/>
      <c r="C1125" s="9"/>
      <c r="D1125" s="10"/>
      <c r="E1125" s="10"/>
      <c r="F1125" s="9"/>
      <c r="G1125" s="1"/>
      <c r="H1125" s="1"/>
      <c r="I1125" s="1"/>
      <c r="J1125" s="1"/>
    </row>
    <row r="1126" spans="1:10" s="6" customFormat="1">
      <c r="A1126" s="17"/>
      <c r="C1126" s="9"/>
      <c r="D1126" s="10"/>
      <c r="E1126" s="10"/>
      <c r="F1126" s="9"/>
      <c r="G1126" s="1"/>
      <c r="H1126" s="1"/>
      <c r="I1126" s="1"/>
      <c r="J1126" s="1"/>
    </row>
    <row r="1127" spans="1:10" s="6" customFormat="1">
      <c r="A1127" s="17"/>
      <c r="C1127" s="9"/>
      <c r="D1127" s="10"/>
      <c r="E1127" s="10"/>
      <c r="F1127" s="9"/>
      <c r="G1127" s="1"/>
      <c r="H1127" s="1"/>
      <c r="I1127" s="1"/>
      <c r="J1127" s="1"/>
    </row>
    <row r="1128" spans="1:10" s="6" customFormat="1">
      <c r="A1128" s="17"/>
      <c r="C1128" s="9"/>
      <c r="D1128" s="10"/>
      <c r="E1128" s="10"/>
      <c r="F1128" s="9"/>
      <c r="G1128" s="1"/>
      <c r="H1128" s="1"/>
      <c r="I1128" s="1"/>
      <c r="J1128" s="1"/>
    </row>
    <row r="1129" spans="1:10" s="6" customFormat="1">
      <c r="A1129" s="17"/>
      <c r="C1129" s="9"/>
      <c r="D1129" s="10"/>
      <c r="E1129" s="10"/>
      <c r="F1129" s="9"/>
      <c r="G1129" s="1"/>
      <c r="H1129" s="1"/>
      <c r="I1129" s="1"/>
      <c r="J1129" s="1"/>
    </row>
    <row r="1130" spans="1:10" s="6" customFormat="1">
      <c r="A1130" s="17"/>
      <c r="C1130" s="9"/>
      <c r="D1130" s="10"/>
      <c r="E1130" s="10"/>
      <c r="F1130" s="9"/>
      <c r="G1130" s="1"/>
      <c r="H1130" s="1"/>
      <c r="I1130" s="1"/>
      <c r="J1130" s="1"/>
    </row>
    <row r="1131" spans="1:10" s="6" customFormat="1">
      <c r="A1131" s="17"/>
      <c r="C1131" s="9"/>
      <c r="D1131" s="10"/>
      <c r="E1131" s="10"/>
      <c r="F1131" s="9"/>
      <c r="G1131" s="1"/>
      <c r="H1131" s="1"/>
      <c r="I1131" s="1"/>
      <c r="J1131" s="1"/>
    </row>
    <row r="1132" spans="1:10" s="6" customFormat="1">
      <c r="A1132" s="17"/>
      <c r="C1132" s="9"/>
      <c r="D1132" s="10"/>
      <c r="E1132" s="10"/>
      <c r="F1132" s="9"/>
      <c r="G1132" s="1"/>
      <c r="H1132" s="1"/>
      <c r="I1132" s="1"/>
      <c r="J1132" s="1"/>
    </row>
    <row r="1133" spans="1:10" s="6" customFormat="1">
      <c r="A1133" s="17"/>
      <c r="C1133" s="9"/>
      <c r="D1133" s="10"/>
      <c r="E1133" s="10"/>
      <c r="F1133" s="9"/>
      <c r="G1133" s="1"/>
      <c r="H1133" s="1"/>
      <c r="I1133" s="1"/>
      <c r="J1133" s="1"/>
    </row>
    <row r="1134" spans="1:10" s="6" customFormat="1">
      <c r="A1134" s="17"/>
      <c r="C1134" s="9"/>
      <c r="D1134" s="10"/>
      <c r="E1134" s="10"/>
      <c r="F1134" s="9"/>
      <c r="G1134" s="1"/>
      <c r="H1134" s="1"/>
      <c r="I1134" s="1"/>
      <c r="J1134" s="1"/>
    </row>
    <row r="1135" spans="1:10" s="6" customFormat="1">
      <c r="A1135" s="17"/>
      <c r="C1135" s="9"/>
      <c r="D1135" s="10"/>
      <c r="E1135" s="10"/>
      <c r="F1135" s="9"/>
      <c r="G1135" s="1"/>
      <c r="H1135" s="1"/>
      <c r="I1135" s="1"/>
      <c r="J1135" s="1"/>
    </row>
    <row r="1136" spans="1:10" s="6" customFormat="1">
      <c r="A1136" s="17"/>
      <c r="C1136" s="9"/>
      <c r="D1136" s="10"/>
      <c r="E1136" s="10"/>
      <c r="F1136" s="9"/>
      <c r="G1136" s="1"/>
      <c r="H1136" s="1"/>
      <c r="I1136" s="1"/>
      <c r="J1136" s="1"/>
    </row>
    <row r="1137" spans="1:10" s="6" customFormat="1">
      <c r="A1137" s="17"/>
      <c r="C1137" s="9"/>
      <c r="D1137" s="10"/>
      <c r="E1137" s="10"/>
      <c r="F1137" s="9"/>
      <c r="G1137" s="1"/>
      <c r="H1137" s="1"/>
      <c r="I1137" s="1"/>
      <c r="J1137" s="1"/>
    </row>
    <row r="1138" spans="1:10" s="6" customFormat="1">
      <c r="A1138" s="17"/>
      <c r="C1138" s="9"/>
      <c r="D1138" s="10"/>
      <c r="E1138" s="10"/>
      <c r="F1138" s="9"/>
      <c r="G1138" s="1"/>
      <c r="H1138" s="1"/>
      <c r="I1138" s="1"/>
      <c r="J1138" s="1"/>
    </row>
    <row r="1139" spans="1:10" s="6" customFormat="1">
      <c r="A1139" s="17"/>
      <c r="C1139" s="9"/>
      <c r="D1139" s="10"/>
      <c r="E1139" s="10"/>
      <c r="F1139" s="9"/>
      <c r="G1139" s="1"/>
      <c r="H1139" s="1"/>
      <c r="I1139" s="1"/>
      <c r="J1139" s="1"/>
    </row>
    <row r="1140" spans="1:10" s="6" customFormat="1">
      <c r="A1140" s="17"/>
      <c r="C1140" s="9"/>
      <c r="D1140" s="10"/>
      <c r="E1140" s="10"/>
      <c r="F1140" s="9"/>
      <c r="G1140" s="1"/>
      <c r="H1140" s="1"/>
      <c r="I1140" s="1"/>
      <c r="J1140" s="1"/>
    </row>
    <row r="1141" spans="1:10" s="6" customFormat="1">
      <c r="A1141" s="17"/>
      <c r="C1141" s="9"/>
      <c r="D1141" s="10"/>
      <c r="E1141" s="10"/>
      <c r="F1141" s="9"/>
      <c r="G1141" s="1"/>
      <c r="H1141" s="1"/>
      <c r="I1141" s="1"/>
      <c r="J1141" s="1"/>
    </row>
    <row r="1142" spans="1:10" s="6" customFormat="1">
      <c r="A1142" s="17"/>
      <c r="C1142" s="9"/>
      <c r="D1142" s="10"/>
      <c r="E1142" s="10"/>
      <c r="F1142" s="9"/>
      <c r="G1142" s="1"/>
      <c r="H1142" s="1"/>
      <c r="I1142" s="1"/>
      <c r="J1142" s="1"/>
    </row>
    <row r="1143" spans="1:10" s="6" customFormat="1">
      <c r="A1143" s="17"/>
      <c r="C1143" s="9"/>
      <c r="D1143" s="10"/>
      <c r="E1143" s="10"/>
      <c r="F1143" s="9"/>
      <c r="G1143" s="1"/>
      <c r="H1143" s="1"/>
      <c r="I1143" s="1"/>
      <c r="J1143" s="1"/>
    </row>
    <row r="1144" spans="1:10" s="6" customFormat="1">
      <c r="A1144" s="17"/>
      <c r="C1144" s="9"/>
      <c r="D1144" s="10"/>
      <c r="E1144" s="10"/>
      <c r="F1144" s="9"/>
      <c r="G1144" s="1"/>
      <c r="H1144" s="1"/>
      <c r="I1144" s="1"/>
      <c r="J1144" s="1"/>
    </row>
    <row r="1145" spans="1:10" s="6" customFormat="1">
      <c r="A1145" s="17"/>
      <c r="C1145" s="9"/>
      <c r="D1145" s="10"/>
      <c r="E1145" s="10"/>
      <c r="F1145" s="9"/>
      <c r="G1145" s="1"/>
      <c r="H1145" s="1"/>
      <c r="I1145" s="1"/>
      <c r="J1145" s="1"/>
    </row>
    <row r="1146" spans="1:10" s="6" customFormat="1">
      <c r="A1146" s="17"/>
      <c r="C1146" s="9"/>
      <c r="D1146" s="10"/>
      <c r="E1146" s="10"/>
      <c r="F1146" s="9"/>
      <c r="G1146" s="1"/>
      <c r="H1146" s="1"/>
      <c r="I1146" s="1"/>
      <c r="J1146" s="1"/>
    </row>
    <row r="1147" spans="1:10" s="6" customFormat="1">
      <c r="A1147" s="17"/>
      <c r="C1147" s="9"/>
      <c r="D1147" s="10"/>
      <c r="E1147" s="10"/>
      <c r="F1147" s="9"/>
      <c r="G1147" s="1"/>
      <c r="H1147" s="1"/>
      <c r="I1147" s="1"/>
      <c r="J1147" s="1"/>
    </row>
    <row r="1148" spans="1:10" s="6" customFormat="1">
      <c r="A1148" s="17"/>
      <c r="C1148" s="9"/>
      <c r="D1148" s="10"/>
      <c r="E1148" s="10"/>
      <c r="F1148" s="9"/>
      <c r="G1148" s="1"/>
      <c r="H1148" s="1"/>
      <c r="I1148" s="1"/>
      <c r="J1148" s="1"/>
    </row>
    <row r="1149" spans="1:10" s="6" customFormat="1">
      <c r="A1149" s="17"/>
      <c r="C1149" s="9"/>
      <c r="D1149" s="10"/>
      <c r="E1149" s="10"/>
      <c r="F1149" s="9"/>
      <c r="G1149" s="1"/>
      <c r="H1149" s="1"/>
      <c r="I1149" s="1"/>
      <c r="J1149" s="1"/>
    </row>
    <row r="1150" spans="1:10" s="6" customFormat="1">
      <c r="A1150" s="17"/>
      <c r="C1150" s="9"/>
      <c r="D1150" s="10"/>
      <c r="E1150" s="10"/>
      <c r="F1150" s="9"/>
      <c r="G1150" s="1"/>
      <c r="H1150" s="1"/>
      <c r="I1150" s="1"/>
      <c r="J1150" s="1"/>
    </row>
    <row r="1151" spans="1:10" s="6" customFormat="1">
      <c r="A1151" s="17"/>
      <c r="C1151" s="9"/>
      <c r="D1151" s="10"/>
      <c r="E1151" s="10"/>
      <c r="F1151" s="9"/>
      <c r="G1151" s="1"/>
      <c r="H1151" s="1"/>
      <c r="I1151" s="1"/>
      <c r="J1151" s="1"/>
    </row>
    <row r="1152" spans="1:10" s="6" customFormat="1">
      <c r="A1152" s="17"/>
      <c r="C1152" s="9"/>
      <c r="D1152" s="10"/>
      <c r="E1152" s="10"/>
      <c r="F1152" s="9"/>
      <c r="G1152" s="1"/>
      <c r="H1152" s="1"/>
      <c r="I1152" s="1"/>
      <c r="J1152" s="1"/>
    </row>
    <row r="1153" spans="1:10" s="6" customFormat="1">
      <c r="A1153" s="17"/>
      <c r="C1153" s="9"/>
      <c r="D1153" s="10"/>
      <c r="E1153" s="10"/>
      <c r="F1153" s="9"/>
      <c r="G1153" s="1"/>
      <c r="H1153" s="1"/>
      <c r="I1153" s="1"/>
      <c r="J1153" s="1"/>
    </row>
    <row r="1154" spans="1:10" s="6" customFormat="1">
      <c r="A1154" s="17"/>
      <c r="C1154" s="9"/>
      <c r="D1154" s="10"/>
      <c r="E1154" s="10"/>
      <c r="F1154" s="9"/>
      <c r="G1154" s="1"/>
      <c r="H1154" s="1"/>
      <c r="I1154" s="1"/>
      <c r="J1154" s="1"/>
    </row>
    <row r="1155" spans="1:10" s="6" customFormat="1">
      <c r="A1155" s="17"/>
      <c r="C1155" s="9"/>
      <c r="D1155" s="10"/>
      <c r="E1155" s="10"/>
      <c r="F1155" s="9"/>
      <c r="G1155" s="1"/>
      <c r="H1155" s="1"/>
      <c r="I1155" s="1"/>
      <c r="J1155" s="1"/>
    </row>
    <row r="1156" spans="1:10" s="6" customFormat="1">
      <c r="A1156" s="17"/>
      <c r="C1156" s="9"/>
      <c r="D1156" s="10"/>
      <c r="E1156" s="10"/>
      <c r="F1156" s="9"/>
      <c r="G1156" s="1"/>
      <c r="H1156" s="1"/>
      <c r="I1156" s="1"/>
      <c r="J1156" s="1"/>
    </row>
    <row r="1157" spans="1:10" s="6" customFormat="1">
      <c r="A1157" s="17"/>
      <c r="C1157" s="9"/>
      <c r="D1157" s="10"/>
      <c r="E1157" s="10"/>
      <c r="F1157" s="9"/>
      <c r="G1157" s="1"/>
      <c r="H1157" s="1"/>
      <c r="I1157" s="1"/>
      <c r="J1157" s="1"/>
    </row>
    <row r="1158" spans="1:10" s="6" customFormat="1">
      <c r="A1158" s="17"/>
      <c r="C1158" s="9"/>
      <c r="D1158" s="10"/>
      <c r="E1158" s="10"/>
      <c r="F1158" s="9"/>
      <c r="G1158" s="1"/>
      <c r="H1158" s="1"/>
      <c r="I1158" s="1"/>
      <c r="J1158" s="1"/>
    </row>
    <row r="1159" spans="1:10" s="6" customFormat="1">
      <c r="A1159" s="17"/>
      <c r="C1159" s="9"/>
      <c r="D1159" s="10"/>
      <c r="E1159" s="10"/>
      <c r="F1159" s="9"/>
      <c r="G1159" s="1"/>
      <c r="H1159" s="1"/>
      <c r="I1159" s="1"/>
      <c r="J1159" s="1"/>
    </row>
    <row r="1160" spans="1:10" s="6" customFormat="1">
      <c r="A1160" s="17"/>
      <c r="C1160" s="9"/>
      <c r="D1160" s="10"/>
      <c r="E1160" s="10"/>
      <c r="F1160" s="9"/>
      <c r="G1160" s="1"/>
      <c r="H1160" s="1"/>
      <c r="I1160" s="1"/>
      <c r="J1160" s="1"/>
    </row>
    <row r="1161" spans="1:10" s="6" customFormat="1">
      <c r="A1161" s="17"/>
      <c r="C1161" s="9"/>
      <c r="D1161" s="10"/>
      <c r="E1161" s="10"/>
      <c r="F1161" s="9"/>
      <c r="G1161" s="1"/>
      <c r="H1161" s="1"/>
      <c r="I1161" s="1"/>
      <c r="J1161" s="1"/>
    </row>
    <row r="1162" spans="1:10" s="6" customFormat="1">
      <c r="A1162" s="17"/>
      <c r="C1162" s="9"/>
      <c r="D1162" s="10"/>
      <c r="E1162" s="10"/>
      <c r="F1162" s="9"/>
      <c r="G1162" s="1"/>
      <c r="H1162" s="1"/>
      <c r="I1162" s="1"/>
      <c r="J1162" s="1"/>
    </row>
    <row r="1163" spans="1:10" s="6" customFormat="1">
      <c r="A1163" s="17"/>
      <c r="C1163" s="9"/>
      <c r="D1163" s="10"/>
      <c r="E1163" s="10"/>
      <c r="F1163" s="9"/>
      <c r="G1163" s="1"/>
      <c r="H1163" s="1"/>
      <c r="I1163" s="1"/>
      <c r="J1163" s="1"/>
    </row>
    <row r="1164" spans="1:10" s="6" customFormat="1">
      <c r="A1164" s="17"/>
      <c r="C1164" s="9"/>
      <c r="D1164" s="10"/>
      <c r="E1164" s="10"/>
      <c r="F1164" s="9"/>
      <c r="G1164" s="1"/>
      <c r="H1164" s="1"/>
      <c r="I1164" s="1"/>
      <c r="J1164" s="1"/>
    </row>
    <row r="1165" spans="1:10" s="6" customFormat="1">
      <c r="A1165" s="17"/>
      <c r="C1165" s="9"/>
      <c r="D1165" s="10"/>
      <c r="E1165" s="10"/>
      <c r="F1165" s="9"/>
      <c r="G1165" s="1"/>
      <c r="H1165" s="1"/>
      <c r="I1165" s="1"/>
      <c r="J1165" s="1"/>
    </row>
    <row r="1166" spans="1:10" s="6" customFormat="1">
      <c r="A1166" s="17"/>
      <c r="C1166" s="9"/>
      <c r="D1166" s="10"/>
      <c r="E1166" s="10"/>
      <c r="F1166" s="9"/>
      <c r="G1166" s="1"/>
      <c r="H1166" s="1"/>
      <c r="I1166" s="1"/>
      <c r="J1166" s="1"/>
    </row>
    <row r="1167" spans="1:10" s="6" customFormat="1">
      <c r="A1167" s="17"/>
      <c r="C1167" s="9"/>
      <c r="D1167" s="10"/>
      <c r="E1167" s="10"/>
      <c r="F1167" s="9"/>
      <c r="G1167" s="1"/>
      <c r="H1167" s="1"/>
      <c r="I1167" s="1"/>
      <c r="J1167" s="1"/>
    </row>
    <row r="1168" spans="1:10" s="6" customFormat="1">
      <c r="A1168" s="17"/>
      <c r="C1168" s="9"/>
      <c r="D1168" s="10"/>
      <c r="E1168" s="10"/>
      <c r="F1168" s="9"/>
      <c r="G1168" s="1"/>
      <c r="H1168" s="1"/>
      <c r="I1168" s="1"/>
      <c r="J1168" s="1"/>
    </row>
    <row r="1169" spans="1:10" s="6" customFormat="1">
      <c r="A1169" s="17"/>
      <c r="C1169" s="9"/>
      <c r="D1169" s="10"/>
      <c r="E1169" s="10"/>
      <c r="F1169" s="9"/>
      <c r="G1169" s="1"/>
      <c r="H1169" s="1"/>
      <c r="I1169" s="1"/>
      <c r="J1169" s="1"/>
    </row>
    <row r="1170" spans="1:10" s="6" customFormat="1">
      <c r="A1170" s="17"/>
      <c r="C1170" s="9"/>
      <c r="D1170" s="10"/>
      <c r="E1170" s="10"/>
      <c r="F1170" s="9"/>
      <c r="G1170" s="1"/>
      <c r="H1170" s="1"/>
      <c r="I1170" s="1"/>
      <c r="J1170" s="1"/>
    </row>
    <row r="1171" spans="1:10" s="6" customFormat="1">
      <c r="A1171" s="17"/>
      <c r="C1171" s="9"/>
      <c r="D1171" s="10"/>
      <c r="E1171" s="10"/>
      <c r="F1171" s="9"/>
      <c r="G1171" s="1"/>
      <c r="H1171" s="1"/>
      <c r="I1171" s="1"/>
      <c r="J1171" s="1"/>
    </row>
    <row r="1172" spans="1:10" s="6" customFormat="1">
      <c r="A1172" s="17"/>
      <c r="C1172" s="9"/>
      <c r="D1172" s="10"/>
      <c r="E1172" s="10"/>
      <c r="F1172" s="9"/>
      <c r="G1172" s="1"/>
      <c r="H1172" s="1"/>
      <c r="I1172" s="1"/>
      <c r="J1172" s="1"/>
    </row>
    <row r="1173" spans="1:10" s="6" customFormat="1">
      <c r="A1173" s="17"/>
      <c r="C1173" s="9"/>
      <c r="D1173" s="10"/>
      <c r="E1173" s="10"/>
      <c r="F1173" s="9"/>
      <c r="G1173" s="1"/>
      <c r="H1173" s="1"/>
      <c r="I1173" s="1"/>
      <c r="J1173" s="1"/>
    </row>
    <row r="1174" spans="1:10" s="6" customFormat="1">
      <c r="A1174" s="17"/>
      <c r="C1174" s="9"/>
      <c r="D1174" s="10"/>
      <c r="E1174" s="10"/>
      <c r="F1174" s="9"/>
      <c r="G1174" s="1"/>
      <c r="H1174" s="1"/>
      <c r="I1174" s="1"/>
      <c r="J1174" s="1"/>
    </row>
    <row r="1175" spans="1:10" s="6" customFormat="1">
      <c r="A1175" s="17"/>
      <c r="C1175" s="9"/>
      <c r="D1175" s="10"/>
      <c r="E1175" s="10"/>
      <c r="F1175" s="9"/>
      <c r="G1175" s="1"/>
      <c r="H1175" s="1"/>
      <c r="I1175" s="1"/>
      <c r="J1175" s="1"/>
    </row>
    <row r="1176" spans="1:10" s="6" customFormat="1">
      <c r="A1176" s="17"/>
      <c r="C1176" s="9"/>
      <c r="D1176" s="10"/>
      <c r="E1176" s="10"/>
      <c r="F1176" s="9"/>
      <c r="G1176" s="1"/>
      <c r="H1176" s="1"/>
      <c r="I1176" s="1"/>
      <c r="J1176" s="1"/>
    </row>
    <row r="1177" spans="1:10" s="6" customFormat="1">
      <c r="A1177" s="17"/>
      <c r="C1177" s="9"/>
      <c r="D1177" s="10"/>
      <c r="E1177" s="10"/>
      <c r="F1177" s="9"/>
      <c r="G1177" s="1"/>
      <c r="H1177" s="1"/>
      <c r="I1177" s="1"/>
      <c r="J1177" s="1"/>
    </row>
    <row r="1178" spans="1:10" s="6" customFormat="1">
      <c r="A1178" s="17"/>
      <c r="C1178" s="9"/>
      <c r="D1178" s="10"/>
      <c r="E1178" s="10"/>
      <c r="F1178" s="9"/>
      <c r="G1178" s="1"/>
      <c r="H1178" s="1"/>
      <c r="I1178" s="1"/>
      <c r="J1178" s="1"/>
    </row>
    <row r="1179" spans="1:10" s="6" customFormat="1">
      <c r="A1179" s="17"/>
      <c r="C1179" s="9"/>
      <c r="D1179" s="10"/>
      <c r="E1179" s="10"/>
      <c r="F1179" s="9"/>
      <c r="G1179" s="1"/>
      <c r="H1179" s="1"/>
      <c r="I1179" s="1"/>
      <c r="J1179" s="1"/>
    </row>
    <row r="1180" spans="1:10" s="6" customFormat="1">
      <c r="A1180" s="17"/>
      <c r="C1180" s="9"/>
      <c r="D1180" s="10"/>
      <c r="E1180" s="10"/>
      <c r="F1180" s="9"/>
      <c r="G1180" s="1"/>
      <c r="H1180" s="1"/>
      <c r="I1180" s="1"/>
      <c r="J1180" s="1"/>
    </row>
    <row r="1181" spans="1:10" s="6" customFormat="1">
      <c r="A1181" s="17"/>
      <c r="C1181" s="9"/>
      <c r="D1181" s="10"/>
      <c r="E1181" s="10"/>
      <c r="F1181" s="9"/>
      <c r="G1181" s="1"/>
      <c r="H1181" s="1"/>
      <c r="I1181" s="1"/>
      <c r="J1181" s="1"/>
    </row>
    <row r="1182" spans="1:10" s="6" customFormat="1">
      <c r="A1182" s="17"/>
      <c r="C1182" s="9"/>
      <c r="D1182" s="10"/>
      <c r="E1182" s="10"/>
      <c r="F1182" s="9"/>
      <c r="G1182" s="1"/>
      <c r="H1182" s="1"/>
      <c r="I1182" s="1"/>
      <c r="J1182" s="1"/>
    </row>
    <row r="1183" spans="1:10" s="6" customFormat="1">
      <c r="A1183" s="17"/>
      <c r="C1183" s="9"/>
      <c r="D1183" s="10"/>
      <c r="E1183" s="10"/>
      <c r="F1183" s="9"/>
      <c r="G1183" s="1"/>
      <c r="H1183" s="1"/>
      <c r="I1183" s="1"/>
      <c r="J1183" s="1"/>
    </row>
    <row r="1184" spans="1:10" s="6" customFormat="1">
      <c r="A1184" s="17"/>
      <c r="C1184" s="9"/>
      <c r="D1184" s="10"/>
      <c r="E1184" s="10"/>
      <c r="F1184" s="9"/>
      <c r="G1184" s="1"/>
      <c r="H1184" s="1"/>
      <c r="I1184" s="1"/>
      <c r="J1184" s="1"/>
    </row>
    <row r="1185" spans="1:10" s="6" customFormat="1">
      <c r="A1185" s="17"/>
      <c r="C1185" s="9"/>
      <c r="D1185" s="10"/>
      <c r="E1185" s="10"/>
      <c r="F1185" s="9"/>
      <c r="G1185" s="1"/>
      <c r="H1185" s="1"/>
      <c r="I1185" s="1"/>
      <c r="J1185" s="1"/>
    </row>
    <row r="1186" spans="1:10" s="6" customFormat="1">
      <c r="A1186" s="17"/>
      <c r="C1186" s="9"/>
      <c r="D1186" s="10"/>
      <c r="E1186" s="10"/>
      <c r="F1186" s="9"/>
      <c r="G1186" s="1"/>
      <c r="H1186" s="1"/>
      <c r="I1186" s="1"/>
      <c r="J1186" s="1"/>
    </row>
    <row r="1187" spans="1:10" s="6" customFormat="1">
      <c r="A1187" s="17"/>
      <c r="C1187" s="9"/>
      <c r="D1187" s="10"/>
      <c r="E1187" s="10"/>
      <c r="F1187" s="9"/>
      <c r="G1187" s="1"/>
      <c r="H1187" s="1"/>
      <c r="I1187" s="1"/>
      <c r="J1187" s="1"/>
    </row>
    <row r="1188" spans="1:10" s="6" customFormat="1">
      <c r="A1188" s="17"/>
      <c r="C1188" s="9"/>
      <c r="D1188" s="10"/>
      <c r="E1188" s="10"/>
      <c r="F1188" s="9"/>
      <c r="G1188" s="1"/>
      <c r="H1188" s="1"/>
      <c r="I1188" s="1"/>
      <c r="J1188" s="1"/>
    </row>
    <row r="1189" spans="1:10" s="6" customFormat="1">
      <c r="A1189" s="17"/>
      <c r="C1189" s="9"/>
      <c r="D1189" s="10"/>
      <c r="E1189" s="10"/>
      <c r="F1189" s="9"/>
      <c r="G1189" s="1"/>
      <c r="H1189" s="1"/>
      <c r="I1189" s="1"/>
      <c r="J1189" s="1"/>
    </row>
    <row r="1190" spans="1:10" s="6" customFormat="1">
      <c r="A1190" s="17"/>
      <c r="C1190" s="9"/>
      <c r="D1190" s="10"/>
      <c r="E1190" s="10"/>
      <c r="F1190" s="9"/>
      <c r="G1190" s="1"/>
      <c r="H1190" s="1"/>
      <c r="I1190" s="1"/>
      <c r="J1190" s="1"/>
    </row>
    <row r="1191" spans="1:10" s="6" customFormat="1">
      <c r="A1191" s="17"/>
      <c r="C1191" s="9"/>
      <c r="D1191" s="10"/>
      <c r="E1191" s="10"/>
      <c r="F1191" s="9"/>
      <c r="G1191" s="1"/>
      <c r="H1191" s="1"/>
      <c r="I1191" s="1"/>
      <c r="J1191" s="1"/>
    </row>
    <row r="1192" spans="1:10" s="6" customFormat="1">
      <c r="A1192" s="17"/>
      <c r="C1192" s="9"/>
      <c r="D1192" s="10"/>
      <c r="E1192" s="10"/>
      <c r="F1192" s="9"/>
      <c r="G1192" s="1"/>
      <c r="H1192" s="1"/>
      <c r="I1192" s="1"/>
      <c r="J1192" s="1"/>
    </row>
    <row r="1193" spans="1:10" s="6" customFormat="1">
      <c r="A1193" s="17"/>
      <c r="C1193" s="9"/>
      <c r="D1193" s="10"/>
      <c r="E1193" s="10"/>
      <c r="F1193" s="9"/>
      <c r="G1193" s="1"/>
      <c r="H1193" s="1"/>
      <c r="I1193" s="1"/>
      <c r="J1193" s="1"/>
    </row>
    <row r="1194" spans="1:10" s="6" customFormat="1">
      <c r="A1194" s="17"/>
      <c r="C1194" s="9"/>
      <c r="D1194" s="10"/>
      <c r="E1194" s="10"/>
      <c r="F1194" s="9"/>
      <c r="G1194" s="1"/>
      <c r="H1194" s="1"/>
      <c r="I1194" s="1"/>
      <c r="J1194" s="1"/>
    </row>
    <row r="1195" spans="1:10" s="6" customFormat="1">
      <c r="A1195" s="17"/>
      <c r="C1195" s="9"/>
      <c r="D1195" s="10"/>
      <c r="E1195" s="10"/>
      <c r="F1195" s="9"/>
      <c r="G1195" s="1"/>
      <c r="H1195" s="1"/>
      <c r="I1195" s="1"/>
      <c r="J1195" s="1"/>
    </row>
    <row r="1196" spans="1:10" s="6" customFormat="1">
      <c r="A1196" s="17"/>
      <c r="C1196" s="9"/>
      <c r="D1196" s="10"/>
      <c r="E1196" s="10"/>
      <c r="F1196" s="9"/>
      <c r="G1196" s="1"/>
      <c r="H1196" s="1"/>
      <c r="I1196" s="1"/>
      <c r="J1196" s="1"/>
    </row>
    <row r="1197" spans="1:10" s="6" customFormat="1">
      <c r="A1197" s="17"/>
      <c r="C1197" s="9"/>
      <c r="D1197" s="10"/>
      <c r="E1197" s="10"/>
      <c r="F1197" s="9"/>
      <c r="G1197" s="1"/>
      <c r="H1197" s="1"/>
      <c r="I1197" s="1"/>
      <c r="J1197" s="1"/>
    </row>
    <row r="1198" spans="1:10" s="6" customFormat="1">
      <c r="A1198" s="17"/>
      <c r="C1198" s="9"/>
      <c r="D1198" s="10"/>
      <c r="E1198" s="10"/>
      <c r="F1198" s="9"/>
      <c r="G1198" s="1"/>
      <c r="H1198" s="1"/>
      <c r="I1198" s="1"/>
      <c r="J1198" s="1"/>
    </row>
    <row r="1199" spans="1:10" s="6" customFormat="1">
      <c r="A1199" s="17"/>
      <c r="C1199" s="9"/>
      <c r="D1199" s="10"/>
      <c r="E1199" s="10"/>
      <c r="F1199" s="9"/>
      <c r="G1199" s="1"/>
      <c r="H1199" s="1"/>
      <c r="I1199" s="1"/>
      <c r="J1199" s="1"/>
    </row>
    <row r="1200" spans="1:10" s="6" customFormat="1">
      <c r="A1200" s="17"/>
      <c r="C1200" s="9"/>
      <c r="D1200" s="10"/>
      <c r="E1200" s="10"/>
      <c r="F1200" s="9"/>
      <c r="G1200" s="1"/>
      <c r="H1200" s="1"/>
      <c r="I1200" s="1"/>
      <c r="J1200" s="1"/>
    </row>
    <row r="1201" spans="1:10" s="6" customFormat="1">
      <c r="A1201" s="17"/>
      <c r="C1201" s="9"/>
      <c r="D1201" s="10"/>
      <c r="E1201" s="10"/>
      <c r="F1201" s="9"/>
      <c r="G1201" s="1"/>
      <c r="H1201" s="1"/>
      <c r="I1201" s="1"/>
      <c r="J1201" s="1"/>
    </row>
    <row r="1202" spans="1:10" s="6" customFormat="1">
      <c r="A1202" s="17"/>
      <c r="C1202" s="9"/>
      <c r="D1202" s="10"/>
      <c r="E1202" s="10"/>
      <c r="F1202" s="9"/>
      <c r="G1202" s="1"/>
      <c r="H1202" s="1"/>
      <c r="I1202" s="1"/>
      <c r="J1202" s="1"/>
    </row>
    <row r="1203" spans="1:10" s="6" customFormat="1">
      <c r="A1203" s="17"/>
      <c r="C1203" s="9"/>
      <c r="D1203" s="10"/>
      <c r="E1203" s="10"/>
      <c r="F1203" s="9"/>
      <c r="G1203" s="1"/>
      <c r="H1203" s="1"/>
      <c r="I1203" s="1"/>
      <c r="J1203" s="1"/>
    </row>
    <row r="1204" spans="1:10" s="6" customFormat="1">
      <c r="A1204" s="17"/>
      <c r="C1204" s="9"/>
      <c r="D1204" s="10"/>
      <c r="E1204" s="10"/>
      <c r="F1204" s="9"/>
      <c r="G1204" s="1"/>
      <c r="H1204" s="1"/>
      <c r="I1204" s="1"/>
      <c r="J1204" s="1"/>
    </row>
    <row r="1205" spans="1:10" s="6" customFormat="1">
      <c r="A1205" s="17"/>
      <c r="C1205" s="9"/>
      <c r="D1205" s="10"/>
      <c r="E1205" s="10"/>
      <c r="F1205" s="9"/>
      <c r="G1205" s="1"/>
      <c r="H1205" s="1"/>
      <c r="I1205" s="1"/>
      <c r="J1205" s="1"/>
    </row>
    <row r="1206" spans="1:10" s="6" customFormat="1">
      <c r="A1206" s="17"/>
      <c r="C1206" s="9"/>
      <c r="D1206" s="10"/>
      <c r="E1206" s="10"/>
      <c r="F1206" s="9"/>
      <c r="G1206" s="1"/>
      <c r="H1206" s="1"/>
      <c r="I1206" s="1"/>
      <c r="J1206" s="1"/>
    </row>
    <row r="1207" spans="1:10" s="6" customFormat="1">
      <c r="A1207" s="17"/>
      <c r="C1207" s="9"/>
      <c r="D1207" s="10"/>
      <c r="E1207" s="10"/>
      <c r="F1207" s="9"/>
      <c r="G1207" s="1"/>
      <c r="H1207" s="1"/>
      <c r="I1207" s="1"/>
      <c r="J1207" s="1"/>
    </row>
    <row r="1208" spans="1:10" s="6" customFormat="1">
      <c r="A1208" s="17"/>
      <c r="C1208" s="9"/>
      <c r="D1208" s="10"/>
      <c r="E1208" s="10"/>
      <c r="F1208" s="9"/>
      <c r="G1208" s="1"/>
      <c r="H1208" s="1"/>
      <c r="I1208" s="1"/>
      <c r="J1208" s="1"/>
    </row>
    <row r="1209" spans="1:10" s="6" customFormat="1">
      <c r="A1209" s="17"/>
      <c r="C1209" s="9"/>
      <c r="D1209" s="10"/>
      <c r="E1209" s="10"/>
      <c r="F1209" s="9"/>
      <c r="G1209" s="1"/>
      <c r="H1209" s="1"/>
      <c r="I1209" s="1"/>
      <c r="J1209" s="1"/>
    </row>
    <row r="1210" spans="1:10" s="6" customFormat="1">
      <c r="A1210" s="17"/>
      <c r="C1210" s="9"/>
      <c r="D1210" s="10"/>
      <c r="E1210" s="10"/>
      <c r="F1210" s="9"/>
      <c r="G1210" s="1"/>
      <c r="H1210" s="1"/>
      <c r="I1210" s="1"/>
      <c r="J1210" s="1"/>
    </row>
    <row r="1211" spans="1:10" s="6" customFormat="1">
      <c r="A1211" s="17"/>
      <c r="C1211" s="9"/>
      <c r="D1211" s="10"/>
      <c r="E1211" s="10"/>
      <c r="F1211" s="9"/>
      <c r="G1211" s="1"/>
      <c r="H1211" s="1"/>
      <c r="I1211" s="1"/>
      <c r="J1211" s="1"/>
    </row>
    <row r="1212" spans="1:10" s="6" customFormat="1">
      <c r="A1212" s="17"/>
      <c r="C1212" s="9"/>
      <c r="D1212" s="10"/>
      <c r="E1212" s="10"/>
      <c r="F1212" s="9"/>
      <c r="G1212" s="1"/>
      <c r="H1212" s="1"/>
      <c r="I1212" s="1"/>
      <c r="J1212" s="1"/>
    </row>
    <row r="1213" spans="1:10" s="6" customFormat="1">
      <c r="A1213" s="17"/>
      <c r="C1213" s="9"/>
      <c r="D1213" s="10"/>
      <c r="E1213" s="10"/>
      <c r="F1213" s="9"/>
      <c r="G1213" s="1"/>
      <c r="H1213" s="1"/>
      <c r="I1213" s="1"/>
      <c r="J1213" s="1"/>
    </row>
    <row r="1214" spans="1:10" s="6" customFormat="1">
      <c r="A1214" s="17"/>
      <c r="C1214" s="9"/>
      <c r="D1214" s="10"/>
      <c r="E1214" s="10"/>
      <c r="F1214" s="9"/>
      <c r="G1214" s="1"/>
      <c r="H1214" s="1"/>
      <c r="I1214" s="1"/>
      <c r="J1214" s="1"/>
    </row>
    <row r="1215" spans="1:10" s="6" customFormat="1">
      <c r="A1215" s="17"/>
      <c r="C1215" s="9"/>
      <c r="D1215" s="10"/>
      <c r="E1215" s="10"/>
      <c r="F1215" s="9"/>
      <c r="G1215" s="1"/>
      <c r="H1215" s="1"/>
      <c r="I1215" s="1"/>
      <c r="J1215" s="1"/>
    </row>
    <row r="1216" spans="1:10" s="6" customFormat="1">
      <c r="A1216" s="17"/>
      <c r="C1216" s="9"/>
      <c r="D1216" s="10"/>
      <c r="E1216" s="10"/>
      <c r="F1216" s="9"/>
      <c r="G1216" s="1"/>
      <c r="H1216" s="1"/>
      <c r="I1216" s="1"/>
      <c r="J1216" s="1"/>
    </row>
    <row r="1217" spans="1:10" s="6" customFormat="1">
      <c r="A1217" s="17"/>
      <c r="C1217" s="9"/>
      <c r="D1217" s="10"/>
      <c r="E1217" s="10"/>
      <c r="F1217" s="9"/>
      <c r="G1217" s="1"/>
      <c r="H1217" s="1"/>
      <c r="I1217" s="1"/>
      <c r="J1217" s="1"/>
    </row>
    <row r="1218" spans="1:10" s="6" customFormat="1">
      <c r="A1218" s="17"/>
      <c r="C1218" s="9"/>
      <c r="D1218" s="10"/>
      <c r="E1218" s="10"/>
      <c r="F1218" s="9"/>
      <c r="G1218" s="1"/>
      <c r="H1218" s="1"/>
      <c r="I1218" s="1"/>
      <c r="J1218" s="1"/>
    </row>
    <row r="1219" spans="1:10" s="6" customFormat="1">
      <c r="A1219" s="17"/>
      <c r="C1219" s="9"/>
      <c r="D1219" s="10"/>
      <c r="E1219" s="10"/>
      <c r="F1219" s="9"/>
      <c r="G1219" s="1"/>
      <c r="H1219" s="1"/>
      <c r="I1219" s="1"/>
      <c r="J1219" s="1"/>
    </row>
    <row r="1220" spans="1:10" s="6" customFormat="1">
      <c r="A1220" s="17"/>
      <c r="C1220" s="9"/>
      <c r="D1220" s="10"/>
      <c r="E1220" s="10"/>
      <c r="F1220" s="9"/>
      <c r="G1220" s="1"/>
      <c r="H1220" s="1"/>
      <c r="I1220" s="1"/>
      <c r="J1220" s="1"/>
    </row>
    <row r="1221" spans="1:10" s="6" customFormat="1">
      <c r="A1221" s="17"/>
      <c r="C1221" s="9"/>
      <c r="D1221" s="10"/>
      <c r="E1221" s="10"/>
      <c r="F1221" s="9"/>
      <c r="G1221" s="1"/>
      <c r="H1221" s="1"/>
      <c r="I1221" s="1"/>
      <c r="J1221" s="1"/>
    </row>
    <row r="1222" spans="1:10" s="6" customFormat="1">
      <c r="A1222" s="17"/>
      <c r="C1222" s="9"/>
      <c r="D1222" s="10"/>
      <c r="E1222" s="10"/>
      <c r="F1222" s="9"/>
      <c r="G1222" s="1"/>
      <c r="H1222" s="1"/>
      <c r="I1222" s="1"/>
      <c r="J1222" s="1"/>
    </row>
    <row r="1223" spans="1:10" s="6" customFormat="1">
      <c r="A1223" s="17"/>
      <c r="C1223" s="9"/>
      <c r="D1223" s="10"/>
      <c r="E1223" s="10"/>
      <c r="F1223" s="9"/>
      <c r="G1223" s="1"/>
      <c r="H1223" s="1"/>
      <c r="I1223" s="1"/>
      <c r="J1223" s="1"/>
    </row>
    <row r="1224" spans="1:10" s="6" customFormat="1">
      <c r="A1224" s="17"/>
      <c r="C1224" s="9"/>
      <c r="D1224" s="10"/>
      <c r="E1224" s="10"/>
      <c r="F1224" s="9"/>
      <c r="G1224" s="1"/>
      <c r="H1224" s="1"/>
      <c r="I1224" s="1"/>
      <c r="J1224" s="1"/>
    </row>
    <row r="1225" spans="1:10" s="6" customFormat="1">
      <c r="A1225" s="17"/>
      <c r="C1225" s="9"/>
      <c r="D1225" s="10"/>
      <c r="E1225" s="10"/>
      <c r="F1225" s="9"/>
      <c r="G1225" s="1"/>
      <c r="H1225" s="1"/>
      <c r="I1225" s="1"/>
      <c r="J1225" s="1"/>
    </row>
    <row r="1226" spans="1:10" s="6" customFormat="1">
      <c r="A1226" s="17"/>
      <c r="C1226" s="9"/>
      <c r="D1226" s="10"/>
      <c r="E1226" s="10"/>
      <c r="F1226" s="9"/>
      <c r="G1226" s="1"/>
      <c r="H1226" s="1"/>
      <c r="I1226" s="1"/>
      <c r="J1226" s="1"/>
    </row>
    <row r="1227" spans="1:10" s="6" customFormat="1">
      <c r="A1227" s="17"/>
      <c r="C1227" s="9"/>
      <c r="D1227" s="10"/>
      <c r="E1227" s="10"/>
      <c r="F1227" s="9"/>
      <c r="G1227" s="1"/>
      <c r="H1227" s="1"/>
      <c r="I1227" s="1"/>
      <c r="J1227" s="1"/>
    </row>
    <row r="1228" spans="1:10" s="6" customFormat="1">
      <c r="A1228" s="17"/>
      <c r="C1228" s="9"/>
      <c r="D1228" s="10"/>
      <c r="E1228" s="10"/>
      <c r="F1228" s="9"/>
      <c r="G1228" s="1"/>
      <c r="H1228" s="1"/>
      <c r="I1228" s="1"/>
      <c r="J1228" s="1"/>
    </row>
    <row r="1229" spans="1:10" s="6" customFormat="1">
      <c r="A1229" s="17"/>
      <c r="C1229" s="9"/>
      <c r="D1229" s="10"/>
      <c r="E1229" s="10"/>
      <c r="F1229" s="9"/>
      <c r="G1229" s="1"/>
      <c r="H1229" s="1"/>
      <c r="I1229" s="1"/>
      <c r="J1229" s="1"/>
    </row>
    <row r="1230" spans="1:10" s="6" customFormat="1">
      <c r="A1230" s="17"/>
      <c r="C1230" s="9"/>
      <c r="D1230" s="10"/>
      <c r="E1230" s="10"/>
      <c r="F1230" s="9"/>
      <c r="G1230" s="1"/>
      <c r="H1230" s="1"/>
      <c r="I1230" s="1"/>
      <c r="J1230" s="1"/>
    </row>
    <row r="1231" spans="1:10" s="6" customFormat="1">
      <c r="A1231" s="17"/>
      <c r="C1231" s="9"/>
      <c r="D1231" s="10"/>
      <c r="E1231" s="10"/>
      <c r="F1231" s="9"/>
      <c r="G1231" s="1"/>
      <c r="H1231" s="1"/>
      <c r="I1231" s="1"/>
      <c r="J1231" s="1"/>
    </row>
    <row r="1232" spans="1:10" s="6" customFormat="1">
      <c r="A1232" s="17"/>
      <c r="C1232" s="9"/>
      <c r="D1232" s="10"/>
      <c r="E1232" s="10"/>
      <c r="F1232" s="9"/>
      <c r="G1232" s="1"/>
      <c r="H1232" s="1"/>
      <c r="I1232" s="1"/>
      <c r="J1232" s="1"/>
    </row>
    <row r="1233" spans="1:10" s="6" customFormat="1">
      <c r="A1233" s="17"/>
      <c r="C1233" s="9"/>
      <c r="D1233" s="10"/>
      <c r="E1233" s="10"/>
      <c r="F1233" s="9"/>
      <c r="G1233" s="1"/>
      <c r="H1233" s="1"/>
      <c r="I1233" s="1"/>
      <c r="J1233" s="1"/>
    </row>
    <row r="1234" spans="1:10" s="6" customFormat="1">
      <c r="A1234" s="17"/>
      <c r="C1234" s="9"/>
      <c r="D1234" s="10"/>
      <c r="E1234" s="10"/>
      <c r="F1234" s="9"/>
      <c r="G1234" s="1"/>
      <c r="H1234" s="1"/>
      <c r="I1234" s="1"/>
      <c r="J1234" s="1"/>
    </row>
    <row r="1235" spans="1:10" s="6" customFormat="1">
      <c r="A1235" s="17"/>
      <c r="C1235" s="9"/>
      <c r="D1235" s="10"/>
      <c r="E1235" s="10"/>
      <c r="F1235" s="9"/>
      <c r="G1235" s="1"/>
      <c r="H1235" s="1"/>
      <c r="I1235" s="1"/>
      <c r="J1235" s="1"/>
    </row>
    <row r="1236" spans="1:10" s="6" customFormat="1">
      <c r="A1236" s="17"/>
      <c r="C1236" s="9"/>
      <c r="D1236" s="10"/>
      <c r="E1236" s="10"/>
      <c r="F1236" s="9"/>
      <c r="G1236" s="1"/>
      <c r="H1236" s="1"/>
      <c r="I1236" s="1"/>
      <c r="J1236" s="1"/>
    </row>
    <row r="1237" spans="1:10" s="6" customFormat="1">
      <c r="A1237" s="17"/>
      <c r="C1237" s="9"/>
      <c r="D1237" s="10"/>
      <c r="E1237" s="10"/>
      <c r="F1237" s="9"/>
      <c r="G1237" s="1"/>
      <c r="H1237" s="1"/>
      <c r="I1237" s="1"/>
      <c r="J1237" s="1"/>
    </row>
    <row r="1238" spans="1:10" s="6" customFormat="1">
      <c r="A1238" s="17"/>
      <c r="C1238" s="9"/>
      <c r="D1238" s="10"/>
      <c r="E1238" s="10"/>
      <c r="F1238" s="9"/>
      <c r="G1238" s="1"/>
      <c r="H1238" s="1"/>
      <c r="I1238" s="1"/>
      <c r="J1238" s="1"/>
    </row>
    <row r="1239" spans="1:10" s="6" customFormat="1">
      <c r="A1239" s="17"/>
      <c r="C1239" s="9"/>
      <c r="D1239" s="10"/>
      <c r="E1239" s="10"/>
      <c r="F1239" s="9"/>
      <c r="G1239" s="1"/>
      <c r="H1239" s="1"/>
      <c r="I1239" s="1"/>
      <c r="J1239" s="1"/>
    </row>
    <row r="1240" spans="1:10" s="6" customFormat="1">
      <c r="A1240" s="17"/>
      <c r="C1240" s="9"/>
      <c r="D1240" s="10"/>
      <c r="E1240" s="10"/>
      <c r="F1240" s="9"/>
      <c r="G1240" s="1"/>
      <c r="H1240" s="1"/>
      <c r="I1240" s="1"/>
      <c r="J1240" s="1"/>
    </row>
    <row r="1241" spans="1:10" s="6" customFormat="1">
      <c r="A1241" s="17"/>
      <c r="C1241" s="9"/>
      <c r="D1241" s="10"/>
      <c r="E1241" s="10"/>
      <c r="F1241" s="9"/>
      <c r="G1241" s="1"/>
      <c r="H1241" s="1"/>
      <c r="I1241" s="1"/>
      <c r="J1241" s="1"/>
    </row>
    <row r="1242" spans="1:10" s="6" customFormat="1">
      <c r="A1242" s="17"/>
      <c r="C1242" s="9"/>
      <c r="D1242" s="10"/>
      <c r="E1242" s="10"/>
      <c r="F1242" s="9"/>
      <c r="G1242" s="1"/>
      <c r="H1242" s="1"/>
      <c r="I1242" s="1"/>
      <c r="J1242" s="1"/>
    </row>
    <row r="1243" spans="1:10" s="6" customFormat="1">
      <c r="A1243" s="17"/>
      <c r="C1243" s="9"/>
      <c r="D1243" s="10"/>
      <c r="E1243" s="10"/>
      <c r="F1243" s="9"/>
      <c r="G1243" s="1"/>
      <c r="H1243" s="1"/>
      <c r="I1243" s="1"/>
      <c r="J1243" s="1"/>
    </row>
    <row r="1244" spans="1:10" s="6" customFormat="1">
      <c r="A1244" s="17"/>
      <c r="C1244" s="9"/>
      <c r="D1244" s="10"/>
      <c r="E1244" s="10"/>
      <c r="F1244" s="9"/>
      <c r="G1244" s="1"/>
      <c r="H1244" s="1"/>
      <c r="I1244" s="1"/>
      <c r="J1244" s="1"/>
    </row>
    <row r="1245" spans="1:10" s="6" customFormat="1">
      <c r="A1245" s="17"/>
      <c r="C1245" s="9"/>
      <c r="D1245" s="10"/>
      <c r="E1245" s="10"/>
      <c r="F1245" s="9"/>
      <c r="G1245" s="1"/>
      <c r="H1245" s="1"/>
      <c r="I1245" s="1"/>
      <c r="J1245" s="1"/>
    </row>
    <row r="1246" spans="1:10" s="6" customFormat="1">
      <c r="A1246" s="17"/>
      <c r="C1246" s="9"/>
      <c r="D1246" s="10"/>
      <c r="E1246" s="10"/>
      <c r="F1246" s="9"/>
      <c r="G1246" s="1"/>
      <c r="H1246" s="1"/>
      <c r="I1246" s="1"/>
      <c r="J1246" s="1"/>
    </row>
    <row r="1247" spans="1:10" s="6" customFormat="1">
      <c r="A1247" s="17"/>
      <c r="C1247" s="9"/>
      <c r="D1247" s="10"/>
      <c r="E1247" s="10"/>
      <c r="F1247" s="9"/>
      <c r="G1247" s="1"/>
      <c r="H1247" s="1"/>
      <c r="I1247" s="1"/>
      <c r="J1247" s="1"/>
    </row>
    <row r="1248" spans="1:10" s="6" customFormat="1">
      <c r="A1248" s="17"/>
      <c r="C1248" s="9"/>
      <c r="D1248" s="10"/>
      <c r="E1248" s="10"/>
      <c r="F1248" s="9"/>
      <c r="G1248" s="1"/>
      <c r="H1248" s="1"/>
      <c r="I1248" s="1"/>
      <c r="J1248" s="1"/>
    </row>
    <row r="1249" spans="1:10" s="6" customFormat="1">
      <c r="A1249" s="17"/>
      <c r="C1249" s="9"/>
      <c r="D1249" s="10"/>
      <c r="E1249" s="10"/>
      <c r="F1249" s="9"/>
      <c r="G1249" s="1"/>
      <c r="H1249" s="1"/>
      <c r="I1249" s="1"/>
      <c r="J1249" s="1"/>
    </row>
    <row r="1250" spans="1:10" s="6" customFormat="1">
      <c r="A1250" s="17"/>
      <c r="C1250" s="9"/>
      <c r="D1250" s="10"/>
      <c r="E1250" s="10"/>
      <c r="F1250" s="9"/>
      <c r="G1250" s="1"/>
      <c r="H1250" s="1"/>
      <c r="I1250" s="1"/>
      <c r="J1250" s="1"/>
    </row>
    <row r="1251" spans="1:10" s="6" customFormat="1">
      <c r="A1251" s="17"/>
      <c r="C1251" s="9"/>
      <c r="D1251" s="10"/>
      <c r="E1251" s="10"/>
      <c r="F1251" s="9"/>
      <c r="G1251" s="1"/>
      <c r="H1251" s="1"/>
      <c r="I1251" s="1"/>
      <c r="J1251" s="1"/>
    </row>
    <row r="1252" spans="1:10" s="6" customFormat="1">
      <c r="A1252" s="17"/>
      <c r="C1252" s="9"/>
      <c r="D1252" s="10"/>
      <c r="E1252" s="10"/>
      <c r="F1252" s="9"/>
      <c r="G1252" s="1"/>
      <c r="H1252" s="1"/>
      <c r="I1252" s="1"/>
      <c r="J1252" s="1"/>
    </row>
    <row r="1253" spans="1:10" s="6" customFormat="1">
      <c r="A1253" s="17"/>
      <c r="C1253" s="9"/>
      <c r="D1253" s="10"/>
      <c r="E1253" s="10"/>
      <c r="F1253" s="9"/>
      <c r="G1253" s="1"/>
      <c r="H1253" s="1"/>
      <c r="I1253" s="1"/>
      <c r="J1253" s="1"/>
    </row>
    <row r="1254" spans="1:10" s="6" customFormat="1">
      <c r="A1254" s="17"/>
      <c r="C1254" s="9"/>
      <c r="D1254" s="10"/>
      <c r="E1254" s="10"/>
      <c r="F1254" s="9"/>
      <c r="G1254" s="1"/>
      <c r="H1254" s="1"/>
      <c r="I1254" s="1"/>
      <c r="J1254" s="1"/>
    </row>
    <row r="1255" spans="1:10" s="6" customFormat="1">
      <c r="A1255" s="17"/>
      <c r="C1255" s="9"/>
      <c r="D1255" s="10"/>
      <c r="E1255" s="10"/>
      <c r="F1255" s="9"/>
      <c r="G1255" s="1"/>
      <c r="H1255" s="1"/>
      <c r="I1255" s="1"/>
      <c r="J1255" s="1"/>
    </row>
    <row r="1256" spans="1:10" s="6" customFormat="1">
      <c r="A1256" s="17"/>
      <c r="C1256" s="9"/>
      <c r="D1256" s="10"/>
      <c r="E1256" s="10"/>
      <c r="F1256" s="9"/>
      <c r="G1256" s="1"/>
      <c r="H1256" s="1"/>
      <c r="I1256" s="1"/>
      <c r="J1256" s="1"/>
    </row>
    <row r="1257" spans="1:10" s="6" customFormat="1">
      <c r="A1257" s="17"/>
      <c r="C1257" s="9"/>
      <c r="D1257" s="10"/>
      <c r="E1257" s="10"/>
      <c r="F1257" s="9"/>
      <c r="G1257" s="1"/>
      <c r="H1257" s="1"/>
      <c r="I1257" s="1"/>
      <c r="J1257" s="1"/>
    </row>
    <row r="1258" spans="1:10" s="6" customFormat="1">
      <c r="A1258" s="17"/>
      <c r="C1258" s="9"/>
      <c r="D1258" s="10"/>
      <c r="E1258" s="10"/>
      <c r="F1258" s="9"/>
      <c r="G1258" s="1"/>
      <c r="H1258" s="1"/>
      <c r="I1258" s="1"/>
      <c r="J1258" s="1"/>
    </row>
    <row r="1259" spans="1:10" s="6" customFormat="1">
      <c r="A1259" s="17"/>
      <c r="C1259" s="9"/>
      <c r="D1259" s="10"/>
      <c r="E1259" s="10"/>
      <c r="F1259" s="9"/>
      <c r="G1259" s="1"/>
      <c r="H1259" s="1"/>
      <c r="I1259" s="1"/>
      <c r="J1259" s="1"/>
    </row>
    <row r="1260" spans="1:10" s="6" customFormat="1">
      <c r="A1260" s="17"/>
      <c r="C1260" s="9"/>
      <c r="D1260" s="10"/>
      <c r="E1260" s="10"/>
      <c r="F1260" s="9"/>
      <c r="G1260" s="1"/>
      <c r="H1260" s="1"/>
      <c r="I1260" s="1"/>
      <c r="J1260" s="1"/>
    </row>
    <row r="1261" spans="1:10" s="6" customFormat="1">
      <c r="A1261" s="17"/>
      <c r="C1261" s="9"/>
      <c r="D1261" s="10"/>
      <c r="E1261" s="10"/>
      <c r="F1261" s="9"/>
      <c r="G1261" s="1"/>
      <c r="H1261" s="1"/>
      <c r="I1261" s="1"/>
      <c r="J1261" s="1"/>
    </row>
    <row r="1262" spans="1:10" s="6" customFormat="1">
      <c r="A1262" s="17"/>
      <c r="C1262" s="9"/>
      <c r="D1262" s="10"/>
      <c r="E1262" s="10"/>
      <c r="F1262" s="9"/>
      <c r="G1262" s="1"/>
      <c r="H1262" s="1"/>
      <c r="I1262" s="1"/>
      <c r="J1262" s="1"/>
    </row>
    <row r="1263" spans="1:10" s="6" customFormat="1">
      <c r="A1263" s="17"/>
      <c r="C1263" s="9"/>
      <c r="D1263" s="10"/>
      <c r="E1263" s="10"/>
      <c r="F1263" s="9"/>
      <c r="G1263" s="1"/>
      <c r="H1263" s="1"/>
      <c r="I1263" s="1"/>
      <c r="J1263" s="1"/>
    </row>
    <row r="1264" spans="1:10" s="6" customFormat="1">
      <c r="A1264" s="17"/>
      <c r="C1264" s="9"/>
      <c r="D1264" s="10"/>
      <c r="E1264" s="10"/>
      <c r="F1264" s="9"/>
      <c r="G1264" s="1"/>
      <c r="H1264" s="1"/>
      <c r="I1264" s="1"/>
      <c r="J1264" s="1"/>
    </row>
    <row r="1265" spans="1:10" s="6" customFormat="1">
      <c r="A1265" s="17"/>
      <c r="C1265" s="9"/>
      <c r="D1265" s="10"/>
      <c r="E1265" s="10"/>
      <c r="F1265" s="9"/>
      <c r="G1265" s="1"/>
      <c r="H1265" s="1"/>
      <c r="I1265" s="1"/>
      <c r="J1265" s="1"/>
    </row>
    <row r="1266" spans="1:10" s="6" customFormat="1">
      <c r="A1266" s="17"/>
      <c r="C1266" s="9"/>
      <c r="D1266" s="10"/>
      <c r="E1266" s="10"/>
      <c r="F1266" s="9"/>
      <c r="G1266" s="1"/>
      <c r="H1266" s="1"/>
      <c r="I1266" s="1"/>
      <c r="J1266" s="1"/>
    </row>
    <row r="1267" spans="1:10" s="6" customFormat="1">
      <c r="A1267" s="17"/>
      <c r="C1267" s="9"/>
      <c r="D1267" s="10"/>
      <c r="E1267" s="10"/>
      <c r="F1267" s="9"/>
      <c r="G1267" s="1"/>
      <c r="H1267" s="1"/>
      <c r="I1267" s="1"/>
      <c r="J1267" s="1"/>
    </row>
    <row r="1268" spans="1:10" s="6" customFormat="1">
      <c r="A1268" s="17"/>
      <c r="C1268" s="9"/>
      <c r="D1268" s="10"/>
      <c r="E1268" s="10"/>
      <c r="F1268" s="9"/>
      <c r="G1268" s="1"/>
      <c r="H1268" s="1"/>
      <c r="I1268" s="1"/>
      <c r="J1268" s="1"/>
    </row>
    <row r="1269" spans="1:10" s="6" customFormat="1">
      <c r="A1269" s="17"/>
      <c r="C1269" s="9"/>
      <c r="D1269" s="10"/>
      <c r="E1269" s="10"/>
      <c r="F1269" s="9"/>
      <c r="G1269" s="1"/>
      <c r="H1269" s="1"/>
      <c r="I1269" s="1"/>
      <c r="J1269" s="1"/>
    </row>
    <row r="1270" spans="1:10" s="6" customFormat="1">
      <c r="A1270" s="17"/>
      <c r="C1270" s="9"/>
      <c r="D1270" s="10"/>
      <c r="E1270" s="10"/>
      <c r="F1270" s="9"/>
      <c r="G1270" s="1"/>
      <c r="H1270" s="1"/>
      <c r="I1270" s="1"/>
      <c r="J1270" s="1"/>
    </row>
    <row r="1271" spans="1:10" s="6" customFormat="1">
      <c r="A1271" s="17"/>
      <c r="C1271" s="9"/>
      <c r="D1271" s="10"/>
      <c r="E1271" s="10"/>
      <c r="F1271" s="9"/>
      <c r="G1271" s="1"/>
      <c r="H1271" s="1"/>
      <c r="I1271" s="1"/>
      <c r="J1271" s="1"/>
    </row>
    <row r="1272" spans="1:10" s="6" customFormat="1">
      <c r="A1272" s="17"/>
      <c r="C1272" s="9"/>
      <c r="D1272" s="10"/>
      <c r="E1272" s="10"/>
      <c r="F1272" s="9"/>
      <c r="G1272" s="1"/>
      <c r="H1272" s="1"/>
      <c r="I1272" s="1"/>
      <c r="J1272" s="1"/>
    </row>
    <row r="1273" spans="1:10" s="6" customFormat="1">
      <c r="A1273" s="17"/>
      <c r="C1273" s="9"/>
      <c r="D1273" s="10"/>
      <c r="E1273" s="10"/>
      <c r="F1273" s="9"/>
      <c r="G1273" s="1"/>
      <c r="H1273" s="1"/>
      <c r="I1273" s="1"/>
      <c r="J1273" s="1"/>
    </row>
    <row r="1274" spans="1:10" s="6" customFormat="1">
      <c r="A1274" s="17"/>
      <c r="C1274" s="9"/>
      <c r="D1274" s="10"/>
      <c r="E1274" s="10"/>
      <c r="F1274" s="9"/>
      <c r="G1274" s="1"/>
      <c r="H1274" s="1"/>
      <c r="I1274" s="1"/>
      <c r="J1274" s="1"/>
    </row>
    <row r="1275" spans="1:10" s="6" customFormat="1">
      <c r="A1275" s="17"/>
      <c r="C1275" s="9"/>
      <c r="D1275" s="10"/>
      <c r="E1275" s="10"/>
      <c r="F1275" s="9"/>
      <c r="G1275" s="1"/>
      <c r="H1275" s="1"/>
      <c r="I1275" s="1"/>
      <c r="J1275" s="1"/>
    </row>
    <row r="1276" spans="1:10" s="6" customFormat="1">
      <c r="A1276" s="17"/>
      <c r="C1276" s="9"/>
      <c r="D1276" s="10"/>
      <c r="E1276" s="10"/>
      <c r="F1276" s="9"/>
      <c r="G1276" s="1"/>
      <c r="H1276" s="1"/>
      <c r="I1276" s="1"/>
      <c r="J1276" s="1"/>
    </row>
    <row r="1277" spans="1:10" s="6" customFormat="1">
      <c r="A1277" s="17"/>
      <c r="C1277" s="9"/>
      <c r="D1277" s="10"/>
      <c r="E1277" s="10"/>
      <c r="F1277" s="9"/>
      <c r="G1277" s="1"/>
      <c r="H1277" s="1"/>
      <c r="I1277" s="1"/>
      <c r="J1277" s="1"/>
    </row>
    <row r="1278" spans="1:10" s="6" customFormat="1">
      <c r="A1278" s="17"/>
      <c r="C1278" s="9"/>
      <c r="D1278" s="10"/>
      <c r="E1278" s="10"/>
      <c r="F1278" s="9"/>
      <c r="G1278" s="1"/>
      <c r="H1278" s="1"/>
      <c r="I1278" s="1"/>
      <c r="J1278" s="1"/>
    </row>
    <row r="1279" spans="1:10" s="6" customFormat="1">
      <c r="A1279" s="17"/>
      <c r="C1279" s="9"/>
      <c r="D1279" s="10"/>
      <c r="E1279" s="10"/>
      <c r="F1279" s="9"/>
      <c r="G1279" s="1"/>
      <c r="H1279" s="1"/>
      <c r="I1279" s="1"/>
      <c r="J1279" s="1"/>
    </row>
    <row r="1280" spans="1:10" s="6" customFormat="1">
      <c r="A1280" s="17"/>
      <c r="C1280" s="9"/>
      <c r="D1280" s="10"/>
      <c r="E1280" s="10"/>
      <c r="F1280" s="9"/>
      <c r="G1280" s="1"/>
      <c r="H1280" s="1"/>
      <c r="I1280" s="1"/>
      <c r="J1280" s="1"/>
    </row>
    <row r="1281" spans="1:10" s="6" customFormat="1">
      <c r="A1281" s="17"/>
      <c r="C1281" s="9"/>
      <c r="D1281" s="10"/>
      <c r="E1281" s="10"/>
      <c r="F1281" s="9"/>
      <c r="G1281" s="1"/>
      <c r="H1281" s="1"/>
      <c r="I1281" s="1"/>
      <c r="J1281" s="1"/>
    </row>
    <row r="1282" spans="1:10" s="6" customFormat="1">
      <c r="A1282" s="17"/>
      <c r="C1282" s="9"/>
      <c r="D1282" s="10"/>
      <c r="E1282" s="10"/>
      <c r="F1282" s="9"/>
      <c r="G1282" s="1"/>
      <c r="H1282" s="1"/>
      <c r="I1282" s="1"/>
      <c r="J1282" s="1"/>
    </row>
    <row r="1283" spans="1:10" s="6" customFormat="1">
      <c r="A1283" s="17"/>
      <c r="C1283" s="9"/>
      <c r="D1283" s="10"/>
      <c r="E1283" s="10"/>
      <c r="F1283" s="9"/>
      <c r="G1283" s="1"/>
      <c r="H1283" s="1"/>
      <c r="I1283" s="1"/>
      <c r="J1283" s="1"/>
    </row>
    <row r="1284" spans="1:10" s="6" customFormat="1">
      <c r="A1284" s="17"/>
      <c r="C1284" s="9"/>
      <c r="D1284" s="10"/>
      <c r="E1284" s="10"/>
      <c r="F1284" s="9"/>
      <c r="G1284" s="1"/>
      <c r="H1284" s="1"/>
      <c r="I1284" s="1"/>
      <c r="J1284" s="1"/>
    </row>
    <row r="1285" spans="1:10" s="6" customFormat="1">
      <c r="A1285" s="17"/>
      <c r="C1285" s="9"/>
      <c r="D1285" s="10"/>
      <c r="E1285" s="10"/>
      <c r="F1285" s="9"/>
      <c r="G1285" s="1"/>
      <c r="H1285" s="1"/>
      <c r="I1285" s="1"/>
      <c r="J1285" s="1"/>
    </row>
    <row r="1286" spans="1:10" s="6" customFormat="1">
      <c r="A1286" s="17"/>
      <c r="C1286" s="9"/>
      <c r="D1286" s="10"/>
      <c r="E1286" s="10"/>
      <c r="F1286" s="9"/>
      <c r="G1286" s="1"/>
      <c r="H1286" s="1"/>
      <c r="I1286" s="1"/>
      <c r="J1286" s="1"/>
    </row>
    <row r="1287" spans="1:10" s="6" customFormat="1">
      <c r="A1287" s="17"/>
      <c r="C1287" s="9"/>
      <c r="D1287" s="10"/>
      <c r="E1287" s="10"/>
      <c r="F1287" s="9"/>
      <c r="G1287" s="1"/>
      <c r="H1287" s="1"/>
      <c r="I1287" s="1"/>
      <c r="J1287" s="1"/>
    </row>
    <row r="1288" spans="1:10" s="6" customFormat="1">
      <c r="A1288" s="17"/>
      <c r="C1288" s="9"/>
      <c r="D1288" s="10"/>
      <c r="E1288" s="10"/>
      <c r="F1288" s="9"/>
      <c r="G1288" s="1"/>
      <c r="H1288" s="1"/>
      <c r="I1288" s="1"/>
      <c r="J1288" s="1"/>
    </row>
    <row r="1289" spans="1:10" s="6" customFormat="1">
      <c r="A1289" s="17"/>
      <c r="C1289" s="9"/>
      <c r="D1289" s="10"/>
      <c r="E1289" s="10"/>
      <c r="F1289" s="9"/>
      <c r="G1289" s="1"/>
      <c r="H1289" s="1"/>
      <c r="I1289" s="1"/>
      <c r="J1289" s="1"/>
    </row>
    <row r="1290" spans="1:10" s="6" customFormat="1">
      <c r="A1290" s="17"/>
      <c r="C1290" s="9"/>
      <c r="D1290" s="10"/>
      <c r="E1290" s="10"/>
      <c r="F1290" s="9"/>
      <c r="G1290" s="1"/>
      <c r="H1290" s="1"/>
      <c r="I1290" s="1"/>
      <c r="J1290" s="1"/>
    </row>
    <row r="1291" spans="1:10" s="6" customFormat="1">
      <c r="A1291" s="17"/>
      <c r="C1291" s="9"/>
      <c r="D1291" s="10"/>
      <c r="E1291" s="10"/>
      <c r="F1291" s="9"/>
      <c r="G1291" s="1"/>
      <c r="H1291" s="1"/>
      <c r="I1291" s="1"/>
      <c r="J1291" s="1"/>
    </row>
    <row r="1292" spans="1:10" s="6" customFormat="1">
      <c r="A1292" s="17"/>
      <c r="C1292" s="9"/>
      <c r="D1292" s="10"/>
      <c r="E1292" s="10"/>
      <c r="F1292" s="9"/>
      <c r="G1292" s="1"/>
      <c r="H1292" s="1"/>
      <c r="I1292" s="1"/>
      <c r="J1292" s="1"/>
    </row>
    <row r="1293" spans="1:10" s="6" customFormat="1">
      <c r="A1293" s="17"/>
      <c r="C1293" s="9"/>
      <c r="D1293" s="10"/>
      <c r="E1293" s="10"/>
      <c r="F1293" s="9"/>
      <c r="G1293" s="1"/>
      <c r="H1293" s="1"/>
      <c r="I1293" s="1"/>
      <c r="J1293" s="1"/>
    </row>
    <row r="1294" spans="1:10" s="6" customFormat="1">
      <c r="A1294" s="17"/>
      <c r="C1294" s="9"/>
      <c r="D1294" s="10"/>
      <c r="E1294" s="10"/>
      <c r="F1294" s="9"/>
      <c r="G1294" s="1"/>
      <c r="H1294" s="1"/>
      <c r="I1294" s="1"/>
      <c r="J1294" s="1"/>
    </row>
    <row r="1295" spans="1:10" s="6" customFormat="1">
      <c r="A1295" s="17"/>
      <c r="C1295" s="9"/>
      <c r="D1295" s="10"/>
      <c r="E1295" s="10"/>
      <c r="F1295" s="9"/>
      <c r="G1295" s="1"/>
      <c r="H1295" s="1"/>
      <c r="I1295" s="1"/>
      <c r="J1295" s="1"/>
    </row>
    <row r="1296" spans="1:10" s="6" customFormat="1">
      <c r="A1296" s="17"/>
      <c r="C1296" s="9"/>
      <c r="D1296" s="10"/>
      <c r="E1296" s="10"/>
      <c r="F1296" s="9"/>
      <c r="G1296" s="1"/>
      <c r="H1296" s="1"/>
      <c r="I1296" s="1"/>
      <c r="J1296" s="1"/>
    </row>
    <row r="1297" spans="1:10" s="6" customFormat="1">
      <c r="A1297" s="17"/>
      <c r="C1297" s="9"/>
      <c r="D1297" s="10"/>
      <c r="E1297" s="10"/>
      <c r="F1297" s="9"/>
      <c r="G1297" s="1"/>
      <c r="H1297" s="1"/>
      <c r="I1297" s="1"/>
      <c r="J1297" s="1"/>
    </row>
    <row r="1298" spans="1:10" s="6" customFormat="1">
      <c r="A1298" s="17"/>
      <c r="C1298" s="9"/>
      <c r="D1298" s="10"/>
      <c r="E1298" s="10"/>
      <c r="F1298" s="9"/>
      <c r="G1298" s="1"/>
      <c r="H1298" s="1"/>
      <c r="I1298" s="1"/>
      <c r="J1298" s="1"/>
    </row>
    <row r="1299" spans="1:10" s="6" customFormat="1">
      <c r="A1299" s="17"/>
      <c r="C1299" s="9"/>
      <c r="D1299" s="10"/>
      <c r="E1299" s="10"/>
      <c r="F1299" s="9"/>
      <c r="G1299" s="1"/>
      <c r="H1299" s="1"/>
      <c r="I1299" s="1"/>
      <c r="J1299" s="1"/>
    </row>
    <row r="1300" spans="1:10" s="6" customFormat="1">
      <c r="A1300" s="17"/>
      <c r="C1300" s="9"/>
      <c r="D1300" s="10"/>
      <c r="E1300" s="10"/>
      <c r="F1300" s="9"/>
      <c r="G1300" s="1"/>
      <c r="H1300" s="1"/>
      <c r="I1300" s="1"/>
      <c r="J1300" s="1"/>
    </row>
    <row r="1301" spans="1:10" s="6" customFormat="1">
      <c r="A1301" s="17"/>
      <c r="C1301" s="9"/>
      <c r="D1301" s="10"/>
      <c r="E1301" s="10"/>
      <c r="F1301" s="9"/>
      <c r="G1301" s="1"/>
      <c r="H1301" s="1"/>
      <c r="I1301" s="1"/>
      <c r="J1301" s="1"/>
    </row>
    <row r="1302" spans="1:10" s="6" customFormat="1">
      <c r="A1302" s="17"/>
      <c r="C1302" s="9"/>
      <c r="D1302" s="10"/>
      <c r="E1302" s="10"/>
      <c r="F1302" s="9"/>
      <c r="G1302" s="1"/>
      <c r="H1302" s="1"/>
      <c r="I1302" s="1"/>
      <c r="J1302" s="1"/>
    </row>
    <row r="1303" spans="1:10" s="6" customFormat="1">
      <c r="A1303" s="17"/>
      <c r="C1303" s="9"/>
      <c r="D1303" s="10"/>
      <c r="E1303" s="10"/>
      <c r="F1303" s="9"/>
      <c r="G1303" s="1"/>
      <c r="H1303" s="1"/>
      <c r="I1303" s="1"/>
      <c r="J1303" s="1"/>
    </row>
    <row r="1304" spans="1:10" s="6" customFormat="1">
      <c r="A1304" s="17"/>
      <c r="C1304" s="9"/>
      <c r="D1304" s="10"/>
      <c r="E1304" s="10"/>
      <c r="F1304" s="9"/>
      <c r="G1304" s="1"/>
      <c r="H1304" s="1"/>
      <c r="I1304" s="1"/>
      <c r="J1304" s="1"/>
    </row>
    <row r="1305" spans="1:10" s="6" customFormat="1">
      <c r="A1305" s="17"/>
      <c r="C1305" s="9"/>
      <c r="D1305" s="10"/>
      <c r="E1305" s="10"/>
      <c r="F1305" s="9"/>
      <c r="G1305" s="1"/>
      <c r="H1305" s="1"/>
      <c r="I1305" s="1"/>
      <c r="J1305" s="1"/>
    </row>
    <row r="1306" spans="1:10" s="6" customFormat="1">
      <c r="A1306" s="17"/>
      <c r="C1306" s="9"/>
      <c r="D1306" s="10"/>
      <c r="E1306" s="10"/>
      <c r="F1306" s="9"/>
      <c r="G1306" s="1"/>
      <c r="H1306" s="1"/>
      <c r="I1306" s="1"/>
      <c r="J1306" s="1"/>
    </row>
    <row r="1307" spans="1:10" s="6" customFormat="1">
      <c r="A1307" s="17"/>
      <c r="C1307" s="9"/>
      <c r="D1307" s="10"/>
      <c r="E1307" s="10"/>
      <c r="F1307" s="9"/>
      <c r="G1307" s="1"/>
      <c r="H1307" s="1"/>
      <c r="I1307" s="1"/>
      <c r="J1307" s="1"/>
    </row>
    <row r="1308" spans="1:10" s="6" customFormat="1">
      <c r="A1308" s="17"/>
      <c r="C1308" s="9"/>
      <c r="D1308" s="10"/>
      <c r="E1308" s="10"/>
      <c r="F1308" s="9"/>
      <c r="G1308" s="1"/>
      <c r="H1308" s="1"/>
      <c r="I1308" s="1"/>
      <c r="J1308" s="1"/>
    </row>
    <row r="1309" spans="1:10" s="6" customFormat="1">
      <c r="A1309" s="17"/>
      <c r="C1309" s="9"/>
      <c r="D1309" s="10"/>
      <c r="E1309" s="10"/>
      <c r="F1309" s="9"/>
      <c r="G1309" s="1"/>
      <c r="H1309" s="1"/>
      <c r="I1309" s="1"/>
      <c r="J1309" s="1"/>
    </row>
    <row r="1310" spans="1:10" s="6" customFormat="1">
      <c r="A1310" s="17"/>
      <c r="C1310" s="9"/>
      <c r="D1310" s="10"/>
      <c r="E1310" s="10"/>
      <c r="F1310" s="9"/>
      <c r="G1310" s="1"/>
      <c r="H1310" s="1"/>
      <c r="I1310" s="1"/>
      <c r="J1310" s="1"/>
    </row>
    <row r="1311" spans="1:10" s="6" customFormat="1">
      <c r="A1311" s="17"/>
      <c r="C1311" s="9"/>
      <c r="D1311" s="10"/>
      <c r="E1311" s="10"/>
      <c r="F1311" s="9"/>
      <c r="G1311" s="1"/>
      <c r="H1311" s="1"/>
      <c r="I1311" s="1"/>
      <c r="J1311" s="1"/>
    </row>
    <row r="1312" spans="1:10" s="6" customFormat="1">
      <c r="A1312" s="17"/>
      <c r="C1312" s="9"/>
      <c r="D1312" s="10"/>
      <c r="E1312" s="10"/>
      <c r="F1312" s="9"/>
      <c r="G1312" s="1"/>
      <c r="H1312" s="1"/>
      <c r="I1312" s="1"/>
      <c r="J1312" s="1"/>
    </row>
    <row r="1313" spans="1:10" s="6" customFormat="1">
      <c r="A1313" s="17"/>
      <c r="C1313" s="9"/>
      <c r="D1313" s="10"/>
      <c r="E1313" s="10"/>
      <c r="F1313" s="9"/>
      <c r="G1313" s="1"/>
      <c r="H1313" s="1"/>
      <c r="I1313" s="1"/>
      <c r="J1313" s="1"/>
    </row>
    <row r="1314" spans="1:10" s="6" customFormat="1">
      <c r="A1314" s="17"/>
      <c r="C1314" s="9"/>
      <c r="D1314" s="10"/>
      <c r="E1314" s="10"/>
      <c r="F1314" s="9"/>
      <c r="G1314" s="1"/>
      <c r="H1314" s="1"/>
      <c r="I1314" s="1"/>
      <c r="J1314" s="1"/>
    </row>
    <row r="1315" spans="1:10" s="6" customFormat="1">
      <c r="A1315" s="17"/>
      <c r="C1315" s="9"/>
      <c r="D1315" s="10"/>
      <c r="E1315" s="10"/>
      <c r="F1315" s="9"/>
      <c r="G1315" s="1"/>
      <c r="H1315" s="1"/>
      <c r="I1315" s="1"/>
      <c r="J1315" s="1"/>
    </row>
    <row r="1316" spans="1:10" s="6" customFormat="1">
      <c r="A1316" s="17"/>
      <c r="C1316" s="9"/>
      <c r="D1316" s="10"/>
      <c r="E1316" s="10"/>
      <c r="F1316" s="9"/>
      <c r="G1316" s="1"/>
      <c r="H1316" s="1"/>
      <c r="I1316" s="1"/>
      <c r="J1316" s="1"/>
    </row>
    <row r="1317" spans="1:10" s="6" customFormat="1">
      <c r="A1317" s="17"/>
      <c r="C1317" s="9"/>
      <c r="D1317" s="10"/>
      <c r="E1317" s="10"/>
      <c r="F1317" s="9"/>
      <c r="G1317" s="1"/>
      <c r="H1317" s="1"/>
      <c r="I1317" s="1"/>
      <c r="J1317" s="1"/>
    </row>
    <row r="1318" spans="1:10" s="6" customFormat="1">
      <c r="A1318" s="17"/>
      <c r="C1318" s="9"/>
      <c r="D1318" s="10"/>
      <c r="E1318" s="10"/>
      <c r="F1318" s="9"/>
      <c r="G1318" s="1"/>
      <c r="H1318" s="1"/>
      <c r="I1318" s="1"/>
      <c r="J1318" s="1"/>
    </row>
    <row r="1319" spans="1:10" s="6" customFormat="1">
      <c r="A1319" s="17"/>
      <c r="C1319" s="9"/>
      <c r="D1319" s="10"/>
      <c r="E1319" s="10"/>
      <c r="F1319" s="9"/>
      <c r="G1319" s="1"/>
      <c r="H1319" s="1"/>
      <c r="I1319" s="1"/>
      <c r="J1319" s="1"/>
    </row>
    <row r="1320" spans="1:10" s="6" customFormat="1">
      <c r="A1320" s="17"/>
      <c r="C1320" s="9"/>
      <c r="D1320" s="10"/>
      <c r="E1320" s="10"/>
      <c r="F1320" s="9"/>
      <c r="G1320" s="1"/>
      <c r="H1320" s="1"/>
      <c r="I1320" s="1"/>
      <c r="J1320" s="1"/>
    </row>
    <row r="1321" spans="1:10" s="6" customFormat="1">
      <c r="A1321" s="17"/>
      <c r="C1321" s="9"/>
      <c r="D1321" s="10"/>
      <c r="E1321" s="10"/>
      <c r="F1321" s="9"/>
      <c r="G1321" s="1"/>
      <c r="H1321" s="1"/>
      <c r="I1321" s="1"/>
      <c r="J1321" s="1"/>
    </row>
    <row r="1322" spans="1:10" s="6" customFormat="1">
      <c r="A1322" s="17"/>
      <c r="C1322" s="9"/>
      <c r="D1322" s="10"/>
      <c r="E1322" s="10"/>
      <c r="F1322" s="9"/>
      <c r="G1322" s="1"/>
      <c r="H1322" s="1"/>
      <c r="I1322" s="1"/>
      <c r="J1322" s="1"/>
    </row>
    <row r="1323" spans="1:10" s="6" customFormat="1">
      <c r="A1323" s="17"/>
      <c r="C1323" s="9"/>
      <c r="D1323" s="10"/>
      <c r="E1323" s="10"/>
      <c r="F1323" s="9"/>
      <c r="G1323" s="1"/>
      <c r="H1323" s="1"/>
      <c r="I1323" s="1"/>
      <c r="J1323" s="1"/>
    </row>
    <row r="1324" spans="1:10" s="6" customFormat="1">
      <c r="A1324" s="17"/>
      <c r="C1324" s="9"/>
      <c r="D1324" s="10"/>
      <c r="E1324" s="10"/>
      <c r="F1324" s="9"/>
      <c r="G1324" s="1"/>
      <c r="H1324" s="1"/>
      <c r="I1324" s="1"/>
      <c r="J1324" s="1"/>
    </row>
    <row r="1325" spans="1:10" s="6" customFormat="1">
      <c r="A1325" s="17"/>
      <c r="C1325" s="9"/>
      <c r="D1325" s="10"/>
      <c r="E1325" s="10"/>
      <c r="F1325" s="9"/>
      <c r="G1325" s="1"/>
      <c r="H1325" s="1"/>
      <c r="I1325" s="1"/>
      <c r="J1325" s="1"/>
    </row>
    <row r="1326" spans="1:10" s="6" customFormat="1">
      <c r="A1326" s="17"/>
      <c r="C1326" s="9"/>
      <c r="D1326" s="10"/>
      <c r="E1326" s="10"/>
      <c r="F1326" s="9"/>
      <c r="G1326" s="1"/>
      <c r="H1326" s="1"/>
      <c r="I1326" s="1"/>
      <c r="J1326" s="1"/>
    </row>
    <row r="1327" spans="1:10" s="6" customFormat="1">
      <c r="A1327" s="17"/>
      <c r="C1327" s="9"/>
      <c r="D1327" s="10"/>
      <c r="E1327" s="10"/>
      <c r="F1327" s="9"/>
      <c r="G1327" s="1"/>
      <c r="H1327" s="1"/>
      <c r="I1327" s="1"/>
      <c r="J1327" s="1"/>
    </row>
    <row r="1328" spans="1:10" s="6" customFormat="1">
      <c r="A1328" s="17"/>
      <c r="C1328" s="9"/>
      <c r="D1328" s="10"/>
      <c r="E1328" s="10"/>
      <c r="F1328" s="9"/>
      <c r="G1328" s="1"/>
      <c r="H1328" s="1"/>
      <c r="I1328" s="1"/>
      <c r="J1328" s="1"/>
    </row>
    <row r="1329" spans="1:10" s="6" customFormat="1">
      <c r="A1329" s="17"/>
      <c r="C1329" s="9"/>
      <c r="D1329" s="10"/>
      <c r="E1329" s="10"/>
      <c r="F1329" s="9"/>
      <c r="G1329" s="1"/>
      <c r="H1329" s="1"/>
      <c r="I1329" s="1"/>
      <c r="J1329" s="1"/>
    </row>
    <row r="1330" spans="1:10" s="6" customFormat="1">
      <c r="A1330" s="17"/>
      <c r="C1330" s="9"/>
      <c r="D1330" s="10"/>
      <c r="E1330" s="10"/>
      <c r="F1330" s="9"/>
      <c r="G1330" s="1"/>
      <c r="H1330" s="1"/>
      <c r="I1330" s="1"/>
      <c r="J1330" s="1"/>
    </row>
    <row r="1331" spans="1:10" s="6" customFormat="1">
      <c r="A1331" s="17"/>
      <c r="C1331" s="9"/>
      <c r="D1331" s="10"/>
      <c r="E1331" s="10"/>
      <c r="F1331" s="9"/>
      <c r="G1331" s="1"/>
      <c r="H1331" s="1"/>
      <c r="I1331" s="1"/>
      <c r="J1331" s="1"/>
    </row>
    <row r="1332" spans="1:10" s="6" customFormat="1">
      <c r="A1332" s="17"/>
      <c r="C1332" s="9"/>
      <c r="D1332" s="10"/>
      <c r="E1332" s="10"/>
      <c r="F1332" s="9"/>
      <c r="G1332" s="1"/>
      <c r="H1332" s="1"/>
      <c r="I1332" s="1"/>
      <c r="J1332" s="1"/>
    </row>
    <row r="1333" spans="1:10" s="6" customFormat="1">
      <c r="A1333" s="17"/>
      <c r="C1333" s="9"/>
      <c r="D1333" s="10"/>
      <c r="E1333" s="10"/>
      <c r="F1333" s="9"/>
      <c r="G1333" s="1"/>
      <c r="H1333" s="1"/>
      <c r="I1333" s="1"/>
      <c r="J1333" s="1"/>
    </row>
    <row r="1334" spans="1:10" s="6" customFormat="1">
      <c r="A1334" s="17"/>
      <c r="C1334" s="9"/>
      <c r="D1334" s="10"/>
      <c r="E1334" s="10"/>
      <c r="F1334" s="9"/>
      <c r="G1334" s="1"/>
      <c r="H1334" s="1"/>
      <c r="I1334" s="1"/>
      <c r="J1334" s="1"/>
    </row>
    <row r="1335" spans="1:10" s="6" customFormat="1">
      <c r="A1335" s="17"/>
      <c r="C1335" s="9"/>
      <c r="D1335" s="10"/>
      <c r="E1335" s="10"/>
      <c r="F1335" s="9"/>
      <c r="G1335" s="1"/>
      <c r="H1335" s="1"/>
      <c r="I1335" s="1"/>
      <c r="J1335" s="1"/>
    </row>
    <row r="1336" spans="1:10" s="6" customFormat="1">
      <c r="A1336" s="17"/>
      <c r="C1336" s="9"/>
      <c r="D1336" s="10"/>
      <c r="E1336" s="10"/>
      <c r="F1336" s="9"/>
      <c r="G1336" s="1"/>
      <c r="H1336" s="1"/>
      <c r="I1336" s="1"/>
      <c r="J1336" s="1"/>
    </row>
    <row r="1337" spans="1:10" s="6" customFormat="1">
      <c r="A1337" s="17"/>
      <c r="C1337" s="9"/>
      <c r="D1337" s="10"/>
      <c r="E1337" s="10"/>
      <c r="F1337" s="9"/>
      <c r="G1337" s="1"/>
      <c r="H1337" s="1"/>
      <c r="I1337" s="1"/>
      <c r="J1337" s="1"/>
    </row>
    <row r="1338" spans="1:10" s="6" customFormat="1">
      <c r="A1338" s="17"/>
      <c r="C1338" s="9"/>
      <c r="D1338" s="10"/>
      <c r="E1338" s="10"/>
      <c r="F1338" s="9"/>
      <c r="G1338" s="1"/>
      <c r="H1338" s="1"/>
      <c r="I1338" s="1"/>
      <c r="J1338" s="1"/>
    </row>
    <row r="1339" spans="1:10" s="6" customFormat="1">
      <c r="A1339" s="17"/>
      <c r="C1339" s="9"/>
      <c r="D1339" s="10"/>
      <c r="E1339" s="10"/>
      <c r="F1339" s="9"/>
      <c r="G1339" s="1"/>
      <c r="H1339" s="1"/>
      <c r="I1339" s="1"/>
      <c r="J1339" s="1"/>
    </row>
    <row r="1340" spans="1:10" s="6" customFormat="1">
      <c r="A1340" s="17"/>
      <c r="C1340" s="9"/>
      <c r="D1340" s="10"/>
      <c r="E1340" s="10"/>
      <c r="F1340" s="9"/>
      <c r="G1340" s="1"/>
      <c r="H1340" s="1"/>
      <c r="I1340" s="1"/>
      <c r="J1340" s="1"/>
    </row>
    <row r="1341" spans="1:10" s="6" customFormat="1">
      <c r="A1341" s="17"/>
      <c r="C1341" s="9"/>
      <c r="D1341" s="10"/>
      <c r="E1341" s="10"/>
      <c r="F1341" s="9"/>
      <c r="G1341" s="1"/>
      <c r="H1341" s="1"/>
      <c r="I1341" s="1"/>
      <c r="J1341" s="1"/>
    </row>
    <row r="1342" spans="1:10" s="6" customFormat="1">
      <c r="A1342" s="17"/>
      <c r="C1342" s="9"/>
      <c r="D1342" s="10"/>
      <c r="E1342" s="10"/>
      <c r="F1342" s="9"/>
      <c r="G1342" s="1"/>
      <c r="H1342" s="1"/>
      <c r="I1342" s="1"/>
      <c r="J1342" s="1"/>
    </row>
    <row r="1343" spans="1:10" s="6" customFormat="1">
      <c r="A1343" s="17"/>
      <c r="C1343" s="9"/>
      <c r="D1343" s="10"/>
      <c r="E1343" s="10"/>
      <c r="F1343" s="9"/>
      <c r="G1343" s="1"/>
      <c r="H1343" s="1"/>
      <c r="I1343" s="1"/>
      <c r="J1343" s="1"/>
    </row>
    <row r="1344" spans="1:10" s="6" customFormat="1">
      <c r="A1344" s="17"/>
      <c r="C1344" s="9"/>
      <c r="D1344" s="10"/>
      <c r="E1344" s="10"/>
      <c r="F1344" s="9"/>
      <c r="G1344" s="1"/>
      <c r="H1344" s="1"/>
      <c r="I1344" s="1"/>
      <c r="J1344" s="1"/>
    </row>
    <row r="1345" spans="1:10" s="6" customFormat="1">
      <c r="A1345" s="17"/>
      <c r="C1345" s="9"/>
      <c r="D1345" s="10"/>
      <c r="E1345" s="10"/>
      <c r="F1345" s="9"/>
      <c r="G1345" s="1"/>
      <c r="H1345" s="1"/>
      <c r="I1345" s="1"/>
      <c r="J1345" s="1"/>
    </row>
    <row r="1346" spans="1:10" s="6" customFormat="1">
      <c r="A1346" s="17"/>
      <c r="C1346" s="9"/>
      <c r="D1346" s="10"/>
      <c r="E1346" s="10"/>
      <c r="F1346" s="9"/>
      <c r="G1346" s="1"/>
      <c r="H1346" s="1"/>
      <c r="I1346" s="1"/>
      <c r="J1346" s="1"/>
    </row>
    <row r="1347" spans="1:10" s="6" customFormat="1">
      <c r="A1347" s="17"/>
      <c r="C1347" s="9"/>
      <c r="D1347" s="10"/>
      <c r="E1347" s="10"/>
      <c r="F1347" s="9"/>
      <c r="G1347" s="1"/>
      <c r="H1347" s="1"/>
      <c r="I1347" s="1"/>
      <c r="J1347" s="1"/>
    </row>
    <row r="1348" spans="1:10" s="6" customFormat="1">
      <c r="A1348" s="17"/>
      <c r="C1348" s="9"/>
      <c r="D1348" s="10"/>
      <c r="E1348" s="10"/>
      <c r="F1348" s="9"/>
      <c r="G1348" s="1"/>
      <c r="H1348" s="1"/>
      <c r="I1348" s="1"/>
      <c r="J1348" s="1"/>
    </row>
    <row r="1349" spans="1:10" s="6" customFormat="1">
      <c r="A1349" s="17"/>
      <c r="C1349" s="9"/>
      <c r="D1349" s="10"/>
      <c r="E1349" s="10"/>
      <c r="F1349" s="9"/>
      <c r="G1349" s="1"/>
      <c r="H1349" s="1"/>
      <c r="I1349" s="1"/>
      <c r="J1349" s="1"/>
    </row>
    <row r="1350" spans="1:10" s="6" customFormat="1">
      <c r="A1350" s="17"/>
      <c r="C1350" s="9"/>
      <c r="D1350" s="10"/>
      <c r="E1350" s="10"/>
      <c r="F1350" s="9"/>
      <c r="G1350" s="1"/>
      <c r="H1350" s="1"/>
      <c r="I1350" s="1"/>
      <c r="J1350" s="1"/>
    </row>
    <row r="1351" spans="1:10" s="6" customFormat="1">
      <c r="A1351" s="17"/>
      <c r="C1351" s="9"/>
      <c r="D1351" s="10"/>
      <c r="E1351" s="10"/>
      <c r="F1351" s="9"/>
      <c r="G1351" s="1"/>
      <c r="H1351" s="1"/>
      <c r="I1351" s="1"/>
      <c r="J1351" s="1"/>
    </row>
    <row r="1352" spans="1:10" s="6" customFormat="1">
      <c r="A1352" s="17"/>
      <c r="C1352" s="9"/>
      <c r="D1352" s="10"/>
      <c r="E1352" s="10"/>
      <c r="F1352" s="9"/>
      <c r="G1352" s="1"/>
      <c r="H1352" s="1"/>
      <c r="I1352" s="1"/>
      <c r="J1352" s="1"/>
    </row>
    <row r="1353" spans="1:10" s="6" customFormat="1">
      <c r="A1353" s="17"/>
      <c r="C1353" s="9"/>
      <c r="D1353" s="10"/>
      <c r="E1353" s="10"/>
      <c r="F1353" s="9"/>
      <c r="G1353" s="1"/>
      <c r="H1353" s="1"/>
      <c r="I1353" s="1"/>
      <c r="J1353" s="1"/>
    </row>
    <row r="1354" spans="1:10" s="6" customFormat="1">
      <c r="A1354" s="17"/>
      <c r="C1354" s="9"/>
      <c r="D1354" s="10"/>
      <c r="E1354" s="10"/>
      <c r="F1354" s="9"/>
      <c r="G1354" s="1"/>
      <c r="H1354" s="1"/>
      <c r="I1354" s="1"/>
      <c r="J1354" s="1"/>
    </row>
    <row r="1355" spans="1:10" s="6" customFormat="1">
      <c r="A1355" s="17"/>
      <c r="C1355" s="9"/>
      <c r="D1355" s="10"/>
      <c r="E1355" s="10"/>
      <c r="F1355" s="9"/>
      <c r="G1355" s="1"/>
      <c r="H1355" s="1"/>
      <c r="I1355" s="1"/>
      <c r="J1355" s="1"/>
    </row>
    <row r="1356" spans="1:10" s="6" customFormat="1">
      <c r="A1356" s="17"/>
      <c r="C1356" s="9"/>
      <c r="D1356" s="10"/>
      <c r="E1356" s="10"/>
      <c r="F1356" s="9"/>
      <c r="G1356" s="1"/>
      <c r="H1356" s="1"/>
      <c r="I1356" s="1"/>
      <c r="J1356" s="1"/>
    </row>
    <row r="1357" spans="1:10" s="6" customFormat="1">
      <c r="A1357" s="17"/>
      <c r="C1357" s="9"/>
      <c r="D1357" s="10"/>
      <c r="E1357" s="10"/>
      <c r="F1357" s="9"/>
      <c r="G1357" s="1"/>
      <c r="H1357" s="1"/>
      <c r="I1357" s="1"/>
      <c r="J1357" s="1"/>
    </row>
    <row r="1358" spans="1:10" s="6" customFormat="1">
      <c r="A1358" s="17"/>
      <c r="C1358" s="9"/>
      <c r="D1358" s="10"/>
      <c r="E1358" s="10"/>
      <c r="F1358" s="9"/>
      <c r="G1358" s="1"/>
      <c r="H1358" s="1"/>
      <c r="I1358" s="1"/>
      <c r="J1358" s="1"/>
    </row>
    <row r="1359" spans="1:10" s="6" customFormat="1">
      <c r="A1359" s="17"/>
      <c r="C1359" s="9"/>
      <c r="D1359" s="10"/>
      <c r="E1359" s="10"/>
      <c r="F1359" s="9"/>
      <c r="G1359" s="1"/>
      <c r="H1359" s="1"/>
      <c r="I1359" s="1"/>
      <c r="J1359" s="1"/>
    </row>
    <row r="1360" spans="1:10" s="6" customFormat="1">
      <c r="A1360" s="17"/>
      <c r="C1360" s="9"/>
      <c r="D1360" s="10"/>
      <c r="E1360" s="10"/>
      <c r="F1360" s="9"/>
      <c r="G1360" s="1"/>
      <c r="H1360" s="1"/>
      <c r="I1360" s="1"/>
      <c r="J1360" s="1"/>
    </row>
    <row r="1361" spans="1:10" s="6" customFormat="1">
      <c r="A1361" s="17"/>
      <c r="C1361" s="9"/>
      <c r="D1361" s="10"/>
      <c r="E1361" s="10"/>
      <c r="F1361" s="9"/>
      <c r="G1361" s="1"/>
      <c r="H1361" s="1"/>
      <c r="I1361" s="1"/>
      <c r="J1361" s="1"/>
    </row>
    <row r="1362" spans="1:10" s="6" customFormat="1">
      <c r="A1362" s="17"/>
      <c r="C1362" s="9"/>
      <c r="D1362" s="10"/>
      <c r="E1362" s="10"/>
      <c r="F1362" s="9"/>
      <c r="G1362" s="1"/>
      <c r="H1362" s="1"/>
      <c r="I1362" s="1"/>
      <c r="J1362" s="1"/>
    </row>
    <row r="1363" spans="1:10" s="6" customFormat="1">
      <c r="A1363" s="17"/>
      <c r="C1363" s="9"/>
      <c r="D1363" s="10"/>
      <c r="E1363" s="10"/>
      <c r="F1363" s="9"/>
      <c r="G1363" s="1"/>
      <c r="H1363" s="1"/>
      <c r="I1363" s="1"/>
      <c r="J1363" s="1"/>
    </row>
    <row r="1364" spans="1:10" s="6" customFormat="1">
      <c r="A1364" s="17"/>
      <c r="C1364" s="9"/>
      <c r="D1364" s="10"/>
      <c r="E1364" s="10"/>
      <c r="F1364" s="9"/>
      <c r="G1364" s="1"/>
      <c r="H1364" s="1"/>
      <c r="I1364" s="1"/>
      <c r="J1364" s="1"/>
    </row>
    <row r="1365" spans="1:10" s="6" customFormat="1">
      <c r="A1365" s="17"/>
      <c r="C1365" s="9"/>
      <c r="D1365" s="10"/>
      <c r="E1365" s="10"/>
      <c r="F1365" s="9"/>
      <c r="G1365" s="1"/>
      <c r="H1365" s="1"/>
      <c r="I1365" s="1"/>
      <c r="J1365" s="1"/>
    </row>
    <row r="1366" spans="1:10" s="6" customFormat="1">
      <c r="A1366" s="17"/>
      <c r="C1366" s="9"/>
      <c r="D1366" s="10"/>
      <c r="E1366" s="10"/>
      <c r="F1366" s="9"/>
      <c r="G1366" s="1"/>
      <c r="H1366" s="1"/>
      <c r="I1366" s="1"/>
      <c r="J1366" s="1"/>
    </row>
    <row r="1367" spans="1:10" s="6" customFormat="1">
      <c r="A1367" s="17"/>
      <c r="C1367" s="9"/>
      <c r="D1367" s="10"/>
      <c r="E1367" s="10"/>
      <c r="F1367" s="9"/>
      <c r="G1367" s="1"/>
      <c r="H1367" s="1"/>
      <c r="I1367" s="1"/>
      <c r="J1367" s="1"/>
    </row>
    <row r="1368" spans="1:10" s="6" customFormat="1">
      <c r="A1368" s="17"/>
      <c r="C1368" s="9"/>
      <c r="D1368" s="10"/>
      <c r="E1368" s="10"/>
      <c r="F1368" s="9"/>
      <c r="G1368" s="1"/>
      <c r="H1368" s="1"/>
      <c r="I1368" s="1"/>
      <c r="J1368" s="1"/>
    </row>
    <row r="1369" spans="1:10" s="6" customFormat="1">
      <c r="A1369" s="17"/>
      <c r="C1369" s="9"/>
      <c r="D1369" s="10"/>
      <c r="E1369" s="10"/>
      <c r="F1369" s="9"/>
      <c r="G1369" s="1"/>
      <c r="H1369" s="1"/>
      <c r="I1369" s="1"/>
      <c r="J1369" s="1"/>
    </row>
    <row r="1370" spans="1:10" s="6" customFormat="1">
      <c r="A1370" s="17"/>
      <c r="C1370" s="9"/>
      <c r="D1370" s="10"/>
      <c r="E1370" s="10"/>
      <c r="F1370" s="9"/>
      <c r="G1370" s="1"/>
      <c r="H1370" s="1"/>
      <c r="I1370" s="1"/>
      <c r="J1370" s="1"/>
    </row>
    <row r="1371" spans="1:10" s="6" customFormat="1">
      <c r="A1371" s="17"/>
      <c r="C1371" s="9"/>
      <c r="D1371" s="10"/>
      <c r="E1371" s="10"/>
      <c r="F1371" s="9"/>
      <c r="G1371" s="1"/>
      <c r="H1371" s="1"/>
      <c r="I1371" s="1"/>
      <c r="J1371" s="1"/>
    </row>
    <row r="1372" spans="1:10" s="6" customFormat="1">
      <c r="A1372" s="17"/>
      <c r="C1372" s="9"/>
      <c r="D1372" s="10"/>
      <c r="E1372" s="10"/>
      <c r="F1372" s="9"/>
      <c r="G1372" s="1"/>
      <c r="H1372" s="1"/>
      <c r="I1372" s="1"/>
      <c r="J1372" s="1"/>
    </row>
    <row r="1373" spans="1:10" s="6" customFormat="1">
      <c r="A1373" s="17"/>
      <c r="C1373" s="9"/>
      <c r="D1373" s="10"/>
      <c r="E1373" s="10"/>
      <c r="F1373" s="9"/>
      <c r="G1373" s="1"/>
      <c r="H1373" s="1"/>
      <c r="I1373" s="1"/>
      <c r="J1373" s="1"/>
    </row>
    <row r="1374" spans="1:10" s="6" customFormat="1">
      <c r="A1374" s="17"/>
      <c r="C1374" s="9"/>
      <c r="D1374" s="10"/>
      <c r="E1374" s="10"/>
      <c r="F1374" s="9"/>
      <c r="G1374" s="1"/>
      <c r="H1374" s="1"/>
      <c r="I1374" s="1"/>
      <c r="J1374" s="1"/>
    </row>
    <row r="1375" spans="1:10" s="6" customFormat="1">
      <c r="A1375" s="17"/>
      <c r="C1375" s="9"/>
      <c r="D1375" s="10"/>
      <c r="E1375" s="10"/>
      <c r="F1375" s="9"/>
      <c r="G1375" s="1"/>
      <c r="H1375" s="1"/>
      <c r="I1375" s="1"/>
      <c r="J1375" s="1"/>
    </row>
    <row r="1376" spans="1:10" s="6" customFormat="1">
      <c r="A1376" s="17"/>
      <c r="C1376" s="9"/>
      <c r="D1376" s="10"/>
      <c r="E1376" s="10"/>
      <c r="F1376" s="9"/>
      <c r="G1376" s="1"/>
      <c r="H1376" s="1"/>
      <c r="I1376" s="1"/>
      <c r="J1376" s="1"/>
    </row>
    <row r="1377" spans="1:10" s="6" customFormat="1">
      <c r="A1377" s="17"/>
      <c r="C1377" s="9"/>
      <c r="D1377" s="10"/>
      <c r="E1377" s="10"/>
      <c r="F1377" s="9"/>
      <c r="G1377" s="1"/>
      <c r="H1377" s="1"/>
      <c r="I1377" s="1"/>
      <c r="J1377" s="1"/>
    </row>
    <row r="1378" spans="1:10" s="6" customFormat="1">
      <c r="A1378" s="17"/>
      <c r="C1378" s="9"/>
      <c r="D1378" s="10"/>
      <c r="E1378" s="10"/>
      <c r="F1378" s="9"/>
      <c r="G1378" s="1"/>
      <c r="H1378" s="1"/>
      <c r="I1378" s="1"/>
      <c r="J1378" s="1"/>
    </row>
    <row r="1379" spans="1:10" s="6" customFormat="1">
      <c r="A1379" s="17"/>
      <c r="C1379" s="9"/>
      <c r="D1379" s="10"/>
      <c r="E1379" s="10"/>
      <c r="F1379" s="9"/>
      <c r="G1379" s="1"/>
      <c r="H1379" s="1"/>
      <c r="I1379" s="1"/>
      <c r="J1379" s="1"/>
    </row>
    <row r="1380" spans="1:10" s="6" customFormat="1">
      <c r="A1380" s="17"/>
      <c r="C1380" s="9"/>
      <c r="D1380" s="10"/>
      <c r="E1380" s="10"/>
      <c r="F1380" s="9"/>
      <c r="G1380" s="1"/>
      <c r="H1380" s="1"/>
      <c r="I1380" s="1"/>
      <c r="J1380" s="1"/>
    </row>
    <row r="1381" spans="1:10" s="6" customFormat="1">
      <c r="A1381" s="17"/>
      <c r="C1381" s="9"/>
      <c r="D1381" s="10"/>
      <c r="E1381" s="10"/>
      <c r="F1381" s="9"/>
      <c r="G1381" s="1"/>
      <c r="H1381" s="1"/>
      <c r="I1381" s="1"/>
      <c r="J1381" s="1"/>
    </row>
    <row r="1382" spans="1:10" s="6" customFormat="1">
      <c r="A1382" s="17"/>
      <c r="C1382" s="9"/>
      <c r="D1382" s="10"/>
      <c r="E1382" s="10"/>
      <c r="F1382" s="9"/>
      <c r="G1382" s="1"/>
      <c r="H1382" s="1"/>
      <c r="I1382" s="1"/>
      <c r="J1382" s="1"/>
    </row>
    <row r="1383" spans="1:10" s="6" customFormat="1">
      <c r="A1383" s="17"/>
      <c r="C1383" s="9"/>
      <c r="D1383" s="10"/>
      <c r="E1383" s="10"/>
      <c r="F1383" s="9"/>
      <c r="G1383" s="1"/>
      <c r="H1383" s="1"/>
      <c r="I1383" s="1"/>
      <c r="J1383" s="1"/>
    </row>
    <row r="1384" spans="1:10" s="6" customFormat="1">
      <c r="A1384" s="17"/>
      <c r="C1384" s="9"/>
      <c r="D1384" s="10"/>
      <c r="E1384" s="10"/>
      <c r="F1384" s="9"/>
      <c r="G1384" s="1"/>
      <c r="H1384" s="1"/>
      <c r="I1384" s="1"/>
      <c r="J1384" s="1"/>
    </row>
    <row r="1385" spans="1:10" s="6" customFormat="1">
      <c r="A1385" s="17"/>
      <c r="C1385" s="9"/>
      <c r="D1385" s="10"/>
      <c r="E1385" s="10"/>
      <c r="F1385" s="9"/>
      <c r="G1385" s="1"/>
      <c r="H1385" s="1"/>
      <c r="I1385" s="1"/>
      <c r="J1385" s="1"/>
    </row>
    <row r="1386" spans="1:10" s="6" customFormat="1">
      <c r="A1386" s="17"/>
      <c r="C1386" s="9"/>
      <c r="D1386" s="10"/>
      <c r="E1386" s="10"/>
      <c r="F1386" s="9"/>
      <c r="G1386" s="1"/>
      <c r="H1386" s="1"/>
      <c r="I1386" s="1"/>
      <c r="J1386" s="1"/>
    </row>
    <row r="1387" spans="1:10" s="6" customFormat="1">
      <c r="A1387" s="17"/>
      <c r="C1387" s="9"/>
      <c r="D1387" s="10"/>
      <c r="E1387" s="10"/>
      <c r="F1387" s="9"/>
      <c r="G1387" s="1"/>
      <c r="H1387" s="1"/>
      <c r="I1387" s="1"/>
      <c r="J1387" s="1"/>
    </row>
    <row r="1388" spans="1:10" s="6" customFormat="1">
      <c r="A1388" s="17"/>
      <c r="C1388" s="9"/>
      <c r="D1388" s="10"/>
      <c r="E1388" s="10"/>
      <c r="F1388" s="9"/>
      <c r="G1388" s="1"/>
      <c r="H1388" s="1"/>
      <c r="I1388" s="1"/>
      <c r="J1388" s="1"/>
    </row>
    <row r="1389" spans="1:10" s="6" customFormat="1">
      <c r="A1389" s="17"/>
      <c r="C1389" s="9"/>
      <c r="D1389" s="10"/>
      <c r="E1389" s="10"/>
      <c r="F1389" s="9"/>
      <c r="G1389" s="1"/>
      <c r="H1389" s="1"/>
      <c r="I1389" s="1"/>
      <c r="J1389" s="1"/>
    </row>
    <row r="1390" spans="1:10" s="6" customFormat="1">
      <c r="A1390" s="17"/>
      <c r="C1390" s="9"/>
      <c r="D1390" s="10"/>
      <c r="E1390" s="10"/>
      <c r="F1390" s="9"/>
      <c r="G1390" s="1"/>
      <c r="H1390" s="1"/>
      <c r="I1390" s="1"/>
      <c r="J1390" s="1"/>
    </row>
    <row r="1391" spans="1:10" s="6" customFormat="1">
      <c r="A1391" s="17"/>
      <c r="C1391" s="9"/>
      <c r="D1391" s="10"/>
      <c r="E1391" s="10"/>
      <c r="F1391" s="9"/>
      <c r="G1391" s="1"/>
      <c r="H1391" s="1"/>
      <c r="I1391" s="1"/>
      <c r="J1391" s="1"/>
    </row>
    <row r="1392" spans="1:10" s="6" customFormat="1">
      <c r="A1392" s="17"/>
      <c r="C1392" s="9"/>
      <c r="D1392" s="10"/>
      <c r="E1392" s="10"/>
      <c r="F1392" s="9"/>
      <c r="G1392" s="1"/>
      <c r="H1392" s="1"/>
      <c r="I1392" s="1"/>
      <c r="J1392" s="1"/>
    </row>
    <row r="1393" spans="1:10" s="6" customFormat="1">
      <c r="A1393" s="17"/>
      <c r="C1393" s="9"/>
      <c r="D1393" s="10"/>
      <c r="E1393" s="10"/>
      <c r="F1393" s="9"/>
      <c r="G1393" s="1"/>
      <c r="H1393" s="1"/>
      <c r="I1393" s="1"/>
      <c r="J1393" s="1"/>
    </row>
    <row r="1394" spans="1:10" s="6" customFormat="1">
      <c r="A1394" s="17"/>
      <c r="C1394" s="9"/>
      <c r="D1394" s="10"/>
      <c r="E1394" s="10"/>
      <c r="F1394" s="9"/>
      <c r="G1394" s="1"/>
      <c r="H1394" s="1"/>
      <c r="I1394" s="1"/>
      <c r="J1394" s="1"/>
    </row>
    <row r="1395" spans="1:10" s="6" customFormat="1">
      <c r="A1395" s="17"/>
      <c r="C1395" s="9"/>
      <c r="D1395" s="10"/>
      <c r="E1395" s="10"/>
      <c r="F1395" s="9"/>
      <c r="G1395" s="1"/>
      <c r="H1395" s="1"/>
      <c r="I1395" s="1"/>
      <c r="J1395" s="1"/>
    </row>
    <row r="1396" spans="1:10" s="6" customFormat="1">
      <c r="A1396" s="17"/>
      <c r="C1396" s="9"/>
      <c r="D1396" s="10"/>
      <c r="E1396" s="10"/>
      <c r="F1396" s="9"/>
      <c r="G1396" s="1"/>
      <c r="H1396" s="1"/>
      <c r="I1396" s="1"/>
      <c r="J1396" s="1"/>
    </row>
    <row r="1397" spans="1:10" s="6" customFormat="1">
      <c r="A1397" s="17"/>
      <c r="C1397" s="9"/>
      <c r="D1397" s="10"/>
      <c r="E1397" s="10"/>
      <c r="F1397" s="9"/>
      <c r="G1397" s="1"/>
      <c r="H1397" s="1"/>
      <c r="I1397" s="1"/>
      <c r="J1397" s="1"/>
    </row>
    <row r="1398" spans="1:10" s="6" customFormat="1">
      <c r="A1398" s="17"/>
      <c r="C1398" s="9"/>
      <c r="D1398" s="10"/>
      <c r="E1398" s="10"/>
      <c r="F1398" s="9"/>
      <c r="G1398" s="1"/>
      <c r="H1398" s="1"/>
      <c r="I1398" s="1"/>
      <c r="J1398" s="1"/>
    </row>
    <row r="1399" spans="1:10" s="6" customFormat="1">
      <c r="A1399" s="17"/>
      <c r="C1399" s="9"/>
      <c r="D1399" s="10"/>
      <c r="E1399" s="10"/>
      <c r="F1399" s="9"/>
      <c r="G1399" s="1"/>
      <c r="H1399" s="1"/>
      <c r="I1399" s="1"/>
      <c r="J1399" s="1"/>
    </row>
    <row r="1400" spans="1:10" s="6" customFormat="1">
      <c r="A1400" s="17"/>
      <c r="C1400" s="9"/>
      <c r="D1400" s="10"/>
      <c r="E1400" s="10"/>
      <c r="F1400" s="9"/>
      <c r="G1400" s="1"/>
      <c r="H1400" s="1"/>
      <c r="I1400" s="1"/>
      <c r="J1400" s="1"/>
    </row>
    <row r="1401" spans="1:10" s="6" customFormat="1">
      <c r="A1401" s="17"/>
      <c r="C1401" s="9"/>
      <c r="D1401" s="10"/>
      <c r="E1401" s="10"/>
      <c r="F1401" s="9"/>
      <c r="G1401" s="1"/>
      <c r="H1401" s="1"/>
      <c r="I1401" s="1"/>
      <c r="J1401" s="1"/>
    </row>
    <row r="1402" spans="1:10" s="6" customFormat="1">
      <c r="A1402" s="17"/>
      <c r="C1402" s="9"/>
      <c r="D1402" s="10"/>
      <c r="E1402" s="10"/>
      <c r="F1402" s="9"/>
      <c r="G1402" s="1"/>
      <c r="H1402" s="1"/>
      <c r="I1402" s="1"/>
      <c r="J1402" s="1"/>
    </row>
    <row r="1403" spans="1:10" s="6" customFormat="1">
      <c r="A1403" s="17"/>
      <c r="C1403" s="9"/>
      <c r="D1403" s="10"/>
      <c r="E1403" s="10"/>
      <c r="F1403" s="9"/>
      <c r="G1403" s="1"/>
      <c r="H1403" s="1"/>
      <c r="I1403" s="1"/>
      <c r="J1403" s="1"/>
    </row>
    <row r="1404" spans="1:10" s="6" customFormat="1">
      <c r="A1404" s="17"/>
      <c r="C1404" s="9"/>
      <c r="D1404" s="10"/>
      <c r="E1404" s="10"/>
      <c r="F1404" s="9"/>
      <c r="G1404" s="1"/>
      <c r="H1404" s="1"/>
      <c r="I1404" s="1"/>
      <c r="J1404" s="1"/>
    </row>
    <row r="1405" spans="1:10" s="6" customFormat="1">
      <c r="A1405" s="17"/>
      <c r="C1405" s="9"/>
      <c r="D1405" s="10"/>
      <c r="E1405" s="10"/>
      <c r="F1405" s="9"/>
      <c r="G1405" s="1"/>
      <c r="H1405" s="1"/>
      <c r="I1405" s="1"/>
      <c r="J1405" s="1"/>
    </row>
    <row r="1406" spans="1:10" s="6" customFormat="1">
      <c r="A1406" s="17"/>
      <c r="C1406" s="9"/>
      <c r="D1406" s="10"/>
      <c r="E1406" s="10"/>
      <c r="F1406" s="9"/>
      <c r="G1406" s="1"/>
      <c r="H1406" s="1"/>
      <c r="I1406" s="1"/>
      <c r="J1406" s="1"/>
    </row>
    <row r="1407" spans="1:10" s="6" customFormat="1">
      <c r="A1407" s="17"/>
      <c r="C1407" s="9"/>
      <c r="D1407" s="10"/>
      <c r="E1407" s="10"/>
      <c r="F1407" s="9"/>
      <c r="G1407" s="1"/>
      <c r="H1407" s="1"/>
      <c r="I1407" s="1"/>
      <c r="J1407" s="1"/>
    </row>
    <row r="1408" spans="1:10" s="6" customFormat="1">
      <c r="A1408" s="17"/>
      <c r="C1408" s="9"/>
      <c r="D1408" s="10"/>
      <c r="E1408" s="10"/>
      <c r="F1408" s="9"/>
      <c r="G1408" s="1"/>
      <c r="H1408" s="1"/>
      <c r="I1408" s="1"/>
      <c r="J1408" s="1"/>
    </row>
    <row r="1409" spans="1:10" s="6" customFormat="1">
      <c r="A1409" s="17"/>
      <c r="C1409" s="9"/>
      <c r="D1409" s="10"/>
      <c r="E1409" s="10"/>
      <c r="F1409" s="9"/>
      <c r="G1409" s="1"/>
      <c r="H1409" s="1"/>
      <c r="I1409" s="1"/>
      <c r="J1409" s="1"/>
    </row>
    <row r="1410" spans="1:10" s="6" customFormat="1">
      <c r="A1410" s="17"/>
      <c r="C1410" s="9"/>
      <c r="D1410" s="10"/>
      <c r="E1410" s="10"/>
      <c r="F1410" s="9"/>
      <c r="G1410" s="1"/>
      <c r="H1410" s="1"/>
      <c r="I1410" s="1"/>
      <c r="J1410" s="1"/>
    </row>
    <row r="1411" spans="1:10" s="6" customFormat="1">
      <c r="A1411" s="17"/>
      <c r="C1411" s="9"/>
      <c r="D1411" s="10"/>
      <c r="E1411" s="10"/>
      <c r="F1411" s="9"/>
      <c r="G1411" s="1"/>
      <c r="H1411" s="1"/>
      <c r="I1411" s="1"/>
      <c r="J1411" s="1"/>
    </row>
    <row r="1412" spans="1:10" s="6" customFormat="1">
      <c r="A1412" s="17"/>
      <c r="C1412" s="9"/>
      <c r="D1412" s="10"/>
      <c r="E1412" s="10"/>
      <c r="F1412" s="9"/>
      <c r="G1412" s="1"/>
      <c r="H1412" s="1"/>
      <c r="I1412" s="1"/>
      <c r="J1412" s="1"/>
    </row>
    <row r="1413" spans="1:10" s="6" customFormat="1">
      <c r="A1413" s="17"/>
      <c r="C1413" s="9"/>
      <c r="D1413" s="10"/>
      <c r="E1413" s="10"/>
      <c r="F1413" s="9"/>
      <c r="G1413" s="1"/>
      <c r="H1413" s="1"/>
      <c r="I1413" s="1"/>
      <c r="J1413" s="1"/>
    </row>
    <row r="1414" spans="1:10" s="6" customFormat="1">
      <c r="A1414" s="17"/>
      <c r="C1414" s="9"/>
      <c r="D1414" s="10"/>
      <c r="E1414" s="10"/>
      <c r="F1414" s="9"/>
      <c r="G1414" s="1"/>
      <c r="H1414" s="1"/>
      <c r="I1414" s="1"/>
      <c r="J1414" s="1"/>
    </row>
    <row r="1415" spans="1:10" s="6" customFormat="1">
      <c r="A1415" s="17"/>
      <c r="C1415" s="9"/>
      <c r="D1415" s="10"/>
      <c r="E1415" s="10"/>
      <c r="F1415" s="9"/>
      <c r="G1415" s="1"/>
      <c r="H1415" s="1"/>
      <c r="I1415" s="1"/>
      <c r="J1415" s="1"/>
    </row>
    <row r="1416" spans="1:10" s="6" customFormat="1">
      <c r="A1416" s="17"/>
      <c r="C1416" s="9"/>
      <c r="D1416" s="10"/>
      <c r="E1416" s="10"/>
      <c r="F1416" s="9"/>
      <c r="G1416" s="1"/>
      <c r="H1416" s="1"/>
      <c r="I1416" s="1"/>
      <c r="J1416" s="1"/>
    </row>
    <row r="1417" spans="1:10" s="6" customFormat="1">
      <c r="A1417" s="17"/>
      <c r="C1417" s="9"/>
      <c r="D1417" s="10"/>
      <c r="E1417" s="10"/>
      <c r="F1417" s="9"/>
      <c r="G1417" s="1"/>
      <c r="H1417" s="1"/>
      <c r="I1417" s="1"/>
      <c r="J1417" s="1"/>
    </row>
    <row r="1418" spans="1:10" s="6" customFormat="1">
      <c r="A1418" s="17"/>
      <c r="C1418" s="9"/>
      <c r="D1418" s="10"/>
      <c r="E1418" s="10"/>
      <c r="F1418" s="9"/>
      <c r="G1418" s="1"/>
      <c r="H1418" s="1"/>
      <c r="I1418" s="1"/>
      <c r="J1418" s="1"/>
    </row>
    <row r="1419" spans="1:10" s="6" customFormat="1">
      <c r="A1419" s="17"/>
      <c r="C1419" s="9"/>
      <c r="D1419" s="10"/>
      <c r="E1419" s="10"/>
      <c r="F1419" s="9"/>
      <c r="G1419" s="1"/>
      <c r="H1419" s="1"/>
      <c r="I1419" s="1"/>
      <c r="J1419" s="1"/>
    </row>
    <row r="1420" spans="1:10" s="6" customFormat="1">
      <c r="A1420" s="17"/>
      <c r="C1420" s="9"/>
      <c r="D1420" s="10"/>
      <c r="E1420" s="10"/>
      <c r="F1420" s="9"/>
      <c r="G1420" s="1"/>
      <c r="H1420" s="1"/>
      <c r="I1420" s="1"/>
      <c r="J1420" s="1"/>
    </row>
    <row r="1421" spans="1:10" s="6" customFormat="1">
      <c r="A1421" s="17"/>
      <c r="C1421" s="9"/>
      <c r="D1421" s="10"/>
      <c r="E1421" s="10"/>
      <c r="F1421" s="9"/>
      <c r="G1421" s="1"/>
      <c r="H1421" s="1"/>
      <c r="I1421" s="1"/>
      <c r="J1421" s="1"/>
    </row>
    <row r="1422" spans="1:10" s="6" customFormat="1">
      <c r="A1422" s="17"/>
      <c r="C1422" s="9"/>
      <c r="D1422" s="10"/>
      <c r="E1422" s="10"/>
      <c r="F1422" s="9"/>
      <c r="G1422" s="1"/>
      <c r="H1422" s="1"/>
      <c r="I1422" s="1"/>
      <c r="J1422" s="1"/>
    </row>
    <row r="1423" spans="1:10" s="6" customFormat="1">
      <c r="A1423" s="17"/>
      <c r="C1423" s="9"/>
      <c r="D1423" s="10"/>
      <c r="E1423" s="10"/>
      <c r="F1423" s="9"/>
      <c r="G1423" s="1"/>
      <c r="H1423" s="1"/>
      <c r="I1423" s="1"/>
      <c r="J1423" s="1"/>
    </row>
    <row r="1424" spans="1:10" s="6" customFormat="1">
      <c r="A1424" s="17"/>
      <c r="C1424" s="9"/>
      <c r="D1424" s="10"/>
      <c r="E1424" s="10"/>
      <c r="F1424" s="9"/>
      <c r="G1424" s="1"/>
      <c r="H1424" s="1"/>
      <c r="I1424" s="1"/>
      <c r="J1424" s="1"/>
    </row>
    <row r="1425" spans="1:10" s="6" customFormat="1">
      <c r="A1425" s="17"/>
      <c r="C1425" s="9"/>
      <c r="D1425" s="10"/>
      <c r="E1425" s="10"/>
      <c r="F1425" s="9"/>
      <c r="G1425" s="1"/>
      <c r="H1425" s="1"/>
      <c r="I1425" s="1"/>
      <c r="J1425" s="1"/>
    </row>
    <row r="1426" spans="1:10" s="6" customFormat="1">
      <c r="A1426" s="17"/>
      <c r="C1426" s="9"/>
      <c r="D1426" s="10"/>
      <c r="E1426" s="10"/>
      <c r="F1426" s="9"/>
      <c r="G1426" s="1"/>
      <c r="H1426" s="1"/>
      <c r="I1426" s="1"/>
      <c r="J1426" s="1"/>
    </row>
    <row r="1427" spans="1:10" s="6" customFormat="1">
      <c r="A1427" s="17"/>
      <c r="C1427" s="9"/>
      <c r="D1427" s="10"/>
      <c r="E1427" s="10"/>
      <c r="F1427" s="9"/>
      <c r="G1427" s="1"/>
      <c r="H1427" s="1"/>
      <c r="I1427" s="1"/>
      <c r="J1427" s="1"/>
    </row>
    <row r="1428" spans="1:10" s="6" customFormat="1">
      <c r="A1428" s="17"/>
      <c r="C1428" s="9"/>
      <c r="D1428" s="10"/>
      <c r="E1428" s="10"/>
      <c r="F1428" s="9"/>
      <c r="G1428" s="1"/>
      <c r="H1428" s="1"/>
      <c r="I1428" s="1"/>
      <c r="J1428" s="1"/>
    </row>
    <row r="1429" spans="1:10" s="6" customFormat="1">
      <c r="A1429" s="17"/>
      <c r="C1429" s="9"/>
      <c r="D1429" s="10"/>
      <c r="E1429" s="10"/>
      <c r="F1429" s="9"/>
      <c r="G1429" s="1"/>
      <c r="H1429" s="1"/>
      <c r="I1429" s="1"/>
      <c r="J1429" s="1"/>
    </row>
    <row r="1430" spans="1:10" s="6" customFormat="1">
      <c r="A1430" s="17"/>
      <c r="C1430" s="9"/>
      <c r="D1430" s="10"/>
      <c r="E1430" s="10"/>
      <c r="F1430" s="9"/>
      <c r="G1430" s="1"/>
      <c r="H1430" s="1"/>
      <c r="I1430" s="1"/>
      <c r="J1430" s="1"/>
    </row>
    <row r="1431" spans="1:10" s="6" customFormat="1">
      <c r="A1431" s="17"/>
      <c r="C1431" s="9"/>
      <c r="D1431" s="10"/>
      <c r="E1431" s="10"/>
      <c r="F1431" s="9"/>
      <c r="G1431" s="1"/>
      <c r="H1431" s="1"/>
      <c r="I1431" s="1"/>
      <c r="J1431" s="1"/>
    </row>
    <row r="1432" spans="1:10" s="6" customFormat="1">
      <c r="A1432" s="17"/>
      <c r="C1432" s="9"/>
      <c r="D1432" s="10"/>
      <c r="E1432" s="10"/>
      <c r="F1432" s="9"/>
      <c r="G1432" s="1"/>
      <c r="H1432" s="1"/>
      <c r="I1432" s="1"/>
      <c r="J1432" s="1"/>
    </row>
    <row r="1433" spans="1:10" s="6" customFormat="1">
      <c r="A1433" s="17"/>
      <c r="C1433" s="9"/>
      <c r="D1433" s="10"/>
      <c r="E1433" s="10"/>
      <c r="F1433" s="9"/>
      <c r="G1433" s="1"/>
      <c r="H1433" s="1"/>
      <c r="I1433" s="1"/>
      <c r="J1433" s="1"/>
    </row>
    <row r="1434" spans="1:10" s="6" customFormat="1">
      <c r="A1434" s="17"/>
      <c r="C1434" s="9"/>
      <c r="D1434" s="10"/>
      <c r="E1434" s="10"/>
      <c r="F1434" s="9"/>
      <c r="G1434" s="1"/>
      <c r="H1434" s="1"/>
      <c r="I1434" s="1"/>
      <c r="J1434" s="1"/>
    </row>
    <row r="1435" spans="1:10" s="6" customFormat="1">
      <c r="A1435" s="17"/>
      <c r="C1435" s="9"/>
      <c r="D1435" s="10"/>
      <c r="E1435" s="10"/>
      <c r="F1435" s="9"/>
      <c r="G1435" s="1"/>
      <c r="H1435" s="1"/>
      <c r="I1435" s="1"/>
      <c r="J1435" s="1"/>
    </row>
    <row r="1436" spans="1:10" s="6" customFormat="1">
      <c r="A1436" s="17"/>
      <c r="C1436" s="9"/>
      <c r="D1436" s="10"/>
      <c r="E1436" s="10"/>
      <c r="F1436" s="9"/>
      <c r="G1436" s="1"/>
      <c r="H1436" s="1"/>
      <c r="I1436" s="1"/>
      <c r="J1436" s="1"/>
    </row>
    <row r="1437" spans="1:10" s="6" customFormat="1">
      <c r="A1437" s="17"/>
      <c r="C1437" s="9"/>
      <c r="D1437" s="10"/>
      <c r="E1437" s="10"/>
      <c r="F1437" s="9"/>
      <c r="G1437" s="1"/>
      <c r="H1437" s="1"/>
      <c r="I1437" s="1"/>
      <c r="J1437" s="1"/>
    </row>
    <row r="1438" spans="1:10" s="6" customFormat="1">
      <c r="A1438" s="17"/>
      <c r="C1438" s="9"/>
      <c r="D1438" s="10"/>
      <c r="E1438" s="10"/>
      <c r="F1438" s="9"/>
      <c r="G1438" s="1"/>
      <c r="H1438" s="1"/>
      <c r="I1438" s="1"/>
      <c r="J1438" s="1"/>
    </row>
    <row r="1439" spans="1:10" s="6" customFormat="1">
      <c r="A1439" s="17"/>
      <c r="C1439" s="9"/>
      <c r="D1439" s="10"/>
      <c r="E1439" s="10"/>
      <c r="F1439" s="9"/>
      <c r="G1439" s="1"/>
      <c r="H1439" s="1"/>
      <c r="I1439" s="1"/>
      <c r="J1439" s="1"/>
    </row>
    <row r="1440" spans="1:10" s="6" customFormat="1">
      <c r="A1440" s="17"/>
      <c r="C1440" s="9"/>
      <c r="D1440" s="10"/>
      <c r="E1440" s="10"/>
      <c r="F1440" s="9"/>
      <c r="G1440" s="1"/>
      <c r="H1440" s="1"/>
      <c r="I1440" s="1"/>
      <c r="J1440" s="1"/>
    </row>
    <row r="1441" spans="1:10" s="6" customFormat="1">
      <c r="A1441" s="17"/>
      <c r="C1441" s="9"/>
      <c r="D1441" s="10"/>
      <c r="E1441" s="10"/>
      <c r="F1441" s="9"/>
      <c r="G1441" s="1"/>
      <c r="H1441" s="1"/>
      <c r="I1441" s="1"/>
      <c r="J1441" s="1"/>
    </row>
    <row r="1442" spans="1:10" s="6" customFormat="1">
      <c r="A1442" s="17"/>
      <c r="C1442" s="9"/>
      <c r="D1442" s="10"/>
      <c r="E1442" s="10"/>
      <c r="F1442" s="9"/>
      <c r="G1442" s="1"/>
      <c r="H1442" s="1"/>
      <c r="I1442" s="1"/>
      <c r="J1442" s="1"/>
    </row>
    <row r="1443" spans="1:10" s="6" customFormat="1">
      <c r="A1443" s="17"/>
      <c r="C1443" s="9"/>
      <c r="D1443" s="10"/>
      <c r="E1443" s="10"/>
      <c r="F1443" s="9"/>
      <c r="G1443" s="1"/>
      <c r="H1443" s="1"/>
      <c r="I1443" s="1"/>
      <c r="J1443" s="1"/>
    </row>
    <row r="1444" spans="1:10" s="6" customFormat="1">
      <c r="A1444" s="17"/>
      <c r="C1444" s="9"/>
      <c r="D1444" s="10"/>
      <c r="E1444" s="10"/>
      <c r="F1444" s="9"/>
      <c r="G1444" s="1"/>
      <c r="H1444" s="1"/>
      <c r="I1444" s="1"/>
      <c r="J1444" s="1"/>
    </row>
    <row r="1445" spans="1:10" s="6" customFormat="1">
      <c r="A1445" s="17"/>
      <c r="C1445" s="9"/>
      <c r="D1445" s="10"/>
      <c r="E1445" s="10"/>
      <c r="F1445" s="9"/>
      <c r="G1445" s="1"/>
      <c r="H1445" s="1"/>
      <c r="I1445" s="1"/>
      <c r="J1445" s="1"/>
    </row>
    <row r="1446" spans="1:10" s="6" customFormat="1">
      <c r="A1446" s="17"/>
      <c r="C1446" s="9"/>
      <c r="D1446" s="10"/>
      <c r="E1446" s="10"/>
      <c r="F1446" s="9"/>
      <c r="G1446" s="1"/>
      <c r="H1446" s="1"/>
      <c r="I1446" s="1"/>
      <c r="J1446" s="1"/>
    </row>
    <row r="1447" spans="1:10" s="6" customFormat="1">
      <c r="A1447" s="17"/>
      <c r="C1447" s="9"/>
      <c r="D1447" s="10"/>
      <c r="E1447" s="10"/>
      <c r="F1447" s="9"/>
      <c r="G1447" s="1"/>
      <c r="H1447" s="1"/>
      <c r="I1447" s="1"/>
      <c r="J1447" s="1"/>
    </row>
    <row r="1448" spans="1:10" s="6" customFormat="1">
      <c r="A1448" s="17"/>
      <c r="C1448" s="9"/>
      <c r="D1448" s="10"/>
      <c r="E1448" s="10"/>
      <c r="F1448" s="9"/>
      <c r="G1448" s="1"/>
      <c r="H1448" s="1"/>
      <c r="I1448" s="1"/>
      <c r="J1448" s="1"/>
    </row>
    <row r="1449" spans="1:10" s="6" customFormat="1">
      <c r="A1449" s="17"/>
      <c r="C1449" s="9"/>
      <c r="D1449" s="10"/>
      <c r="E1449" s="10"/>
      <c r="F1449" s="9"/>
      <c r="G1449" s="1"/>
      <c r="H1449" s="1"/>
      <c r="I1449" s="1"/>
      <c r="J1449" s="1"/>
    </row>
    <row r="1450" spans="1:10" s="6" customFormat="1">
      <c r="A1450" s="17"/>
      <c r="C1450" s="9"/>
      <c r="D1450" s="10"/>
      <c r="E1450" s="10"/>
      <c r="F1450" s="9"/>
      <c r="G1450" s="1"/>
      <c r="H1450" s="1"/>
      <c r="I1450" s="1"/>
      <c r="J1450" s="1"/>
    </row>
    <row r="1451" spans="1:10" s="6" customFormat="1">
      <c r="A1451" s="17"/>
      <c r="C1451" s="9"/>
      <c r="D1451" s="10"/>
      <c r="E1451" s="10"/>
      <c r="F1451" s="9"/>
      <c r="G1451" s="1"/>
      <c r="H1451" s="1"/>
      <c r="I1451" s="1"/>
      <c r="J1451" s="1"/>
    </row>
    <row r="1452" spans="1:10" s="6" customFormat="1">
      <c r="A1452" s="17"/>
      <c r="C1452" s="9"/>
      <c r="D1452" s="10"/>
      <c r="E1452" s="10"/>
      <c r="F1452" s="9"/>
      <c r="G1452" s="1"/>
      <c r="H1452" s="1"/>
      <c r="I1452" s="1"/>
      <c r="J1452" s="1"/>
    </row>
    <row r="1453" spans="1:10" s="6" customFormat="1">
      <c r="A1453" s="17"/>
      <c r="C1453" s="9"/>
      <c r="D1453" s="10"/>
      <c r="E1453" s="10"/>
      <c r="F1453" s="9"/>
      <c r="G1453" s="1"/>
      <c r="H1453" s="1"/>
      <c r="I1453" s="1"/>
      <c r="J1453" s="1"/>
    </row>
    <row r="1454" spans="1:10" s="6" customFormat="1">
      <c r="A1454" s="17"/>
      <c r="C1454" s="9"/>
      <c r="D1454" s="10"/>
      <c r="E1454" s="10"/>
      <c r="F1454" s="9"/>
      <c r="G1454" s="1"/>
      <c r="H1454" s="1"/>
      <c r="I1454" s="1"/>
      <c r="J1454" s="1"/>
    </row>
    <row r="1455" spans="1:10" s="6" customFormat="1">
      <c r="A1455" s="17"/>
      <c r="C1455" s="9"/>
      <c r="D1455" s="10"/>
      <c r="E1455" s="10"/>
      <c r="F1455" s="9"/>
      <c r="G1455" s="1"/>
      <c r="H1455" s="1"/>
      <c r="I1455" s="1"/>
      <c r="J1455" s="1"/>
    </row>
    <row r="1456" spans="1:10" s="6" customFormat="1">
      <c r="A1456" s="17"/>
      <c r="C1456" s="9"/>
      <c r="D1456" s="10"/>
      <c r="E1456" s="10"/>
      <c r="F1456" s="9"/>
      <c r="G1456" s="1"/>
      <c r="H1456" s="1"/>
      <c r="I1456" s="1"/>
      <c r="J1456" s="1"/>
    </row>
    <row r="1457" spans="1:10" s="6" customFormat="1">
      <c r="A1457" s="17"/>
      <c r="C1457" s="9"/>
      <c r="D1457" s="10"/>
      <c r="E1457" s="10"/>
      <c r="F1457" s="9"/>
      <c r="G1457" s="1"/>
      <c r="H1457" s="1"/>
      <c r="I1457" s="1"/>
      <c r="J1457" s="1"/>
    </row>
    <row r="1458" spans="1:10" s="6" customFormat="1">
      <c r="A1458" s="17"/>
      <c r="C1458" s="9"/>
      <c r="D1458" s="10"/>
      <c r="E1458" s="10"/>
      <c r="F1458" s="9"/>
      <c r="G1458" s="1"/>
      <c r="H1458" s="1"/>
      <c r="I1458" s="1"/>
      <c r="J1458" s="1"/>
    </row>
    <row r="1459" spans="1:10" s="6" customFormat="1">
      <c r="A1459" s="17"/>
      <c r="C1459" s="9"/>
      <c r="D1459" s="10"/>
      <c r="E1459" s="10"/>
      <c r="F1459" s="9"/>
      <c r="G1459" s="1"/>
      <c r="H1459" s="1"/>
      <c r="I1459" s="1"/>
      <c r="J1459" s="1"/>
    </row>
    <row r="1460" spans="1:10" s="6" customFormat="1">
      <c r="A1460" s="17"/>
      <c r="C1460" s="9"/>
      <c r="D1460" s="10"/>
      <c r="E1460" s="10"/>
      <c r="F1460" s="9"/>
      <c r="G1460" s="1"/>
      <c r="H1460" s="1"/>
      <c r="I1460" s="1"/>
      <c r="J1460" s="1"/>
    </row>
    <row r="1461" spans="1:10" s="6" customFormat="1">
      <c r="A1461" s="17"/>
      <c r="C1461" s="9"/>
      <c r="D1461" s="10"/>
      <c r="E1461" s="10"/>
      <c r="F1461" s="9"/>
      <c r="G1461" s="1"/>
      <c r="H1461" s="1"/>
      <c r="I1461" s="1"/>
      <c r="J1461" s="1"/>
    </row>
    <row r="1462" spans="1:10" s="6" customFormat="1">
      <c r="A1462" s="17"/>
      <c r="C1462" s="9"/>
      <c r="D1462" s="10"/>
      <c r="E1462" s="10"/>
      <c r="F1462" s="9"/>
      <c r="G1462" s="1"/>
      <c r="H1462" s="1"/>
      <c r="I1462" s="1"/>
      <c r="J1462" s="1"/>
    </row>
    <row r="1463" spans="1:10" s="6" customFormat="1">
      <c r="A1463" s="17"/>
      <c r="C1463" s="9"/>
      <c r="D1463" s="10"/>
      <c r="E1463" s="10"/>
      <c r="F1463" s="9"/>
      <c r="G1463" s="1"/>
      <c r="H1463" s="1"/>
      <c r="I1463" s="1"/>
      <c r="J1463" s="1"/>
    </row>
    <row r="1464" spans="1:10" s="6" customFormat="1">
      <c r="A1464" s="17"/>
      <c r="C1464" s="9"/>
      <c r="D1464" s="10"/>
      <c r="E1464" s="10"/>
      <c r="F1464" s="9"/>
      <c r="G1464" s="1"/>
      <c r="H1464" s="1"/>
      <c r="I1464" s="1"/>
      <c r="J1464" s="1"/>
    </row>
    <row r="1465" spans="1:10" s="6" customFormat="1">
      <c r="A1465" s="17"/>
      <c r="C1465" s="9"/>
      <c r="D1465" s="10"/>
      <c r="E1465" s="10"/>
      <c r="F1465" s="9"/>
      <c r="G1465" s="1"/>
      <c r="H1465" s="1"/>
      <c r="I1465" s="1"/>
      <c r="J1465" s="1"/>
    </row>
    <row r="1466" spans="1:10" s="6" customFormat="1">
      <c r="A1466" s="17"/>
      <c r="C1466" s="9"/>
      <c r="D1466" s="10"/>
      <c r="E1466" s="10"/>
      <c r="F1466" s="9"/>
      <c r="G1466" s="1"/>
      <c r="H1466" s="1"/>
      <c r="I1466" s="1"/>
      <c r="J1466" s="1"/>
    </row>
    <row r="1467" spans="1:10" s="6" customFormat="1">
      <c r="A1467" s="17"/>
      <c r="C1467" s="9"/>
      <c r="D1467" s="10"/>
      <c r="E1467" s="10"/>
      <c r="F1467" s="9"/>
      <c r="G1467" s="1"/>
      <c r="H1467" s="1"/>
      <c r="I1467" s="1"/>
      <c r="J1467" s="1"/>
    </row>
    <row r="1468" spans="1:10" s="6" customFormat="1">
      <c r="A1468" s="17"/>
      <c r="C1468" s="9"/>
      <c r="D1468" s="10"/>
      <c r="E1468" s="10"/>
      <c r="F1468" s="9"/>
      <c r="G1468" s="1"/>
      <c r="H1468" s="1"/>
      <c r="I1468" s="1"/>
      <c r="J1468" s="1"/>
    </row>
    <row r="1469" spans="1:10" s="6" customFormat="1">
      <c r="A1469" s="17"/>
      <c r="C1469" s="9"/>
      <c r="D1469" s="10"/>
      <c r="E1469" s="10"/>
      <c r="F1469" s="9"/>
      <c r="G1469" s="1"/>
      <c r="H1469" s="1"/>
      <c r="I1469" s="1"/>
      <c r="J1469" s="1"/>
    </row>
    <row r="1470" spans="1:10" s="6" customFormat="1">
      <c r="A1470" s="17"/>
      <c r="C1470" s="9"/>
      <c r="D1470" s="10"/>
      <c r="E1470" s="10"/>
      <c r="F1470" s="9"/>
      <c r="G1470" s="1"/>
      <c r="H1470" s="1"/>
      <c r="I1470" s="1"/>
      <c r="J1470" s="1"/>
    </row>
    <row r="1471" spans="1:10" s="6" customFormat="1">
      <c r="A1471" s="17"/>
      <c r="C1471" s="9"/>
      <c r="D1471" s="10"/>
      <c r="E1471" s="10"/>
      <c r="F1471" s="9"/>
      <c r="G1471" s="1"/>
      <c r="H1471" s="1"/>
      <c r="I1471" s="1"/>
      <c r="J1471" s="1"/>
    </row>
    <row r="1472" spans="1:10" s="6" customFormat="1">
      <c r="A1472" s="17"/>
      <c r="C1472" s="9"/>
      <c r="D1472" s="10"/>
      <c r="E1472" s="10"/>
      <c r="F1472" s="9"/>
      <c r="G1472" s="1"/>
      <c r="H1472" s="1"/>
      <c r="I1472" s="1"/>
      <c r="J1472" s="1"/>
    </row>
    <row r="1473" spans="1:10" s="6" customFormat="1">
      <c r="A1473" s="17"/>
      <c r="C1473" s="9"/>
      <c r="D1473" s="10"/>
      <c r="E1473" s="10"/>
      <c r="F1473" s="9"/>
      <c r="G1473" s="1"/>
      <c r="H1473" s="1"/>
      <c r="I1473" s="1"/>
      <c r="J1473" s="1"/>
    </row>
    <row r="1474" spans="1:10" s="6" customFormat="1">
      <c r="A1474" s="17"/>
      <c r="C1474" s="9"/>
      <c r="D1474" s="10"/>
      <c r="E1474" s="10"/>
      <c r="F1474" s="9"/>
      <c r="G1474" s="1"/>
      <c r="H1474" s="1"/>
      <c r="I1474" s="1"/>
      <c r="J1474" s="1"/>
    </row>
    <row r="1475" spans="1:10" s="6" customFormat="1">
      <c r="A1475" s="17"/>
      <c r="C1475" s="9"/>
      <c r="D1475" s="10"/>
      <c r="E1475" s="10"/>
      <c r="F1475" s="9"/>
      <c r="G1475" s="1"/>
      <c r="H1475" s="1"/>
      <c r="I1475" s="1"/>
      <c r="J1475" s="1"/>
    </row>
    <row r="1476" spans="1:10" s="6" customFormat="1">
      <c r="A1476" s="17"/>
      <c r="C1476" s="9"/>
      <c r="D1476" s="10"/>
      <c r="E1476" s="10"/>
      <c r="F1476" s="9"/>
      <c r="G1476" s="1"/>
      <c r="H1476" s="1"/>
      <c r="I1476" s="1"/>
      <c r="J1476" s="1"/>
    </row>
    <row r="1477" spans="1:10" s="6" customFormat="1">
      <c r="A1477" s="17"/>
      <c r="C1477" s="9"/>
      <c r="D1477" s="10"/>
      <c r="E1477" s="10"/>
      <c r="F1477" s="9"/>
      <c r="G1477" s="1"/>
      <c r="H1477" s="1"/>
      <c r="I1477" s="1"/>
      <c r="J1477" s="1"/>
    </row>
    <row r="1478" spans="1:10" s="6" customFormat="1">
      <c r="A1478" s="17"/>
      <c r="C1478" s="9"/>
      <c r="D1478" s="10"/>
      <c r="E1478" s="10"/>
      <c r="F1478" s="9"/>
      <c r="G1478" s="1"/>
      <c r="H1478" s="1"/>
      <c r="I1478" s="1"/>
      <c r="J1478" s="1"/>
    </row>
    <row r="1479" spans="1:10" s="6" customFormat="1">
      <c r="A1479" s="17"/>
      <c r="C1479" s="9"/>
      <c r="D1479" s="10"/>
      <c r="E1479" s="10"/>
      <c r="F1479" s="9"/>
      <c r="G1479" s="1"/>
      <c r="H1479" s="1"/>
      <c r="I1479" s="1"/>
      <c r="J1479" s="1"/>
    </row>
    <row r="1480" spans="1:10" s="6" customFormat="1">
      <c r="A1480" s="17"/>
      <c r="C1480" s="9"/>
      <c r="D1480" s="10"/>
      <c r="E1480" s="10"/>
      <c r="F1480" s="9"/>
      <c r="G1480" s="1"/>
      <c r="H1480" s="1"/>
      <c r="I1480" s="1"/>
      <c r="J1480" s="1"/>
    </row>
    <row r="1481" spans="1:10" s="6" customFormat="1">
      <c r="A1481" s="17"/>
      <c r="C1481" s="9"/>
      <c r="D1481" s="10"/>
      <c r="E1481" s="10"/>
      <c r="F1481" s="9"/>
      <c r="G1481" s="1"/>
      <c r="H1481" s="1"/>
      <c r="I1481" s="1"/>
      <c r="J1481" s="1"/>
    </row>
    <row r="1482" spans="1:10" s="6" customFormat="1">
      <c r="A1482" s="17"/>
      <c r="C1482" s="9"/>
      <c r="D1482" s="10"/>
      <c r="E1482" s="10"/>
      <c r="F1482" s="9"/>
      <c r="G1482" s="1"/>
      <c r="H1482" s="1"/>
      <c r="I1482" s="1"/>
      <c r="J1482" s="1"/>
    </row>
    <row r="1483" spans="1:10" s="6" customFormat="1">
      <c r="A1483" s="17"/>
      <c r="C1483" s="9"/>
      <c r="D1483" s="10"/>
      <c r="E1483" s="10"/>
      <c r="F1483" s="9"/>
      <c r="G1483" s="1"/>
      <c r="H1483" s="1"/>
      <c r="I1483" s="1"/>
      <c r="J1483" s="1"/>
    </row>
    <row r="1484" spans="1:10" s="6" customFormat="1">
      <c r="A1484" s="17"/>
      <c r="C1484" s="9"/>
      <c r="D1484" s="10"/>
      <c r="E1484" s="10"/>
      <c r="F1484" s="9"/>
      <c r="G1484" s="1"/>
      <c r="H1484" s="1"/>
      <c r="I1484" s="1"/>
      <c r="J1484" s="1"/>
    </row>
    <row r="1485" spans="1:10" s="6" customFormat="1">
      <c r="A1485" s="17"/>
      <c r="C1485" s="9"/>
      <c r="D1485" s="10"/>
      <c r="E1485" s="10"/>
      <c r="F1485" s="9"/>
      <c r="G1485" s="1"/>
      <c r="H1485" s="1"/>
      <c r="I1485" s="1"/>
      <c r="J1485" s="1"/>
    </row>
    <row r="1486" spans="1:10" s="6" customFormat="1">
      <c r="A1486" s="17"/>
      <c r="C1486" s="9"/>
      <c r="D1486" s="10"/>
      <c r="E1486" s="10"/>
      <c r="F1486" s="9"/>
      <c r="G1486" s="1"/>
      <c r="H1486" s="1"/>
      <c r="I1486" s="1"/>
      <c r="J1486" s="1"/>
    </row>
    <row r="1487" spans="1:10" s="6" customFormat="1">
      <c r="A1487" s="17"/>
      <c r="C1487" s="9"/>
      <c r="D1487" s="10"/>
      <c r="E1487" s="10"/>
      <c r="F1487" s="9"/>
      <c r="G1487" s="1"/>
      <c r="H1487" s="1"/>
      <c r="I1487" s="1"/>
      <c r="J1487" s="1"/>
    </row>
    <row r="1488" spans="1:10" s="6" customFormat="1">
      <c r="A1488" s="17"/>
      <c r="C1488" s="9"/>
      <c r="D1488" s="10"/>
      <c r="E1488" s="10"/>
      <c r="F1488" s="9"/>
      <c r="G1488" s="1"/>
      <c r="H1488" s="1"/>
      <c r="I1488" s="1"/>
      <c r="J1488" s="1"/>
    </row>
    <row r="1489" spans="1:10" s="6" customFormat="1">
      <c r="A1489" s="17"/>
      <c r="C1489" s="9"/>
      <c r="D1489" s="10"/>
      <c r="E1489" s="10"/>
      <c r="F1489" s="9"/>
      <c r="G1489" s="1"/>
      <c r="H1489" s="1"/>
      <c r="I1489" s="1"/>
      <c r="J1489" s="1"/>
    </row>
    <row r="1490" spans="1:10" s="6" customFormat="1">
      <c r="A1490" s="17"/>
      <c r="C1490" s="9"/>
      <c r="D1490" s="10"/>
      <c r="E1490" s="10"/>
      <c r="F1490" s="9"/>
      <c r="G1490" s="1"/>
      <c r="H1490" s="1"/>
      <c r="I1490" s="1"/>
      <c r="J1490" s="1"/>
    </row>
    <row r="1491" spans="1:10" s="6" customFormat="1">
      <c r="A1491" s="17"/>
      <c r="C1491" s="9"/>
      <c r="D1491" s="10"/>
      <c r="E1491" s="10"/>
      <c r="F1491" s="9"/>
      <c r="G1491" s="1"/>
      <c r="H1491" s="1"/>
      <c r="I1491" s="1"/>
      <c r="J1491" s="1"/>
    </row>
    <row r="1492" spans="1:10" s="6" customFormat="1">
      <c r="A1492" s="17"/>
      <c r="C1492" s="9"/>
      <c r="D1492" s="10"/>
      <c r="E1492" s="10"/>
      <c r="F1492" s="9"/>
      <c r="G1492" s="1"/>
      <c r="H1492" s="1"/>
      <c r="I1492" s="1"/>
      <c r="J1492" s="1"/>
    </row>
    <row r="1493" spans="1:10" s="6" customFormat="1">
      <c r="A1493" s="17"/>
      <c r="C1493" s="9"/>
      <c r="D1493" s="10"/>
      <c r="E1493" s="10"/>
      <c r="F1493" s="9"/>
      <c r="G1493" s="1"/>
      <c r="H1493" s="1"/>
      <c r="I1493" s="1"/>
      <c r="J1493" s="1"/>
    </row>
    <row r="1494" spans="1:10" s="6" customFormat="1">
      <c r="A1494" s="17"/>
      <c r="C1494" s="9"/>
      <c r="D1494" s="10"/>
      <c r="E1494" s="10"/>
      <c r="F1494" s="9"/>
      <c r="G1494" s="1"/>
      <c r="H1494" s="1"/>
      <c r="I1494" s="1"/>
      <c r="J1494" s="1"/>
    </row>
    <row r="1495" spans="1:10" s="6" customFormat="1">
      <c r="A1495" s="17"/>
      <c r="C1495" s="9"/>
      <c r="D1495" s="10"/>
      <c r="E1495" s="10"/>
      <c r="F1495" s="9"/>
      <c r="G1495" s="1"/>
      <c r="H1495" s="1"/>
      <c r="I1495" s="1"/>
      <c r="J1495" s="1"/>
    </row>
    <row r="1496" spans="1:10" s="6" customFormat="1">
      <c r="A1496" s="17"/>
      <c r="C1496" s="9"/>
      <c r="D1496" s="10"/>
      <c r="E1496" s="10"/>
      <c r="F1496" s="9"/>
      <c r="G1496" s="1"/>
      <c r="H1496" s="1"/>
      <c r="I1496" s="1"/>
      <c r="J1496" s="1"/>
    </row>
    <row r="1497" spans="1:10" s="6" customFormat="1">
      <c r="A1497" s="17"/>
      <c r="C1497" s="9"/>
      <c r="D1497" s="10"/>
      <c r="E1497" s="10"/>
      <c r="F1497" s="9"/>
      <c r="G1497" s="1"/>
      <c r="H1497" s="1"/>
      <c r="I1497" s="1"/>
      <c r="J1497" s="1"/>
    </row>
    <row r="1498" spans="1:10" s="6" customFormat="1">
      <c r="A1498" s="17"/>
      <c r="C1498" s="9"/>
      <c r="D1498" s="10"/>
      <c r="E1498" s="10"/>
      <c r="F1498" s="9"/>
      <c r="G1498" s="1"/>
      <c r="H1498" s="1"/>
      <c r="I1498" s="1"/>
      <c r="J1498" s="1"/>
    </row>
    <row r="1499" spans="1:10" s="6" customFormat="1">
      <c r="A1499" s="17"/>
      <c r="C1499" s="9"/>
      <c r="D1499" s="10"/>
      <c r="E1499" s="10"/>
      <c r="F1499" s="9"/>
      <c r="G1499" s="1"/>
      <c r="H1499" s="1"/>
      <c r="I1499" s="1"/>
      <c r="J1499" s="1"/>
    </row>
    <row r="1500" spans="1:10" s="6" customFormat="1">
      <c r="A1500" s="17"/>
      <c r="C1500" s="9"/>
      <c r="D1500" s="10"/>
      <c r="E1500" s="10"/>
      <c r="F1500" s="9"/>
      <c r="G1500" s="1"/>
      <c r="H1500" s="1"/>
      <c r="I1500" s="1"/>
      <c r="J1500" s="1"/>
    </row>
    <row r="1501" spans="1:10" s="6" customFormat="1">
      <c r="A1501" s="17"/>
      <c r="C1501" s="9"/>
      <c r="D1501" s="10"/>
      <c r="E1501" s="10"/>
      <c r="F1501" s="9"/>
      <c r="G1501" s="1"/>
      <c r="H1501" s="1"/>
      <c r="I1501" s="1"/>
      <c r="J1501" s="1"/>
    </row>
    <row r="1502" spans="1:10" s="6" customFormat="1">
      <c r="A1502" s="17"/>
      <c r="C1502" s="9"/>
      <c r="D1502" s="10"/>
      <c r="E1502" s="10"/>
      <c r="F1502" s="9"/>
      <c r="G1502" s="1"/>
      <c r="H1502" s="1"/>
      <c r="I1502" s="1"/>
      <c r="J1502" s="1"/>
    </row>
    <row r="1503" spans="1:10" s="6" customFormat="1">
      <c r="A1503" s="17"/>
      <c r="C1503" s="9"/>
      <c r="D1503" s="10"/>
      <c r="E1503" s="10"/>
      <c r="F1503" s="9"/>
      <c r="G1503" s="1"/>
      <c r="H1503" s="1"/>
      <c r="I1503" s="1"/>
      <c r="J1503" s="1"/>
    </row>
    <row r="1504" spans="1:10" s="6" customFormat="1">
      <c r="A1504" s="17"/>
      <c r="C1504" s="9"/>
      <c r="D1504" s="10"/>
      <c r="E1504" s="10"/>
      <c r="F1504" s="9"/>
      <c r="G1504" s="1"/>
      <c r="H1504" s="1"/>
      <c r="I1504" s="1"/>
      <c r="J1504" s="1"/>
    </row>
    <row r="1505" spans="1:10" s="6" customFormat="1">
      <c r="A1505" s="17"/>
      <c r="C1505" s="9"/>
      <c r="D1505" s="10"/>
      <c r="E1505" s="10"/>
      <c r="F1505" s="9"/>
      <c r="G1505" s="1"/>
      <c r="H1505" s="1"/>
      <c r="I1505" s="1"/>
      <c r="J1505" s="1"/>
    </row>
    <row r="1506" spans="1:10" s="6" customFormat="1">
      <c r="A1506" s="17"/>
      <c r="C1506" s="9"/>
      <c r="D1506" s="10"/>
      <c r="E1506" s="10"/>
      <c r="F1506" s="9"/>
      <c r="G1506" s="1"/>
      <c r="H1506" s="1"/>
      <c r="I1506" s="1"/>
      <c r="J1506" s="1"/>
    </row>
    <row r="1507" spans="1:10" s="6" customFormat="1">
      <c r="A1507" s="17"/>
      <c r="C1507" s="9"/>
      <c r="D1507" s="10"/>
      <c r="E1507" s="10"/>
      <c r="F1507" s="9"/>
      <c r="G1507" s="1"/>
      <c r="H1507" s="1"/>
      <c r="I1507" s="1"/>
      <c r="J1507" s="1"/>
    </row>
    <row r="1508" spans="1:10" s="6" customFormat="1">
      <c r="A1508" s="17"/>
      <c r="C1508" s="9"/>
      <c r="D1508" s="10"/>
      <c r="E1508" s="10"/>
      <c r="F1508" s="9"/>
      <c r="G1508" s="1"/>
      <c r="H1508" s="1"/>
      <c r="I1508" s="1"/>
      <c r="J1508" s="1"/>
    </row>
    <row r="1509" spans="1:10" s="6" customFormat="1">
      <c r="A1509" s="17"/>
      <c r="C1509" s="9"/>
      <c r="D1509" s="10"/>
      <c r="E1509" s="10"/>
      <c r="F1509" s="9"/>
      <c r="G1509" s="1"/>
      <c r="H1509" s="1"/>
      <c r="I1509" s="1"/>
      <c r="J1509" s="1"/>
    </row>
    <row r="1510" spans="1:10" s="6" customFormat="1">
      <c r="A1510" s="17"/>
      <c r="C1510" s="9"/>
      <c r="D1510" s="10"/>
      <c r="E1510" s="10"/>
      <c r="F1510" s="9"/>
      <c r="G1510" s="1"/>
      <c r="H1510" s="1"/>
      <c r="I1510" s="1"/>
      <c r="J1510" s="1"/>
    </row>
    <row r="1511" spans="1:10" s="6" customFormat="1">
      <c r="A1511" s="17"/>
      <c r="C1511" s="9"/>
      <c r="D1511" s="10"/>
      <c r="E1511" s="10"/>
      <c r="F1511" s="9"/>
      <c r="G1511" s="1"/>
      <c r="H1511" s="1"/>
      <c r="I1511" s="1"/>
      <c r="J1511" s="1"/>
    </row>
    <row r="1512" spans="1:10" s="6" customFormat="1">
      <c r="A1512" s="17"/>
      <c r="C1512" s="9"/>
      <c r="D1512" s="10"/>
      <c r="E1512" s="10"/>
      <c r="F1512" s="9"/>
      <c r="G1512" s="1"/>
      <c r="H1512" s="1"/>
      <c r="I1512" s="1"/>
      <c r="J1512" s="1"/>
    </row>
    <row r="1513" spans="1:10" s="6" customFormat="1">
      <c r="A1513" s="17"/>
      <c r="C1513" s="9"/>
      <c r="D1513" s="10"/>
      <c r="E1513" s="10"/>
      <c r="F1513" s="9"/>
      <c r="G1513" s="1"/>
      <c r="H1513" s="1"/>
      <c r="I1513" s="1"/>
      <c r="J1513" s="1"/>
    </row>
    <row r="1514" spans="1:10" s="6" customFormat="1">
      <c r="A1514" s="17"/>
      <c r="C1514" s="9"/>
      <c r="D1514" s="10"/>
      <c r="E1514" s="10"/>
      <c r="F1514" s="9"/>
      <c r="G1514" s="1"/>
      <c r="H1514" s="1"/>
      <c r="I1514" s="1"/>
      <c r="J1514" s="1"/>
    </row>
    <row r="1515" spans="1:10" s="6" customFormat="1">
      <c r="A1515" s="17"/>
      <c r="C1515" s="9"/>
      <c r="D1515" s="10"/>
      <c r="E1515" s="10"/>
      <c r="F1515" s="9"/>
      <c r="G1515" s="1"/>
      <c r="H1515" s="1"/>
      <c r="I1515" s="1"/>
      <c r="J1515" s="1"/>
    </row>
    <row r="1516" spans="1:10" s="6" customFormat="1">
      <c r="A1516" s="17"/>
      <c r="C1516" s="9"/>
      <c r="D1516" s="10"/>
      <c r="E1516" s="10"/>
      <c r="F1516" s="9"/>
      <c r="G1516" s="1"/>
      <c r="H1516" s="1"/>
      <c r="I1516" s="1"/>
      <c r="J1516" s="1"/>
    </row>
    <row r="1517" spans="1:10" s="6" customFormat="1">
      <c r="A1517" s="17"/>
      <c r="C1517" s="9"/>
      <c r="D1517" s="10"/>
      <c r="E1517" s="10"/>
      <c r="F1517" s="9"/>
      <c r="G1517" s="1"/>
      <c r="H1517" s="1"/>
      <c r="I1517" s="1"/>
      <c r="J1517" s="1"/>
    </row>
    <row r="1518" spans="1:10" s="6" customFormat="1">
      <c r="A1518" s="17"/>
      <c r="C1518" s="9"/>
      <c r="D1518" s="10"/>
      <c r="E1518" s="10"/>
      <c r="F1518" s="9"/>
      <c r="G1518" s="1"/>
      <c r="H1518" s="1"/>
      <c r="I1518" s="1"/>
      <c r="J1518" s="1"/>
    </row>
    <row r="1519" spans="1:10" s="6" customFormat="1">
      <c r="A1519" s="17"/>
      <c r="C1519" s="9"/>
      <c r="D1519" s="10"/>
      <c r="E1519" s="10"/>
      <c r="F1519" s="9"/>
      <c r="G1519" s="1"/>
      <c r="H1519" s="1"/>
      <c r="I1519" s="1"/>
      <c r="J1519" s="1"/>
    </row>
    <row r="1520" spans="1:10" s="6" customFormat="1">
      <c r="A1520" s="17"/>
      <c r="C1520" s="9"/>
      <c r="D1520" s="10"/>
      <c r="E1520" s="10"/>
      <c r="F1520" s="9"/>
      <c r="G1520" s="1"/>
      <c r="H1520" s="1"/>
      <c r="I1520" s="1"/>
      <c r="J1520" s="1"/>
    </row>
    <row r="1521" spans="1:10" s="6" customFormat="1">
      <c r="A1521" s="17"/>
      <c r="C1521" s="9"/>
      <c r="D1521" s="10"/>
      <c r="E1521" s="10"/>
      <c r="F1521" s="9"/>
      <c r="G1521" s="1"/>
      <c r="H1521" s="1"/>
      <c r="I1521" s="1"/>
      <c r="J1521" s="1"/>
    </row>
    <row r="1522" spans="1:10" s="6" customFormat="1">
      <c r="A1522" s="17"/>
      <c r="C1522" s="9"/>
      <c r="D1522" s="10"/>
      <c r="E1522" s="10"/>
      <c r="F1522" s="9"/>
      <c r="G1522" s="1"/>
      <c r="H1522" s="1"/>
      <c r="I1522" s="1"/>
      <c r="J1522" s="1"/>
    </row>
    <row r="1523" spans="1:10" s="6" customFormat="1">
      <c r="A1523" s="17"/>
      <c r="C1523" s="9"/>
      <c r="D1523" s="10"/>
      <c r="E1523" s="10"/>
      <c r="F1523" s="9"/>
      <c r="G1523" s="1"/>
      <c r="H1523" s="1"/>
      <c r="I1523" s="1"/>
      <c r="J1523" s="1"/>
    </row>
    <row r="1524" spans="1:10" s="6" customFormat="1">
      <c r="A1524" s="17"/>
      <c r="C1524" s="9"/>
      <c r="D1524" s="10"/>
      <c r="E1524" s="10"/>
      <c r="F1524" s="9"/>
      <c r="G1524" s="1"/>
      <c r="H1524" s="1"/>
      <c r="I1524" s="1"/>
      <c r="J1524" s="1"/>
    </row>
    <row r="1525" spans="1:10" s="6" customFormat="1">
      <c r="A1525" s="17"/>
      <c r="C1525" s="9"/>
      <c r="D1525" s="10"/>
      <c r="E1525" s="10"/>
      <c r="F1525" s="9"/>
      <c r="G1525" s="1"/>
      <c r="H1525" s="1"/>
      <c r="I1525" s="1"/>
      <c r="J1525" s="1"/>
    </row>
    <row r="1526" spans="1:10" s="6" customFormat="1">
      <c r="A1526" s="17"/>
      <c r="C1526" s="9"/>
      <c r="D1526" s="10"/>
      <c r="E1526" s="10"/>
      <c r="F1526" s="9"/>
      <c r="G1526" s="1"/>
      <c r="H1526" s="1"/>
      <c r="I1526" s="1"/>
      <c r="J1526" s="1"/>
    </row>
    <row r="1527" spans="1:10" s="6" customFormat="1">
      <c r="A1527" s="17"/>
      <c r="C1527" s="9"/>
      <c r="D1527" s="10"/>
      <c r="E1527" s="10"/>
      <c r="F1527" s="9"/>
      <c r="G1527" s="1"/>
      <c r="H1527" s="1"/>
      <c r="I1527" s="1"/>
      <c r="J1527" s="1"/>
    </row>
    <row r="1528" spans="1:10" s="6" customFormat="1">
      <c r="A1528" s="17"/>
      <c r="C1528" s="9"/>
      <c r="D1528" s="10"/>
      <c r="E1528" s="10"/>
      <c r="F1528" s="9"/>
      <c r="G1528" s="1"/>
      <c r="H1528" s="1"/>
      <c r="I1528" s="1"/>
      <c r="J1528" s="1"/>
    </row>
    <row r="1529" spans="1:10" s="6" customFormat="1">
      <c r="A1529" s="17"/>
      <c r="C1529" s="9"/>
      <c r="D1529" s="10"/>
      <c r="E1529" s="10"/>
      <c r="F1529" s="9"/>
      <c r="G1529" s="1"/>
      <c r="H1529" s="1"/>
      <c r="I1529" s="1"/>
      <c r="J1529" s="1"/>
    </row>
    <row r="1530" spans="1:10" s="6" customFormat="1">
      <c r="A1530" s="17"/>
      <c r="C1530" s="9"/>
      <c r="D1530" s="10"/>
      <c r="E1530" s="10"/>
      <c r="F1530" s="9"/>
      <c r="G1530" s="1"/>
      <c r="H1530" s="1"/>
      <c r="I1530" s="1"/>
      <c r="J1530" s="1"/>
    </row>
    <row r="1531" spans="1:10" s="6" customFormat="1">
      <c r="A1531" s="17"/>
      <c r="C1531" s="9"/>
      <c r="D1531" s="10"/>
      <c r="E1531" s="10"/>
      <c r="F1531" s="9"/>
      <c r="G1531" s="1"/>
      <c r="H1531" s="1"/>
      <c r="I1531" s="1"/>
      <c r="J1531" s="1"/>
    </row>
    <row r="1532" spans="1:10" s="6" customFormat="1">
      <c r="A1532" s="17"/>
      <c r="C1532" s="9"/>
      <c r="D1532" s="10"/>
      <c r="E1532" s="10"/>
      <c r="F1532" s="9"/>
      <c r="G1532" s="1"/>
      <c r="H1532" s="1"/>
      <c r="I1532" s="1"/>
      <c r="J1532" s="1"/>
    </row>
    <row r="1533" spans="1:10" s="6" customFormat="1">
      <c r="A1533" s="17"/>
      <c r="C1533" s="9"/>
      <c r="D1533" s="10"/>
      <c r="E1533" s="10"/>
      <c r="F1533" s="9"/>
      <c r="G1533" s="1"/>
      <c r="H1533" s="1"/>
      <c r="I1533" s="1"/>
      <c r="J1533" s="1"/>
    </row>
    <row r="1534" spans="1:10" s="6" customFormat="1">
      <c r="A1534" s="17"/>
      <c r="C1534" s="9"/>
      <c r="D1534" s="10"/>
      <c r="E1534" s="10"/>
      <c r="F1534" s="9"/>
      <c r="G1534" s="1"/>
      <c r="H1534" s="1"/>
      <c r="I1534" s="1"/>
      <c r="J1534" s="1"/>
    </row>
    <row r="1535" spans="1:10" s="6" customFormat="1">
      <c r="A1535" s="17"/>
      <c r="C1535" s="9"/>
      <c r="D1535" s="10"/>
      <c r="E1535" s="10"/>
      <c r="F1535" s="9"/>
      <c r="G1535" s="1"/>
      <c r="H1535" s="1"/>
      <c r="I1535" s="1"/>
      <c r="J1535" s="1"/>
    </row>
    <row r="1536" spans="1:10" s="6" customFormat="1">
      <c r="A1536" s="17"/>
      <c r="C1536" s="9"/>
      <c r="D1536" s="10"/>
      <c r="E1536" s="10"/>
      <c r="F1536" s="9"/>
      <c r="G1536" s="1"/>
      <c r="H1536" s="1"/>
      <c r="I1536" s="1"/>
      <c r="J1536" s="1"/>
    </row>
    <row r="1537" spans="1:10" s="6" customFormat="1">
      <c r="A1537" s="17"/>
      <c r="C1537" s="9"/>
      <c r="D1537" s="10"/>
      <c r="E1537" s="10"/>
      <c r="F1537" s="9"/>
      <c r="G1537" s="1"/>
      <c r="H1537" s="1"/>
      <c r="I1537" s="1"/>
      <c r="J1537" s="1"/>
    </row>
    <row r="1538" spans="1:10" s="6" customFormat="1">
      <c r="A1538" s="17"/>
      <c r="C1538" s="9"/>
      <c r="D1538" s="10"/>
      <c r="E1538" s="10"/>
      <c r="F1538" s="9"/>
      <c r="G1538" s="1"/>
      <c r="H1538" s="1"/>
      <c r="I1538" s="1"/>
      <c r="J1538" s="1"/>
    </row>
    <row r="1539" spans="1:10" s="6" customFormat="1">
      <c r="A1539" s="17"/>
      <c r="C1539" s="9"/>
      <c r="D1539" s="10"/>
      <c r="E1539" s="10"/>
      <c r="F1539" s="9"/>
      <c r="G1539" s="1"/>
      <c r="H1539" s="1"/>
      <c r="I1539" s="1"/>
      <c r="J1539" s="1"/>
    </row>
    <row r="1540" spans="1:10" s="6" customFormat="1">
      <c r="A1540" s="17"/>
      <c r="C1540" s="9"/>
      <c r="D1540" s="10"/>
      <c r="E1540" s="10"/>
      <c r="F1540" s="9"/>
      <c r="G1540" s="1"/>
      <c r="H1540" s="1"/>
      <c r="I1540" s="1"/>
      <c r="J1540" s="1"/>
    </row>
    <row r="1541" spans="1:10" s="6" customFormat="1">
      <c r="A1541" s="17"/>
      <c r="C1541" s="9"/>
      <c r="D1541" s="10"/>
      <c r="E1541" s="10"/>
      <c r="F1541" s="9"/>
      <c r="G1541" s="1"/>
      <c r="H1541" s="1"/>
      <c r="I1541" s="1"/>
      <c r="J1541" s="1"/>
    </row>
    <row r="1542" spans="1:10" s="6" customFormat="1">
      <c r="A1542" s="17"/>
      <c r="C1542" s="9"/>
      <c r="D1542" s="10"/>
      <c r="E1542" s="10"/>
      <c r="F1542" s="9"/>
      <c r="G1542" s="1"/>
      <c r="H1542" s="1"/>
      <c r="I1542" s="1"/>
      <c r="J1542" s="1"/>
    </row>
    <row r="1543" spans="1:10" s="6" customFormat="1">
      <c r="A1543" s="17"/>
      <c r="C1543" s="9"/>
      <c r="D1543" s="10"/>
      <c r="E1543" s="10"/>
      <c r="F1543" s="9"/>
      <c r="G1543" s="1"/>
      <c r="H1543" s="1"/>
      <c r="I1543" s="1"/>
      <c r="J1543" s="1"/>
    </row>
    <row r="1544" spans="1:10" s="6" customFormat="1">
      <c r="A1544" s="17"/>
      <c r="C1544" s="9"/>
      <c r="D1544" s="10"/>
      <c r="E1544" s="10"/>
      <c r="F1544" s="9"/>
      <c r="G1544" s="1"/>
      <c r="H1544" s="1"/>
      <c r="I1544" s="1"/>
      <c r="J1544" s="1"/>
    </row>
    <row r="1545" spans="1:10" s="6" customFormat="1">
      <c r="A1545" s="17"/>
      <c r="C1545" s="9"/>
      <c r="D1545" s="10"/>
      <c r="E1545" s="10"/>
      <c r="F1545" s="9"/>
      <c r="G1545" s="1"/>
      <c r="H1545" s="1"/>
      <c r="I1545" s="1"/>
      <c r="J1545" s="1"/>
    </row>
    <row r="1546" spans="1:10" s="6" customFormat="1">
      <c r="A1546" s="17"/>
      <c r="C1546" s="9"/>
      <c r="D1546" s="10"/>
      <c r="E1546" s="10"/>
      <c r="F1546" s="9"/>
      <c r="G1546" s="1"/>
      <c r="H1546" s="1"/>
      <c r="I1546" s="1"/>
      <c r="J1546" s="1"/>
    </row>
    <row r="1547" spans="1:10" s="6" customFormat="1">
      <c r="A1547" s="17"/>
      <c r="C1547" s="9"/>
      <c r="D1547" s="10"/>
      <c r="E1547" s="10"/>
      <c r="F1547" s="9"/>
      <c r="G1547" s="1"/>
      <c r="H1547" s="1"/>
      <c r="I1547" s="1"/>
      <c r="J1547" s="1"/>
    </row>
    <row r="1548" spans="1:10" s="6" customFormat="1">
      <c r="A1548" s="17"/>
      <c r="C1548" s="9"/>
      <c r="D1548" s="10"/>
      <c r="E1548" s="10"/>
      <c r="F1548" s="9"/>
      <c r="G1548" s="1"/>
      <c r="H1548" s="1"/>
      <c r="I1548" s="1"/>
      <c r="J1548" s="1"/>
    </row>
    <row r="1549" spans="1:10" s="6" customFormat="1">
      <c r="A1549" s="17"/>
      <c r="C1549" s="9"/>
      <c r="D1549" s="10"/>
      <c r="E1549" s="10"/>
      <c r="F1549" s="9"/>
      <c r="G1549" s="1"/>
      <c r="H1549" s="1"/>
      <c r="I1549" s="1"/>
      <c r="J1549" s="1"/>
    </row>
    <row r="1550" spans="1:10" s="6" customFormat="1">
      <c r="A1550" s="17"/>
      <c r="C1550" s="9"/>
      <c r="D1550" s="10"/>
      <c r="E1550" s="10"/>
      <c r="F1550" s="9"/>
      <c r="G1550" s="1"/>
      <c r="H1550" s="1"/>
      <c r="I1550" s="1"/>
      <c r="J1550" s="1"/>
    </row>
    <row r="1551" spans="1:10" s="6" customFormat="1">
      <c r="A1551" s="17"/>
      <c r="C1551" s="9"/>
      <c r="D1551" s="10"/>
      <c r="E1551" s="10"/>
      <c r="F1551" s="9"/>
      <c r="G1551" s="1"/>
      <c r="H1551" s="1"/>
      <c r="I1551" s="1"/>
      <c r="J1551" s="1"/>
    </row>
    <row r="1552" spans="1:10" s="6" customFormat="1">
      <c r="A1552" s="17"/>
      <c r="C1552" s="9"/>
      <c r="D1552" s="10"/>
      <c r="E1552" s="10"/>
      <c r="F1552" s="9"/>
      <c r="G1552" s="1"/>
      <c r="H1552" s="1"/>
      <c r="I1552" s="1"/>
      <c r="J1552" s="1"/>
    </row>
    <row r="1553" spans="1:10" s="6" customFormat="1">
      <c r="A1553" s="17"/>
      <c r="C1553" s="9"/>
      <c r="D1553" s="10"/>
      <c r="E1553" s="10"/>
      <c r="F1553" s="9"/>
      <c r="G1553" s="1"/>
      <c r="H1553" s="1"/>
      <c r="I1553" s="1"/>
      <c r="J1553" s="1"/>
    </row>
    <row r="1554" spans="1:10" s="6" customFormat="1">
      <c r="A1554" s="17"/>
      <c r="C1554" s="9"/>
      <c r="D1554" s="10"/>
      <c r="E1554" s="10"/>
      <c r="F1554" s="9"/>
      <c r="G1554" s="1"/>
      <c r="H1554" s="1"/>
      <c r="I1554" s="1"/>
      <c r="J1554" s="1"/>
    </row>
    <row r="1555" spans="1:10" s="6" customFormat="1">
      <c r="A1555" s="17"/>
      <c r="C1555" s="9"/>
      <c r="D1555" s="10"/>
      <c r="E1555" s="10"/>
      <c r="F1555" s="9"/>
      <c r="G1555" s="1"/>
      <c r="H1555" s="1"/>
      <c r="I1555" s="1"/>
      <c r="J1555" s="1"/>
    </row>
    <row r="1556" spans="1:10" s="6" customFormat="1">
      <c r="A1556" s="17"/>
      <c r="C1556" s="9"/>
      <c r="D1556" s="10"/>
      <c r="E1556" s="10"/>
      <c r="F1556" s="9"/>
      <c r="G1556" s="1"/>
      <c r="H1556" s="1"/>
      <c r="I1556" s="1"/>
      <c r="J1556" s="1"/>
    </row>
    <row r="1557" spans="1:10" s="6" customFormat="1">
      <c r="A1557" s="17"/>
      <c r="C1557" s="9"/>
      <c r="D1557" s="10"/>
      <c r="E1557" s="10"/>
      <c r="F1557" s="9"/>
      <c r="G1557" s="1"/>
      <c r="H1557" s="1"/>
      <c r="I1557" s="1"/>
      <c r="J1557" s="1"/>
    </row>
    <row r="1558" spans="1:10" s="6" customFormat="1">
      <c r="A1558" s="17"/>
      <c r="C1558" s="9"/>
      <c r="D1558" s="10"/>
      <c r="E1558" s="10"/>
      <c r="F1558" s="9"/>
      <c r="G1558" s="1"/>
      <c r="H1558" s="1"/>
      <c r="I1558" s="1"/>
      <c r="J1558" s="1"/>
    </row>
    <row r="1559" spans="1:10" s="6" customFormat="1">
      <c r="A1559" s="17"/>
      <c r="C1559" s="9"/>
      <c r="D1559" s="10"/>
      <c r="E1559" s="10"/>
      <c r="F1559" s="9"/>
      <c r="G1559" s="1"/>
      <c r="H1559" s="1"/>
      <c r="I1559" s="1"/>
      <c r="J1559" s="1"/>
    </row>
    <row r="1560" spans="1:10" s="6" customFormat="1">
      <c r="A1560" s="17"/>
      <c r="C1560" s="9"/>
      <c r="D1560" s="10"/>
      <c r="E1560" s="10"/>
      <c r="F1560" s="9"/>
      <c r="G1560" s="1"/>
      <c r="H1560" s="1"/>
      <c r="I1560" s="1"/>
      <c r="J1560" s="1"/>
    </row>
    <row r="1561" spans="1:10" s="6" customFormat="1">
      <c r="A1561" s="17"/>
      <c r="C1561" s="9"/>
      <c r="D1561" s="10"/>
      <c r="E1561" s="10"/>
      <c r="F1561" s="9"/>
      <c r="G1561" s="1"/>
      <c r="H1561" s="1"/>
      <c r="I1561" s="1"/>
      <c r="J1561" s="1"/>
    </row>
    <row r="1562" spans="1:10" s="6" customFormat="1">
      <c r="A1562" s="17"/>
      <c r="C1562" s="9"/>
      <c r="D1562" s="10"/>
      <c r="E1562" s="10"/>
      <c r="F1562" s="9"/>
      <c r="G1562" s="1"/>
      <c r="H1562" s="1"/>
      <c r="I1562" s="1"/>
      <c r="J1562" s="1"/>
    </row>
    <row r="1563" spans="1:10" s="6" customFormat="1">
      <c r="A1563" s="17"/>
      <c r="C1563" s="9"/>
      <c r="D1563" s="10"/>
      <c r="E1563" s="10"/>
      <c r="F1563" s="9"/>
      <c r="G1563" s="1"/>
      <c r="H1563" s="1"/>
      <c r="I1563" s="1"/>
      <c r="J1563" s="1"/>
    </row>
    <row r="1564" spans="1:10" s="6" customFormat="1">
      <c r="A1564" s="17"/>
      <c r="C1564" s="9"/>
      <c r="D1564" s="10"/>
      <c r="E1564" s="10"/>
      <c r="F1564" s="9"/>
      <c r="G1564" s="1"/>
      <c r="H1564" s="1"/>
      <c r="I1564" s="1"/>
      <c r="J1564" s="1"/>
    </row>
    <row r="1565" spans="1:10" s="6" customFormat="1">
      <c r="A1565" s="17"/>
      <c r="C1565" s="9"/>
      <c r="D1565" s="10"/>
      <c r="E1565" s="10"/>
      <c r="F1565" s="9"/>
      <c r="G1565" s="1"/>
      <c r="H1565" s="1"/>
      <c r="I1565" s="1"/>
      <c r="J1565" s="1"/>
    </row>
    <row r="1566" spans="1:10" s="6" customFormat="1">
      <c r="A1566" s="17"/>
      <c r="C1566" s="9"/>
      <c r="D1566" s="10"/>
      <c r="E1566" s="10"/>
      <c r="F1566" s="9"/>
      <c r="G1566" s="1"/>
      <c r="H1566" s="1"/>
      <c r="I1566" s="1"/>
      <c r="J1566" s="1"/>
    </row>
    <row r="1567" spans="1:10" s="6" customFormat="1">
      <c r="A1567" s="17"/>
      <c r="C1567" s="9"/>
      <c r="D1567" s="10"/>
      <c r="E1567" s="10"/>
      <c r="F1567" s="9"/>
      <c r="G1567" s="1"/>
      <c r="H1567" s="1"/>
      <c r="I1567" s="1"/>
      <c r="J1567" s="1"/>
    </row>
    <row r="1568" spans="1:10" s="6" customFormat="1">
      <c r="A1568" s="17"/>
      <c r="C1568" s="9"/>
      <c r="D1568" s="10"/>
      <c r="E1568" s="10"/>
      <c r="F1568" s="9"/>
      <c r="G1568" s="1"/>
      <c r="H1568" s="1"/>
      <c r="I1568" s="1"/>
      <c r="J1568" s="1"/>
    </row>
    <row r="1569" spans="1:10" s="6" customFormat="1">
      <c r="A1569" s="17"/>
      <c r="C1569" s="9"/>
      <c r="D1569" s="10"/>
      <c r="E1569" s="10"/>
      <c r="F1569" s="9"/>
      <c r="G1569" s="1"/>
      <c r="H1569" s="1"/>
      <c r="I1569" s="1"/>
      <c r="J1569" s="1"/>
    </row>
    <row r="1570" spans="1:10" s="6" customFormat="1">
      <c r="A1570" s="17"/>
      <c r="C1570" s="9"/>
      <c r="D1570" s="10"/>
      <c r="E1570" s="10"/>
      <c r="F1570" s="9"/>
      <c r="G1570" s="1"/>
      <c r="H1570" s="1"/>
      <c r="I1570" s="1"/>
      <c r="J1570" s="1"/>
    </row>
    <row r="1571" spans="1:10" s="6" customFormat="1">
      <c r="A1571" s="17"/>
      <c r="C1571" s="9"/>
      <c r="D1571" s="10"/>
      <c r="E1571" s="10"/>
      <c r="F1571" s="9"/>
      <c r="G1571" s="1"/>
      <c r="H1571" s="1"/>
      <c r="I1571" s="1"/>
      <c r="J1571" s="1"/>
    </row>
    <row r="1572" spans="1:10" s="6" customFormat="1">
      <c r="A1572" s="17"/>
      <c r="C1572" s="9"/>
      <c r="D1572" s="10"/>
      <c r="E1572" s="10"/>
      <c r="F1572" s="9"/>
      <c r="G1572" s="1"/>
      <c r="H1572" s="1"/>
      <c r="I1572" s="1"/>
      <c r="J1572" s="1"/>
    </row>
    <row r="1573" spans="1:10" s="6" customFormat="1">
      <c r="A1573" s="17"/>
      <c r="C1573" s="9"/>
      <c r="D1573" s="10"/>
      <c r="E1573" s="10"/>
      <c r="F1573" s="9"/>
      <c r="G1573" s="1"/>
      <c r="H1573" s="1"/>
      <c r="I1573" s="1"/>
      <c r="J1573" s="1"/>
    </row>
    <row r="1574" spans="1:10" s="6" customFormat="1">
      <c r="A1574" s="17"/>
      <c r="C1574" s="9"/>
      <c r="D1574" s="10"/>
      <c r="E1574" s="10"/>
      <c r="F1574" s="9"/>
      <c r="G1574" s="1"/>
      <c r="H1574" s="1"/>
      <c r="I1574" s="1"/>
      <c r="J1574" s="1"/>
    </row>
    <row r="1575" spans="1:10" s="6" customFormat="1">
      <c r="A1575" s="17"/>
      <c r="C1575" s="9"/>
      <c r="D1575" s="10"/>
      <c r="E1575" s="10"/>
      <c r="F1575" s="9"/>
      <c r="G1575" s="1"/>
      <c r="H1575" s="1"/>
      <c r="I1575" s="1"/>
      <c r="J1575" s="1"/>
    </row>
    <row r="1576" spans="1:10" s="6" customFormat="1">
      <c r="A1576" s="17"/>
      <c r="C1576" s="9"/>
      <c r="D1576" s="10"/>
      <c r="E1576" s="10"/>
      <c r="F1576" s="9"/>
      <c r="G1576" s="1"/>
      <c r="H1576" s="1"/>
      <c r="I1576" s="1"/>
      <c r="J1576" s="1"/>
    </row>
    <row r="1577" spans="1:10" s="6" customFormat="1">
      <c r="A1577" s="17"/>
      <c r="C1577" s="9"/>
      <c r="D1577" s="10"/>
      <c r="E1577" s="10"/>
      <c r="F1577" s="9"/>
      <c r="G1577" s="1"/>
      <c r="H1577" s="1"/>
      <c r="I1577" s="1"/>
      <c r="J1577" s="1"/>
    </row>
    <row r="1578" spans="1:10" s="6" customFormat="1">
      <c r="A1578" s="17"/>
      <c r="C1578" s="9"/>
      <c r="D1578" s="10"/>
      <c r="E1578" s="10"/>
      <c r="F1578" s="9"/>
      <c r="G1578" s="1"/>
      <c r="H1578" s="1"/>
      <c r="I1578" s="1"/>
      <c r="J1578" s="1"/>
    </row>
    <row r="1579" spans="1:10" s="6" customFormat="1">
      <c r="A1579" s="17"/>
      <c r="C1579" s="9"/>
      <c r="D1579" s="10"/>
      <c r="E1579" s="10"/>
      <c r="F1579" s="9"/>
      <c r="G1579" s="1"/>
      <c r="H1579" s="1"/>
      <c r="I1579" s="1"/>
      <c r="J1579" s="1"/>
    </row>
    <row r="1580" spans="1:10" s="6" customFormat="1">
      <c r="A1580" s="17"/>
      <c r="C1580" s="9"/>
      <c r="D1580" s="10"/>
      <c r="E1580" s="10"/>
      <c r="F1580" s="9"/>
      <c r="G1580" s="1"/>
      <c r="H1580" s="1"/>
      <c r="I1580" s="1"/>
      <c r="J1580" s="1"/>
    </row>
    <row r="1581" spans="1:10" s="6" customFormat="1">
      <c r="A1581" s="17"/>
      <c r="C1581" s="9"/>
      <c r="D1581" s="10"/>
      <c r="E1581" s="10"/>
      <c r="F1581" s="9"/>
      <c r="G1581" s="1"/>
      <c r="H1581" s="1"/>
      <c r="I1581" s="1"/>
      <c r="J1581" s="1"/>
    </row>
    <row r="1582" spans="1:10" s="6" customFormat="1">
      <c r="A1582" s="17"/>
      <c r="C1582" s="9"/>
      <c r="D1582" s="10"/>
      <c r="E1582" s="10"/>
      <c r="F1582" s="9"/>
      <c r="G1582" s="1"/>
      <c r="H1582" s="1"/>
      <c r="I1582" s="1"/>
      <c r="J1582" s="1"/>
    </row>
    <row r="1583" spans="1:10" s="6" customFormat="1">
      <c r="A1583" s="17"/>
      <c r="C1583" s="9"/>
      <c r="D1583" s="10"/>
      <c r="E1583" s="10"/>
      <c r="F1583" s="9"/>
      <c r="G1583" s="1"/>
      <c r="H1583" s="1"/>
      <c r="I1583" s="1"/>
      <c r="J1583" s="1"/>
    </row>
    <row r="1584" spans="1:10" s="6" customFormat="1">
      <c r="A1584" s="17"/>
      <c r="C1584" s="9"/>
      <c r="D1584" s="10"/>
      <c r="E1584" s="10"/>
      <c r="F1584" s="9"/>
      <c r="G1584" s="1"/>
      <c r="H1584" s="1"/>
      <c r="I1584" s="1"/>
      <c r="J1584" s="1"/>
    </row>
    <row r="1585" spans="1:10" s="6" customFormat="1">
      <c r="A1585" s="17"/>
      <c r="C1585" s="9"/>
      <c r="D1585" s="10"/>
      <c r="E1585" s="10"/>
      <c r="F1585" s="9"/>
      <c r="G1585" s="1"/>
      <c r="H1585" s="1"/>
      <c r="I1585" s="1"/>
      <c r="J1585" s="1"/>
    </row>
    <row r="1586" spans="1:10" s="6" customFormat="1">
      <c r="A1586" s="17"/>
      <c r="C1586" s="9"/>
      <c r="D1586" s="10"/>
      <c r="E1586" s="10"/>
      <c r="F1586" s="9"/>
      <c r="G1586" s="1"/>
      <c r="H1586" s="1"/>
      <c r="I1586" s="1"/>
      <c r="J1586" s="1"/>
    </row>
    <row r="1587" spans="1:10" s="6" customFormat="1">
      <c r="A1587" s="17"/>
      <c r="C1587" s="9"/>
      <c r="D1587" s="10"/>
      <c r="E1587" s="10"/>
      <c r="F1587" s="9"/>
      <c r="G1587" s="1"/>
      <c r="H1587" s="1"/>
      <c r="I1587" s="1"/>
      <c r="J1587" s="1"/>
    </row>
    <row r="1588" spans="1:10" s="6" customFormat="1">
      <c r="A1588" s="17"/>
      <c r="C1588" s="9"/>
      <c r="D1588" s="10"/>
      <c r="E1588" s="10"/>
      <c r="F1588" s="9"/>
      <c r="G1588" s="1"/>
      <c r="H1588" s="1"/>
      <c r="I1588" s="1"/>
      <c r="J1588" s="1"/>
    </row>
    <row r="1589" spans="1:10" s="6" customFormat="1">
      <c r="A1589" s="17"/>
      <c r="C1589" s="9"/>
      <c r="D1589" s="10"/>
      <c r="E1589" s="10"/>
      <c r="F1589" s="9"/>
      <c r="G1589" s="1"/>
      <c r="H1589" s="1"/>
      <c r="I1589" s="1"/>
      <c r="J1589" s="1"/>
    </row>
    <row r="1590" spans="1:10" s="6" customFormat="1">
      <c r="A1590" s="17"/>
      <c r="C1590" s="9"/>
      <c r="D1590" s="10"/>
      <c r="E1590" s="10"/>
      <c r="F1590" s="9"/>
      <c r="G1590" s="1"/>
      <c r="H1590" s="1"/>
      <c r="I1590" s="1"/>
      <c r="J1590" s="1"/>
    </row>
    <row r="1591" spans="1:10" s="6" customFormat="1">
      <c r="A1591" s="17"/>
      <c r="C1591" s="9"/>
      <c r="D1591" s="10"/>
      <c r="E1591" s="10"/>
      <c r="F1591" s="9"/>
      <c r="G1591" s="1"/>
      <c r="H1591" s="1"/>
      <c r="I1591" s="1"/>
      <c r="J1591" s="1"/>
    </row>
    <row r="1592" spans="1:10" s="6" customFormat="1">
      <c r="A1592" s="17"/>
      <c r="C1592" s="9"/>
      <c r="D1592" s="10"/>
      <c r="E1592" s="10"/>
      <c r="F1592" s="9"/>
      <c r="G1592" s="1"/>
      <c r="H1592" s="1"/>
      <c r="I1592" s="1"/>
      <c r="J1592" s="1"/>
    </row>
    <row r="1593" spans="1:10" s="6" customFormat="1">
      <c r="A1593" s="17"/>
      <c r="C1593" s="9"/>
      <c r="D1593" s="10"/>
      <c r="E1593" s="10"/>
      <c r="F1593" s="9"/>
      <c r="G1593" s="1"/>
      <c r="H1593" s="1"/>
      <c r="I1593" s="1"/>
      <c r="J1593" s="1"/>
    </row>
    <row r="1594" spans="1:10" s="6" customFormat="1">
      <c r="A1594" s="17"/>
      <c r="C1594" s="9"/>
      <c r="D1594" s="10"/>
      <c r="E1594" s="10"/>
      <c r="F1594" s="9"/>
      <c r="G1594" s="1"/>
      <c r="H1594" s="1"/>
      <c r="I1594" s="1"/>
      <c r="J1594" s="1"/>
    </row>
    <row r="1595" spans="1:10" s="6" customFormat="1">
      <c r="A1595" s="17"/>
      <c r="C1595" s="9"/>
      <c r="D1595" s="10"/>
      <c r="E1595" s="10"/>
      <c r="F1595" s="9"/>
      <c r="G1595" s="1"/>
      <c r="H1595" s="1"/>
      <c r="I1595" s="1"/>
      <c r="J1595" s="1"/>
    </row>
    <row r="1596" spans="1:10" s="6" customFormat="1">
      <c r="A1596" s="17"/>
      <c r="C1596" s="9"/>
      <c r="D1596" s="10"/>
      <c r="E1596" s="10"/>
      <c r="F1596" s="9"/>
      <c r="G1596" s="1"/>
      <c r="H1596" s="1"/>
      <c r="I1596" s="1"/>
      <c r="J1596" s="1"/>
    </row>
    <row r="1597" spans="1:10" s="6" customFormat="1">
      <c r="A1597" s="17"/>
      <c r="C1597" s="9"/>
      <c r="D1597" s="10"/>
      <c r="E1597" s="10"/>
      <c r="F1597" s="9"/>
      <c r="G1597" s="1"/>
      <c r="H1597" s="1"/>
      <c r="I1597" s="1"/>
      <c r="J1597" s="1"/>
    </row>
    <row r="1598" spans="1:10" s="6" customFormat="1">
      <c r="A1598" s="17"/>
      <c r="C1598" s="9"/>
      <c r="D1598" s="10"/>
      <c r="E1598" s="10"/>
      <c r="F1598" s="9"/>
      <c r="G1598" s="1"/>
      <c r="H1598" s="1"/>
      <c r="I1598" s="1"/>
      <c r="J1598" s="1"/>
    </row>
    <row r="1599" spans="1:10" s="6" customFormat="1">
      <c r="A1599" s="17"/>
      <c r="C1599" s="9"/>
      <c r="D1599" s="10"/>
      <c r="E1599" s="10"/>
      <c r="F1599" s="9"/>
      <c r="G1599" s="1"/>
      <c r="H1599" s="1"/>
      <c r="I1599" s="1"/>
      <c r="J1599" s="1"/>
    </row>
    <row r="1600" spans="1:10" s="6" customFormat="1">
      <c r="A1600" s="17"/>
      <c r="C1600" s="9"/>
      <c r="D1600" s="10"/>
      <c r="E1600" s="10"/>
      <c r="F1600" s="9"/>
      <c r="G1600" s="1"/>
      <c r="H1600" s="1"/>
      <c r="I1600" s="1"/>
      <c r="J1600" s="1"/>
    </row>
    <row r="1601" spans="1:10" s="6" customFormat="1">
      <c r="A1601" s="17"/>
      <c r="C1601" s="9"/>
      <c r="D1601" s="10"/>
      <c r="E1601" s="10"/>
      <c r="F1601" s="9"/>
      <c r="G1601" s="1"/>
      <c r="H1601" s="1"/>
      <c r="I1601" s="1"/>
      <c r="J1601" s="1"/>
    </row>
    <row r="1602" spans="1:10" s="6" customFormat="1">
      <c r="A1602" s="17"/>
      <c r="C1602" s="9"/>
      <c r="D1602" s="10"/>
      <c r="E1602" s="10"/>
      <c r="F1602" s="9"/>
      <c r="G1602" s="1"/>
      <c r="H1602" s="1"/>
      <c r="I1602" s="1"/>
      <c r="J1602" s="1"/>
    </row>
    <row r="1603" spans="1:10" s="6" customFormat="1">
      <c r="A1603" s="17"/>
      <c r="C1603" s="9"/>
      <c r="D1603" s="10"/>
      <c r="E1603" s="10"/>
      <c r="F1603" s="9"/>
      <c r="G1603" s="1"/>
      <c r="H1603" s="1"/>
      <c r="I1603" s="1"/>
      <c r="J1603" s="1"/>
    </row>
    <row r="1604" spans="1:10" s="6" customFormat="1">
      <c r="A1604" s="17"/>
      <c r="C1604" s="9"/>
      <c r="D1604" s="10"/>
      <c r="E1604" s="10"/>
      <c r="F1604" s="9"/>
      <c r="G1604" s="1"/>
      <c r="H1604" s="1"/>
      <c r="I1604" s="1"/>
      <c r="J1604" s="1"/>
    </row>
    <row r="1605" spans="1:10" s="6" customFormat="1">
      <c r="A1605" s="17"/>
      <c r="C1605" s="9"/>
      <c r="D1605" s="10"/>
      <c r="E1605" s="10"/>
      <c r="F1605" s="9"/>
      <c r="G1605" s="1"/>
      <c r="H1605" s="1"/>
      <c r="I1605" s="1"/>
      <c r="J1605" s="1"/>
    </row>
    <row r="1606" spans="1:10" s="6" customFormat="1">
      <c r="A1606" s="17"/>
      <c r="C1606" s="9"/>
      <c r="D1606" s="10"/>
      <c r="E1606" s="10"/>
      <c r="F1606" s="9"/>
      <c r="G1606" s="1"/>
      <c r="H1606" s="1"/>
      <c r="I1606" s="1"/>
      <c r="J1606" s="1"/>
    </row>
    <row r="1607" spans="1:10" s="6" customFormat="1">
      <c r="A1607" s="17"/>
      <c r="C1607" s="9"/>
      <c r="D1607" s="10"/>
      <c r="E1607" s="10"/>
      <c r="F1607" s="9"/>
      <c r="G1607" s="1"/>
      <c r="H1607" s="1"/>
      <c r="I1607" s="1"/>
      <c r="J1607" s="1"/>
    </row>
    <row r="1608" spans="1:10" s="6" customFormat="1">
      <c r="A1608" s="17"/>
      <c r="C1608" s="9"/>
      <c r="D1608" s="10"/>
      <c r="E1608" s="10"/>
      <c r="F1608" s="9"/>
      <c r="G1608" s="1"/>
      <c r="H1608" s="1"/>
      <c r="I1608" s="1"/>
      <c r="J1608" s="1"/>
    </row>
    <row r="1609" spans="1:10" s="6" customFormat="1">
      <c r="A1609" s="17"/>
      <c r="C1609" s="9"/>
      <c r="D1609" s="10"/>
      <c r="E1609" s="10"/>
      <c r="F1609" s="9"/>
      <c r="G1609" s="1"/>
      <c r="H1609" s="1"/>
      <c r="I1609" s="1"/>
      <c r="J1609" s="1"/>
    </row>
    <row r="1610" spans="1:10" s="6" customFormat="1">
      <c r="A1610" s="17"/>
      <c r="C1610" s="9"/>
      <c r="D1610" s="10"/>
      <c r="E1610" s="10"/>
      <c r="F1610" s="9"/>
      <c r="G1610" s="1"/>
      <c r="H1610" s="1"/>
      <c r="I1610" s="1"/>
      <c r="J1610" s="1"/>
    </row>
    <row r="1611" spans="1:10" s="6" customFormat="1">
      <c r="A1611" s="17"/>
      <c r="C1611" s="9"/>
      <c r="D1611" s="10"/>
      <c r="E1611" s="10"/>
      <c r="F1611" s="9"/>
      <c r="G1611" s="1"/>
      <c r="H1611" s="1"/>
      <c r="I1611" s="1"/>
      <c r="J1611" s="1"/>
    </row>
    <row r="1612" spans="1:10" s="6" customFormat="1">
      <c r="A1612" s="17"/>
      <c r="C1612" s="9"/>
      <c r="D1612" s="10"/>
      <c r="E1612" s="10"/>
      <c r="F1612" s="9"/>
      <c r="G1612" s="1"/>
      <c r="H1612" s="1"/>
      <c r="I1612" s="1"/>
      <c r="J1612" s="1"/>
    </row>
    <row r="1613" spans="1:10" s="6" customFormat="1">
      <c r="A1613" s="17"/>
      <c r="C1613" s="9"/>
      <c r="D1613" s="10"/>
      <c r="E1613" s="10"/>
      <c r="F1613" s="9"/>
      <c r="G1613" s="1"/>
      <c r="H1613" s="1"/>
      <c r="I1613" s="1"/>
      <c r="J1613" s="1"/>
    </row>
    <row r="1614" spans="1:10" s="6" customFormat="1">
      <c r="A1614" s="17"/>
      <c r="C1614" s="9"/>
      <c r="D1614" s="10"/>
      <c r="E1614" s="10"/>
      <c r="F1614" s="9"/>
      <c r="G1614" s="1"/>
      <c r="H1614" s="1"/>
      <c r="I1614" s="1"/>
      <c r="J1614" s="1"/>
    </row>
    <row r="1615" spans="1:10" s="6" customFormat="1">
      <c r="A1615" s="17"/>
      <c r="C1615" s="9"/>
      <c r="D1615" s="10"/>
      <c r="E1615" s="10"/>
      <c r="F1615" s="9"/>
      <c r="G1615" s="1"/>
      <c r="H1615" s="1"/>
      <c r="I1615" s="1"/>
      <c r="J1615" s="1"/>
    </row>
    <row r="1616" spans="1:10" s="6" customFormat="1">
      <c r="A1616" s="17"/>
      <c r="C1616" s="9"/>
      <c r="D1616" s="10"/>
      <c r="E1616" s="10"/>
      <c r="F1616" s="9"/>
      <c r="G1616" s="1"/>
      <c r="H1616" s="1"/>
      <c r="I1616" s="1"/>
      <c r="J1616" s="1"/>
    </row>
    <row r="1617" spans="1:10" s="6" customFormat="1">
      <c r="A1617" s="17"/>
      <c r="C1617" s="9"/>
      <c r="D1617" s="10"/>
      <c r="E1617" s="10"/>
      <c r="F1617" s="9"/>
      <c r="G1617" s="1"/>
      <c r="H1617" s="1"/>
      <c r="I1617" s="1"/>
      <c r="J1617" s="1"/>
    </row>
    <row r="1618" spans="1:10" s="6" customFormat="1">
      <c r="A1618" s="17"/>
      <c r="C1618" s="9"/>
      <c r="D1618" s="10"/>
      <c r="E1618" s="10"/>
      <c r="F1618" s="9"/>
      <c r="G1618" s="1"/>
      <c r="H1618" s="1"/>
      <c r="I1618" s="1"/>
      <c r="J1618" s="1"/>
    </row>
    <row r="1619" spans="1:10" s="6" customFormat="1">
      <c r="A1619" s="17"/>
      <c r="C1619" s="9"/>
      <c r="D1619" s="10"/>
      <c r="E1619" s="10"/>
      <c r="F1619" s="9"/>
      <c r="G1619" s="1"/>
      <c r="H1619" s="1"/>
      <c r="I1619" s="1"/>
      <c r="J1619" s="1"/>
    </row>
    <row r="1620" spans="1:10" s="6" customFormat="1">
      <c r="A1620" s="17"/>
      <c r="C1620" s="9"/>
      <c r="D1620" s="10"/>
      <c r="E1620" s="10"/>
      <c r="F1620" s="9"/>
      <c r="G1620" s="1"/>
      <c r="H1620" s="1"/>
      <c r="I1620" s="1"/>
      <c r="J1620" s="1"/>
    </row>
    <row r="1621" spans="1:10" s="6" customFormat="1">
      <c r="A1621" s="17"/>
      <c r="C1621" s="9"/>
      <c r="D1621" s="10"/>
      <c r="E1621" s="10"/>
      <c r="F1621" s="9"/>
      <c r="G1621" s="1"/>
      <c r="H1621" s="1"/>
      <c r="I1621" s="1"/>
      <c r="J1621" s="1"/>
    </row>
    <row r="1622" spans="1:10" s="6" customFormat="1">
      <c r="A1622" s="17"/>
      <c r="C1622" s="9"/>
      <c r="D1622" s="10"/>
      <c r="E1622" s="10"/>
      <c r="F1622" s="9"/>
      <c r="G1622" s="1"/>
      <c r="H1622" s="1"/>
      <c r="I1622" s="1"/>
      <c r="J1622" s="1"/>
    </row>
    <row r="1623" spans="1:10" s="6" customFormat="1">
      <c r="A1623" s="17"/>
      <c r="C1623" s="9"/>
      <c r="D1623" s="10"/>
      <c r="E1623" s="10"/>
      <c r="F1623" s="9"/>
      <c r="G1623" s="1"/>
      <c r="H1623" s="1"/>
      <c r="I1623" s="1"/>
      <c r="J1623" s="1"/>
    </row>
    <row r="1624" spans="1:10" s="6" customFormat="1">
      <c r="A1624" s="17"/>
      <c r="C1624" s="9"/>
      <c r="D1624" s="10"/>
      <c r="E1624" s="10"/>
      <c r="F1624" s="9"/>
      <c r="G1624" s="1"/>
      <c r="H1624" s="1"/>
      <c r="I1624" s="1"/>
      <c r="J1624" s="1"/>
    </row>
    <row r="1625" spans="1:10" s="6" customFormat="1">
      <c r="A1625" s="17"/>
      <c r="C1625" s="9"/>
      <c r="D1625" s="10"/>
      <c r="E1625" s="10"/>
      <c r="F1625" s="9"/>
      <c r="G1625" s="1"/>
      <c r="H1625" s="1"/>
      <c r="I1625" s="1"/>
      <c r="J1625" s="1"/>
    </row>
    <row r="1626" spans="1:10" s="6" customFormat="1">
      <c r="A1626" s="17"/>
      <c r="C1626" s="9"/>
      <c r="D1626" s="10"/>
      <c r="E1626" s="10"/>
      <c r="F1626" s="9"/>
      <c r="G1626" s="1"/>
      <c r="H1626" s="1"/>
      <c r="I1626" s="1"/>
      <c r="J1626" s="1"/>
    </row>
    <row r="1627" spans="1:10" s="6" customFormat="1">
      <c r="A1627" s="17"/>
      <c r="C1627" s="9"/>
      <c r="D1627" s="10"/>
      <c r="E1627" s="10"/>
      <c r="F1627" s="9"/>
      <c r="G1627" s="1"/>
      <c r="H1627" s="1"/>
      <c r="I1627" s="1"/>
      <c r="J1627" s="1"/>
    </row>
    <row r="1628" spans="1:10" s="6" customFormat="1">
      <c r="A1628" s="17"/>
      <c r="C1628" s="9"/>
      <c r="D1628" s="10"/>
      <c r="E1628" s="10"/>
      <c r="F1628" s="9"/>
      <c r="G1628" s="1"/>
      <c r="H1628" s="1"/>
      <c r="I1628" s="1"/>
      <c r="J1628" s="1"/>
    </row>
    <row r="1629" spans="1:10" s="6" customFormat="1">
      <c r="A1629" s="17"/>
      <c r="C1629" s="9"/>
      <c r="D1629" s="10"/>
      <c r="E1629" s="10"/>
      <c r="F1629" s="9"/>
      <c r="G1629" s="1"/>
      <c r="H1629" s="1"/>
      <c r="I1629" s="1"/>
      <c r="J1629" s="1"/>
    </row>
    <row r="1630" spans="1:10" s="6" customFormat="1">
      <c r="A1630" s="17"/>
      <c r="C1630" s="9"/>
      <c r="D1630" s="10"/>
      <c r="E1630" s="10"/>
      <c r="F1630" s="9"/>
      <c r="G1630" s="1"/>
      <c r="H1630" s="1"/>
      <c r="I1630" s="1"/>
      <c r="J1630" s="1"/>
    </row>
    <row r="1631" spans="1:10" s="6" customFormat="1">
      <c r="A1631" s="17"/>
      <c r="C1631" s="9"/>
      <c r="D1631" s="10"/>
      <c r="E1631" s="10"/>
      <c r="F1631" s="9"/>
      <c r="G1631" s="1"/>
      <c r="H1631" s="1"/>
      <c r="I1631" s="1"/>
      <c r="J1631" s="1"/>
    </row>
    <row r="1632" spans="1:10" s="6" customFormat="1">
      <c r="A1632" s="17"/>
      <c r="C1632" s="9"/>
      <c r="D1632" s="10"/>
      <c r="E1632" s="10"/>
      <c r="F1632" s="9"/>
      <c r="G1632" s="1"/>
      <c r="H1632" s="1"/>
      <c r="I1632" s="1"/>
      <c r="J1632" s="1"/>
    </row>
    <row r="1633" spans="1:10" s="6" customFormat="1">
      <c r="A1633" s="17"/>
      <c r="C1633" s="9"/>
      <c r="D1633" s="10"/>
      <c r="E1633" s="10"/>
      <c r="F1633" s="9"/>
      <c r="G1633" s="1"/>
      <c r="H1633" s="1"/>
      <c r="I1633" s="1"/>
      <c r="J1633" s="1"/>
    </row>
    <row r="1634" spans="1:10" s="6" customFormat="1">
      <c r="A1634" s="17"/>
      <c r="C1634" s="9"/>
      <c r="D1634" s="10"/>
      <c r="E1634" s="10"/>
      <c r="F1634" s="9"/>
      <c r="G1634" s="1"/>
      <c r="H1634" s="1"/>
      <c r="I1634" s="1"/>
      <c r="J1634" s="1"/>
    </row>
    <row r="1635" spans="1:10" s="6" customFormat="1">
      <c r="A1635" s="17"/>
      <c r="C1635" s="9"/>
      <c r="D1635" s="10"/>
      <c r="E1635" s="10"/>
      <c r="F1635" s="9"/>
      <c r="G1635" s="1"/>
      <c r="H1635" s="1"/>
      <c r="I1635" s="1"/>
      <c r="J1635" s="1"/>
    </row>
    <row r="1636" spans="1:10" s="6" customFormat="1">
      <c r="A1636" s="17"/>
      <c r="C1636" s="9"/>
      <c r="D1636" s="10"/>
      <c r="E1636" s="10"/>
      <c r="F1636" s="9"/>
      <c r="G1636" s="1"/>
      <c r="H1636" s="1"/>
      <c r="I1636" s="1"/>
      <c r="J1636" s="1"/>
    </row>
    <row r="1637" spans="1:10" s="6" customFormat="1">
      <c r="A1637" s="17"/>
      <c r="C1637" s="9"/>
      <c r="D1637" s="10"/>
      <c r="E1637" s="10"/>
      <c r="F1637" s="9"/>
      <c r="G1637" s="1"/>
      <c r="H1637" s="1"/>
      <c r="I1637" s="1"/>
      <c r="J1637" s="1"/>
    </row>
    <row r="1638" spans="1:10" s="6" customFormat="1">
      <c r="A1638" s="17"/>
      <c r="C1638" s="9"/>
      <c r="D1638" s="10"/>
      <c r="E1638" s="10"/>
      <c r="F1638" s="9"/>
      <c r="G1638" s="1"/>
      <c r="H1638" s="1"/>
      <c r="I1638" s="1"/>
      <c r="J1638" s="1"/>
    </row>
    <row r="1639" spans="1:10" s="6" customFormat="1">
      <c r="A1639" s="17"/>
      <c r="C1639" s="9"/>
      <c r="D1639" s="10"/>
      <c r="E1639" s="10"/>
      <c r="F1639" s="9"/>
      <c r="G1639" s="1"/>
      <c r="H1639" s="1"/>
      <c r="I1639" s="1"/>
      <c r="J1639" s="1"/>
    </row>
    <row r="1640" spans="1:10" s="6" customFormat="1">
      <c r="A1640" s="17"/>
      <c r="C1640" s="9"/>
      <c r="D1640" s="10"/>
      <c r="E1640" s="10"/>
      <c r="F1640" s="9"/>
      <c r="G1640" s="1"/>
      <c r="H1640" s="1"/>
      <c r="I1640" s="1"/>
      <c r="J1640" s="1"/>
    </row>
    <row r="1641" spans="1:10" s="6" customFormat="1">
      <c r="A1641" s="17"/>
      <c r="C1641" s="9"/>
      <c r="D1641" s="10"/>
      <c r="E1641" s="10"/>
      <c r="F1641" s="9"/>
      <c r="G1641" s="1"/>
      <c r="H1641" s="1"/>
      <c r="I1641" s="1"/>
      <c r="J1641" s="1"/>
    </row>
    <row r="1642" spans="1:10" s="6" customFormat="1">
      <c r="A1642" s="17"/>
      <c r="C1642" s="9"/>
      <c r="D1642" s="10"/>
      <c r="E1642" s="10"/>
      <c r="F1642" s="9"/>
      <c r="G1642" s="1"/>
      <c r="H1642" s="1"/>
      <c r="I1642" s="1"/>
      <c r="J1642" s="1"/>
    </row>
    <row r="1643" spans="1:10" s="6" customFormat="1">
      <c r="A1643" s="17"/>
      <c r="C1643" s="9"/>
      <c r="D1643" s="10"/>
      <c r="E1643" s="10"/>
      <c r="F1643" s="9"/>
      <c r="G1643" s="1"/>
      <c r="H1643" s="1"/>
      <c r="I1643" s="1"/>
      <c r="J1643" s="1"/>
    </row>
    <row r="1644" spans="1:10" s="6" customFormat="1">
      <c r="A1644" s="17"/>
      <c r="C1644" s="9"/>
      <c r="D1644" s="10"/>
      <c r="E1644" s="10"/>
      <c r="F1644" s="9"/>
      <c r="G1644" s="1"/>
      <c r="H1644" s="1"/>
      <c r="I1644" s="1"/>
      <c r="J1644" s="1"/>
    </row>
    <row r="1645" spans="1:10" s="6" customFormat="1">
      <c r="A1645" s="17"/>
      <c r="C1645" s="9"/>
      <c r="D1645" s="10"/>
      <c r="E1645" s="10"/>
      <c r="F1645" s="9"/>
      <c r="G1645" s="1"/>
      <c r="H1645" s="1"/>
      <c r="I1645" s="1"/>
      <c r="J1645" s="1"/>
    </row>
    <row r="1646" spans="1:10" s="6" customFormat="1">
      <c r="A1646" s="17"/>
      <c r="C1646" s="9"/>
      <c r="D1646" s="10"/>
      <c r="E1646" s="10"/>
      <c r="F1646" s="9"/>
      <c r="G1646" s="1"/>
      <c r="H1646" s="1"/>
      <c r="I1646" s="1"/>
      <c r="J1646" s="1"/>
    </row>
    <row r="1647" spans="1:10" s="6" customFormat="1">
      <c r="A1647" s="17"/>
      <c r="C1647" s="9"/>
      <c r="D1647" s="10"/>
      <c r="E1647" s="10"/>
      <c r="F1647" s="9"/>
      <c r="G1647" s="1"/>
      <c r="H1647" s="1"/>
      <c r="I1647" s="1"/>
      <c r="J1647" s="1"/>
    </row>
    <row r="1648" spans="1:10" s="6" customFormat="1">
      <c r="A1648" s="17"/>
      <c r="C1648" s="9"/>
      <c r="D1648" s="10"/>
      <c r="E1648" s="10"/>
      <c r="F1648" s="9"/>
      <c r="G1648" s="1"/>
      <c r="H1648" s="1"/>
      <c r="I1648" s="1"/>
      <c r="J1648" s="1"/>
    </row>
    <row r="1649" spans="1:10" s="6" customFormat="1">
      <c r="A1649" s="17"/>
      <c r="C1649" s="9"/>
      <c r="D1649" s="10"/>
      <c r="E1649" s="10"/>
      <c r="F1649" s="9"/>
      <c r="G1649" s="1"/>
      <c r="H1649" s="1"/>
      <c r="I1649" s="1"/>
      <c r="J1649" s="1"/>
    </row>
    <row r="1650" spans="1:10" s="6" customFormat="1">
      <c r="A1650" s="17"/>
      <c r="C1650" s="9"/>
      <c r="D1650" s="10"/>
      <c r="E1650" s="10"/>
      <c r="F1650" s="9"/>
      <c r="G1650" s="1"/>
      <c r="H1650" s="1"/>
      <c r="I1650" s="1"/>
      <c r="J1650" s="1"/>
    </row>
    <row r="1651" spans="1:10" s="6" customFormat="1">
      <c r="A1651" s="17"/>
      <c r="C1651" s="9"/>
      <c r="D1651" s="10"/>
      <c r="E1651" s="10"/>
      <c r="F1651" s="9"/>
      <c r="G1651" s="1"/>
      <c r="H1651" s="1"/>
      <c r="I1651" s="1"/>
      <c r="J1651" s="1"/>
    </row>
    <row r="1652" spans="1:10" s="6" customFormat="1">
      <c r="A1652" s="17"/>
      <c r="C1652" s="9"/>
      <c r="D1652" s="10"/>
      <c r="E1652" s="10"/>
      <c r="F1652" s="9"/>
      <c r="G1652" s="1"/>
      <c r="H1652" s="1"/>
      <c r="I1652" s="1"/>
      <c r="J1652" s="1"/>
    </row>
    <row r="1653" spans="1:10" s="6" customFormat="1">
      <c r="A1653" s="17"/>
      <c r="C1653" s="9"/>
      <c r="D1653" s="10"/>
      <c r="E1653" s="10"/>
      <c r="F1653" s="9"/>
      <c r="G1653" s="1"/>
      <c r="H1653" s="1"/>
      <c r="I1653" s="1"/>
      <c r="J1653" s="1"/>
    </row>
    <row r="1654" spans="1:10" s="6" customFormat="1">
      <c r="A1654" s="17"/>
      <c r="C1654" s="9"/>
      <c r="D1654" s="10"/>
      <c r="E1654" s="10"/>
      <c r="F1654" s="9"/>
      <c r="G1654" s="1"/>
      <c r="H1654" s="1"/>
      <c r="I1654" s="1"/>
      <c r="J1654" s="1"/>
    </row>
    <row r="1655" spans="1:10" s="6" customFormat="1">
      <c r="A1655" s="17"/>
      <c r="C1655" s="9"/>
      <c r="D1655" s="10"/>
      <c r="E1655" s="10"/>
      <c r="F1655" s="9"/>
      <c r="G1655" s="1"/>
      <c r="H1655" s="1"/>
      <c r="I1655" s="1"/>
      <c r="J1655" s="1"/>
    </row>
    <row r="1656" spans="1:10" s="6" customFormat="1">
      <c r="A1656" s="17"/>
      <c r="C1656" s="9"/>
      <c r="D1656" s="10"/>
      <c r="E1656" s="10"/>
      <c r="F1656" s="9"/>
      <c r="G1656" s="1"/>
      <c r="H1656" s="1"/>
      <c r="I1656" s="1"/>
      <c r="J1656" s="1"/>
    </row>
    <row r="1657" spans="1:10" s="6" customFormat="1">
      <c r="A1657" s="17"/>
      <c r="C1657" s="9"/>
      <c r="D1657" s="10"/>
      <c r="E1657" s="10"/>
      <c r="F1657" s="9"/>
      <c r="G1657" s="1"/>
      <c r="H1657" s="1"/>
      <c r="I1657" s="1"/>
      <c r="J1657" s="1"/>
    </row>
    <row r="1658" spans="1:10" s="6" customFormat="1">
      <c r="A1658" s="17"/>
      <c r="C1658" s="9"/>
      <c r="D1658" s="10"/>
      <c r="E1658" s="10"/>
      <c r="F1658" s="9"/>
      <c r="G1658" s="1"/>
      <c r="H1658" s="1"/>
      <c r="I1658" s="1"/>
      <c r="J1658" s="1"/>
    </row>
    <row r="1659" spans="1:10" s="6" customFormat="1">
      <c r="A1659" s="17"/>
      <c r="C1659" s="9"/>
      <c r="D1659" s="10"/>
      <c r="E1659" s="10"/>
      <c r="F1659" s="9"/>
      <c r="G1659" s="1"/>
      <c r="H1659" s="1"/>
      <c r="I1659" s="1"/>
      <c r="J1659" s="1"/>
    </row>
    <row r="1660" spans="1:10" s="6" customFormat="1">
      <c r="A1660" s="17"/>
      <c r="C1660" s="9"/>
      <c r="D1660" s="10"/>
      <c r="E1660" s="10"/>
      <c r="F1660" s="9"/>
      <c r="G1660" s="1"/>
      <c r="H1660" s="1"/>
      <c r="I1660" s="1"/>
      <c r="J1660" s="1"/>
    </row>
    <row r="1661" spans="1:10" s="6" customFormat="1">
      <c r="A1661" s="17"/>
      <c r="C1661" s="9"/>
      <c r="D1661" s="10"/>
      <c r="E1661" s="10"/>
      <c r="F1661" s="9"/>
      <c r="G1661" s="1"/>
      <c r="H1661" s="1"/>
      <c r="I1661" s="1"/>
      <c r="J1661" s="1"/>
    </row>
    <row r="1662" spans="1:10" s="6" customFormat="1">
      <c r="A1662" s="17"/>
      <c r="C1662" s="9"/>
      <c r="D1662" s="10"/>
      <c r="E1662" s="10"/>
      <c r="F1662" s="9"/>
      <c r="G1662" s="1"/>
      <c r="H1662" s="1"/>
      <c r="I1662" s="1"/>
      <c r="J1662" s="1"/>
    </row>
    <row r="1663" spans="1:10" s="6" customFormat="1">
      <c r="A1663" s="17"/>
      <c r="C1663" s="9"/>
      <c r="D1663" s="10"/>
      <c r="E1663" s="10"/>
      <c r="F1663" s="9"/>
      <c r="G1663" s="1"/>
      <c r="H1663" s="1"/>
      <c r="I1663" s="1"/>
      <c r="J1663" s="1"/>
    </row>
    <row r="1664" spans="1:10" s="6" customFormat="1">
      <c r="A1664" s="17"/>
      <c r="C1664" s="9"/>
      <c r="D1664" s="10"/>
      <c r="E1664" s="10"/>
      <c r="F1664" s="9"/>
      <c r="G1664" s="1"/>
      <c r="H1664" s="1"/>
      <c r="I1664" s="1"/>
      <c r="J1664" s="1"/>
    </row>
    <row r="1665" spans="1:10" s="6" customFormat="1">
      <c r="A1665" s="17"/>
      <c r="C1665" s="9"/>
      <c r="D1665" s="10"/>
      <c r="E1665" s="10"/>
      <c r="F1665" s="9"/>
      <c r="G1665" s="1"/>
      <c r="H1665" s="1"/>
      <c r="I1665" s="1"/>
      <c r="J1665" s="1"/>
    </row>
    <row r="1666" spans="1:10" s="6" customFormat="1">
      <c r="A1666" s="17"/>
      <c r="C1666" s="9"/>
      <c r="D1666" s="10"/>
      <c r="E1666" s="10"/>
      <c r="F1666" s="9"/>
      <c r="G1666" s="1"/>
      <c r="H1666" s="1"/>
      <c r="I1666" s="1"/>
      <c r="J1666" s="1"/>
    </row>
    <row r="1667" spans="1:10" s="6" customFormat="1">
      <c r="A1667" s="17"/>
      <c r="C1667" s="9"/>
      <c r="D1667" s="10"/>
      <c r="E1667" s="10"/>
      <c r="F1667" s="9"/>
      <c r="G1667" s="1"/>
      <c r="H1667" s="1"/>
      <c r="I1667" s="1"/>
      <c r="J1667" s="1"/>
    </row>
    <row r="1668" spans="1:10" s="6" customFormat="1">
      <c r="A1668" s="17"/>
      <c r="C1668" s="9"/>
      <c r="D1668" s="10"/>
      <c r="E1668" s="10"/>
      <c r="F1668" s="9"/>
      <c r="G1668" s="1"/>
      <c r="H1668" s="1"/>
      <c r="I1668" s="1"/>
      <c r="J1668" s="1"/>
    </row>
    <row r="1669" spans="1:10" s="6" customFormat="1">
      <c r="A1669" s="17"/>
      <c r="C1669" s="9"/>
      <c r="D1669" s="10"/>
      <c r="E1669" s="10"/>
      <c r="F1669" s="9"/>
      <c r="G1669" s="1"/>
      <c r="H1669" s="1"/>
      <c r="I1669" s="1"/>
      <c r="J1669" s="1"/>
    </row>
    <row r="1670" spans="1:10" s="6" customFormat="1">
      <c r="A1670" s="17"/>
      <c r="C1670" s="9"/>
      <c r="D1670" s="10"/>
      <c r="E1670" s="10"/>
      <c r="F1670" s="9"/>
      <c r="G1670" s="1"/>
      <c r="H1670" s="1"/>
      <c r="I1670" s="1"/>
      <c r="J1670" s="1"/>
    </row>
    <row r="1671" spans="1:10" s="6" customFormat="1">
      <c r="A1671" s="17"/>
      <c r="C1671" s="9"/>
      <c r="D1671" s="10"/>
      <c r="E1671" s="10"/>
      <c r="F1671" s="9"/>
      <c r="G1671" s="1"/>
      <c r="H1671" s="1"/>
      <c r="I1671" s="1"/>
      <c r="J1671" s="1"/>
    </row>
    <row r="1672" spans="1:10" s="6" customFormat="1">
      <c r="A1672" s="17"/>
      <c r="C1672" s="9"/>
      <c r="D1672" s="10"/>
      <c r="E1672" s="10"/>
      <c r="F1672" s="9"/>
      <c r="G1672" s="1"/>
      <c r="H1672" s="1"/>
      <c r="I1672" s="1"/>
      <c r="J1672" s="1"/>
    </row>
    <row r="1673" spans="1:10" s="6" customFormat="1">
      <c r="A1673" s="17"/>
      <c r="C1673" s="9"/>
      <c r="D1673" s="10"/>
      <c r="E1673" s="10"/>
      <c r="F1673" s="9"/>
      <c r="G1673" s="1"/>
      <c r="H1673" s="1"/>
      <c r="I1673" s="1"/>
      <c r="J1673" s="1"/>
    </row>
    <row r="1674" spans="1:10" s="6" customFormat="1">
      <c r="A1674" s="17"/>
      <c r="C1674" s="9"/>
      <c r="D1674" s="10"/>
      <c r="E1674" s="10"/>
      <c r="F1674" s="9"/>
      <c r="G1674" s="1"/>
      <c r="H1674" s="1"/>
      <c r="I1674" s="1"/>
      <c r="J1674" s="1"/>
    </row>
    <row r="1675" spans="1:10" s="6" customFormat="1">
      <c r="A1675" s="17"/>
      <c r="C1675" s="9"/>
      <c r="D1675" s="10"/>
      <c r="E1675" s="10"/>
      <c r="F1675" s="9"/>
      <c r="G1675" s="1"/>
      <c r="H1675" s="1"/>
      <c r="I1675" s="1"/>
      <c r="J1675" s="1"/>
    </row>
    <row r="1676" spans="1:10" s="6" customFormat="1">
      <c r="A1676" s="17"/>
      <c r="C1676" s="9"/>
      <c r="D1676" s="10"/>
      <c r="E1676" s="10"/>
      <c r="F1676" s="9"/>
      <c r="G1676" s="1"/>
      <c r="H1676" s="1"/>
      <c r="I1676" s="1"/>
      <c r="J1676" s="1"/>
    </row>
    <row r="1677" spans="1:10" s="6" customFormat="1">
      <c r="A1677" s="17"/>
      <c r="C1677" s="9"/>
      <c r="D1677" s="10"/>
      <c r="E1677" s="10"/>
      <c r="F1677" s="9"/>
      <c r="G1677" s="1"/>
      <c r="H1677" s="1"/>
      <c r="I1677" s="1"/>
      <c r="J1677" s="1"/>
    </row>
    <row r="1678" spans="1:10" s="6" customFormat="1">
      <c r="A1678" s="17"/>
      <c r="C1678" s="9"/>
      <c r="D1678" s="10"/>
      <c r="E1678" s="10"/>
      <c r="F1678" s="9"/>
      <c r="G1678" s="1"/>
      <c r="H1678" s="1"/>
      <c r="I1678" s="1"/>
      <c r="J1678" s="1"/>
    </row>
    <row r="1679" spans="1:10" s="6" customFormat="1">
      <c r="A1679" s="17"/>
      <c r="C1679" s="9"/>
      <c r="D1679" s="10"/>
      <c r="E1679" s="10"/>
      <c r="F1679" s="9"/>
      <c r="G1679" s="1"/>
      <c r="H1679" s="1"/>
      <c r="I1679" s="1"/>
      <c r="J1679" s="1"/>
    </row>
    <row r="1680" spans="1:10" s="6" customFormat="1">
      <c r="A1680" s="17"/>
      <c r="C1680" s="9"/>
      <c r="D1680" s="10"/>
      <c r="E1680" s="10"/>
      <c r="F1680" s="9"/>
      <c r="G1680" s="1"/>
      <c r="H1680" s="1"/>
      <c r="I1680" s="1"/>
      <c r="J1680" s="1"/>
    </row>
    <row r="1681" spans="1:10" s="6" customFormat="1">
      <c r="A1681" s="17"/>
      <c r="C1681" s="9"/>
      <c r="D1681" s="10"/>
      <c r="E1681" s="10"/>
      <c r="F1681" s="9"/>
      <c r="G1681" s="1"/>
      <c r="H1681" s="1"/>
      <c r="I1681" s="1"/>
      <c r="J1681" s="1"/>
    </row>
    <row r="1682" spans="1:10" s="6" customFormat="1">
      <c r="A1682" s="17"/>
      <c r="C1682" s="9"/>
      <c r="D1682" s="10"/>
      <c r="E1682" s="10"/>
      <c r="F1682" s="9"/>
      <c r="G1682" s="1"/>
      <c r="H1682" s="1"/>
      <c r="I1682" s="1"/>
      <c r="J1682" s="1"/>
    </row>
    <row r="1683" spans="1:10" s="6" customFormat="1">
      <c r="A1683" s="17"/>
      <c r="C1683" s="9"/>
      <c r="D1683" s="10"/>
      <c r="E1683" s="10"/>
      <c r="F1683" s="9"/>
      <c r="G1683" s="1"/>
      <c r="H1683" s="1"/>
      <c r="I1683" s="1"/>
      <c r="J1683" s="1"/>
    </row>
    <row r="1684" spans="1:10" s="6" customFormat="1">
      <c r="A1684" s="17"/>
      <c r="C1684" s="9"/>
      <c r="D1684" s="10"/>
      <c r="E1684" s="10"/>
      <c r="F1684" s="9"/>
      <c r="G1684" s="1"/>
      <c r="H1684" s="1"/>
      <c r="I1684" s="1"/>
      <c r="J1684" s="1"/>
    </row>
    <row r="1685" spans="1:10" s="6" customFormat="1">
      <c r="A1685" s="17"/>
      <c r="C1685" s="9"/>
      <c r="D1685" s="10"/>
      <c r="E1685" s="10"/>
      <c r="F1685" s="9"/>
      <c r="G1685" s="1"/>
      <c r="H1685" s="1"/>
      <c r="I1685" s="1"/>
      <c r="J1685" s="1"/>
    </row>
    <row r="1686" spans="1:10" s="6" customFormat="1">
      <c r="A1686" s="17"/>
      <c r="C1686" s="9"/>
      <c r="D1686" s="10"/>
      <c r="E1686" s="10"/>
      <c r="F1686" s="9"/>
      <c r="G1686" s="1"/>
      <c r="H1686" s="1"/>
      <c r="I1686" s="1"/>
      <c r="J1686" s="1"/>
    </row>
    <row r="1687" spans="1:10" s="6" customFormat="1">
      <c r="A1687" s="17"/>
      <c r="C1687" s="9"/>
      <c r="D1687" s="10"/>
      <c r="E1687" s="10"/>
      <c r="F1687" s="9"/>
      <c r="G1687" s="1"/>
      <c r="H1687" s="1"/>
      <c r="I1687" s="1"/>
      <c r="J1687" s="1"/>
    </row>
    <row r="1688" spans="1:10" s="6" customFormat="1">
      <c r="A1688" s="17"/>
      <c r="C1688" s="9"/>
      <c r="D1688" s="10"/>
      <c r="E1688" s="10"/>
      <c r="F1688" s="9"/>
      <c r="G1688" s="1"/>
      <c r="H1688" s="1"/>
      <c r="I1688" s="1"/>
      <c r="J1688" s="1"/>
    </row>
    <row r="1689" spans="1:10" s="6" customFormat="1">
      <c r="A1689" s="17"/>
      <c r="C1689" s="9"/>
      <c r="D1689" s="10"/>
      <c r="E1689" s="10"/>
      <c r="F1689" s="9"/>
      <c r="G1689" s="1"/>
      <c r="H1689" s="1"/>
      <c r="I1689" s="1"/>
      <c r="J1689" s="1"/>
    </row>
    <row r="1690" spans="1:10" s="6" customFormat="1">
      <c r="A1690" s="17"/>
      <c r="C1690" s="9"/>
      <c r="D1690" s="10"/>
      <c r="E1690" s="10"/>
      <c r="F1690" s="9"/>
      <c r="G1690" s="1"/>
      <c r="H1690" s="1"/>
      <c r="I1690" s="1"/>
      <c r="J1690" s="1"/>
    </row>
    <row r="1691" spans="1:10" s="6" customFormat="1">
      <c r="A1691" s="17"/>
      <c r="C1691" s="9"/>
      <c r="D1691" s="10"/>
      <c r="E1691" s="10"/>
      <c r="F1691" s="9"/>
      <c r="G1691" s="1"/>
      <c r="H1691" s="1"/>
      <c r="I1691" s="1"/>
      <c r="J1691" s="1"/>
    </row>
    <row r="1692" spans="1:10" s="6" customFormat="1">
      <c r="A1692" s="17"/>
      <c r="C1692" s="9"/>
      <c r="D1692" s="10"/>
      <c r="E1692" s="10"/>
      <c r="F1692" s="9"/>
      <c r="G1692" s="1"/>
      <c r="H1692" s="1"/>
      <c r="I1692" s="1"/>
      <c r="J1692" s="1"/>
    </row>
    <row r="1693" spans="1:10" s="6" customFormat="1">
      <c r="A1693" s="17"/>
      <c r="C1693" s="9"/>
      <c r="D1693" s="10"/>
      <c r="E1693" s="10"/>
      <c r="F1693" s="9"/>
      <c r="G1693" s="1"/>
      <c r="H1693" s="1"/>
      <c r="I1693" s="1"/>
      <c r="J1693" s="1"/>
    </row>
    <row r="1694" spans="1:10" s="6" customFormat="1">
      <c r="A1694" s="17"/>
      <c r="C1694" s="9"/>
      <c r="D1694" s="10"/>
      <c r="E1694" s="10"/>
      <c r="F1694" s="9"/>
      <c r="G1694" s="1"/>
      <c r="H1694" s="1"/>
      <c r="I1694" s="1"/>
      <c r="J1694" s="1"/>
    </row>
    <row r="1695" spans="1:10" s="6" customFormat="1">
      <c r="A1695" s="17"/>
      <c r="C1695" s="9"/>
      <c r="D1695" s="10"/>
      <c r="E1695" s="10"/>
      <c r="F1695" s="9"/>
      <c r="G1695" s="1"/>
      <c r="H1695" s="1"/>
      <c r="I1695" s="1"/>
      <c r="J1695" s="1"/>
    </row>
    <row r="1696" spans="1:10" s="6" customFormat="1">
      <c r="A1696" s="17"/>
      <c r="C1696" s="9"/>
      <c r="D1696" s="10"/>
      <c r="E1696" s="10"/>
      <c r="F1696" s="9"/>
      <c r="G1696" s="1"/>
      <c r="H1696" s="1"/>
      <c r="I1696" s="1"/>
      <c r="J1696" s="1"/>
    </row>
    <row r="1697" spans="1:10" s="6" customFormat="1">
      <c r="A1697" s="17"/>
      <c r="C1697" s="9"/>
      <c r="D1697" s="10"/>
      <c r="E1697" s="10"/>
      <c r="F1697" s="9"/>
      <c r="G1697" s="1"/>
      <c r="H1697" s="1"/>
      <c r="I1697" s="1"/>
      <c r="J1697" s="1"/>
    </row>
    <row r="1698" spans="1:10" s="6" customFormat="1">
      <c r="A1698" s="17"/>
      <c r="C1698" s="9"/>
      <c r="D1698" s="10"/>
      <c r="E1698" s="10"/>
      <c r="F1698" s="9"/>
      <c r="G1698" s="1"/>
      <c r="H1698" s="1"/>
      <c r="I1698" s="1"/>
      <c r="J1698" s="1"/>
    </row>
    <row r="1699" spans="1:10" s="6" customFormat="1">
      <c r="A1699" s="17"/>
      <c r="C1699" s="9"/>
      <c r="D1699" s="10"/>
      <c r="E1699" s="10"/>
      <c r="F1699" s="9"/>
      <c r="G1699" s="1"/>
      <c r="H1699" s="1"/>
      <c r="I1699" s="1"/>
      <c r="J1699" s="1"/>
    </row>
    <row r="1700" spans="1:10" s="6" customFormat="1">
      <c r="A1700" s="17"/>
      <c r="C1700" s="9"/>
      <c r="D1700" s="10"/>
      <c r="E1700" s="10"/>
      <c r="F1700" s="9"/>
      <c r="G1700" s="1"/>
      <c r="H1700" s="1"/>
      <c r="I1700" s="1"/>
      <c r="J1700" s="1"/>
    </row>
    <row r="1701" spans="1:10" s="6" customFormat="1">
      <c r="A1701" s="17"/>
      <c r="C1701" s="9"/>
      <c r="D1701" s="10"/>
      <c r="E1701" s="10"/>
      <c r="F1701" s="9"/>
      <c r="G1701" s="1"/>
      <c r="H1701" s="1"/>
      <c r="I1701" s="1"/>
      <c r="J1701" s="1"/>
    </row>
    <row r="1702" spans="1:10" s="6" customFormat="1">
      <c r="A1702" s="17"/>
      <c r="C1702" s="9"/>
      <c r="D1702" s="10"/>
      <c r="E1702" s="10"/>
      <c r="F1702" s="9"/>
      <c r="G1702" s="1"/>
      <c r="H1702" s="1"/>
      <c r="I1702" s="1"/>
      <c r="J1702" s="1"/>
    </row>
    <row r="1703" spans="1:10" s="6" customFormat="1">
      <c r="A1703" s="17"/>
      <c r="C1703" s="9"/>
      <c r="D1703" s="10"/>
      <c r="E1703" s="10"/>
      <c r="F1703" s="9"/>
      <c r="G1703" s="1"/>
      <c r="H1703" s="1"/>
      <c r="I1703" s="1"/>
      <c r="J1703" s="1"/>
    </row>
    <row r="1704" spans="1:10" s="6" customFormat="1">
      <c r="A1704" s="17"/>
      <c r="C1704" s="9"/>
      <c r="D1704" s="10"/>
      <c r="E1704" s="10"/>
      <c r="F1704" s="9"/>
      <c r="G1704" s="1"/>
      <c r="H1704" s="1"/>
      <c r="I1704" s="1"/>
      <c r="J1704" s="1"/>
    </row>
    <row r="1705" spans="1:10" s="6" customFormat="1">
      <c r="A1705" s="17"/>
      <c r="C1705" s="9"/>
      <c r="D1705" s="10"/>
      <c r="E1705" s="10"/>
      <c r="F1705" s="9"/>
      <c r="G1705" s="1"/>
      <c r="H1705" s="1"/>
      <c r="I1705" s="1"/>
      <c r="J1705" s="1"/>
    </row>
    <row r="1706" spans="1:10" s="6" customFormat="1">
      <c r="A1706" s="17"/>
      <c r="C1706" s="9"/>
      <c r="D1706" s="10"/>
      <c r="E1706" s="10"/>
      <c r="F1706" s="9"/>
      <c r="G1706" s="1"/>
      <c r="H1706" s="1"/>
      <c r="I1706" s="1"/>
      <c r="J1706" s="1"/>
    </row>
    <row r="1707" spans="1:10" s="6" customFormat="1">
      <c r="A1707" s="17"/>
      <c r="C1707" s="9"/>
      <c r="D1707" s="10"/>
      <c r="E1707" s="10"/>
      <c r="F1707" s="9"/>
      <c r="G1707" s="1"/>
      <c r="H1707" s="1"/>
      <c r="I1707" s="1"/>
      <c r="J1707" s="1"/>
    </row>
    <row r="1708" spans="1:10" s="6" customFormat="1">
      <c r="A1708" s="17"/>
      <c r="C1708" s="9"/>
      <c r="D1708" s="10"/>
      <c r="E1708" s="10"/>
      <c r="F1708" s="9"/>
      <c r="G1708" s="1"/>
      <c r="H1708" s="1"/>
      <c r="I1708" s="1"/>
      <c r="J1708" s="1"/>
    </row>
    <row r="1709" spans="1:10" s="6" customFormat="1">
      <c r="A1709" s="17"/>
      <c r="C1709" s="9"/>
      <c r="D1709" s="10"/>
      <c r="E1709" s="10"/>
      <c r="F1709" s="9"/>
      <c r="G1709" s="1"/>
      <c r="H1709" s="1"/>
      <c r="I1709" s="1"/>
      <c r="J1709" s="1"/>
    </row>
    <row r="1710" spans="1:10" s="6" customFormat="1">
      <c r="A1710" s="17"/>
      <c r="C1710" s="9"/>
      <c r="D1710" s="10"/>
      <c r="E1710" s="10"/>
      <c r="F1710" s="9"/>
      <c r="G1710" s="1"/>
      <c r="H1710" s="1"/>
      <c r="I1710" s="1"/>
      <c r="J1710" s="1"/>
    </row>
    <row r="1711" spans="1:10" s="6" customFormat="1">
      <c r="A1711" s="17"/>
      <c r="C1711" s="9"/>
      <c r="D1711" s="10"/>
      <c r="E1711" s="10"/>
      <c r="F1711" s="9"/>
      <c r="G1711" s="1"/>
      <c r="H1711" s="1"/>
      <c r="I1711" s="1"/>
      <c r="J1711" s="1"/>
    </row>
    <row r="1712" spans="1:10" s="6" customFormat="1">
      <c r="A1712" s="17"/>
      <c r="C1712" s="9"/>
      <c r="D1712" s="10"/>
      <c r="E1712" s="10"/>
      <c r="F1712" s="9"/>
      <c r="G1712" s="1"/>
      <c r="H1712" s="1"/>
      <c r="I1712" s="1"/>
      <c r="J1712" s="1"/>
    </row>
    <row r="1713" spans="1:10" s="6" customFormat="1">
      <c r="A1713" s="17"/>
      <c r="C1713" s="9"/>
      <c r="D1713" s="10"/>
      <c r="E1713" s="10"/>
      <c r="F1713" s="9"/>
      <c r="G1713" s="1"/>
      <c r="H1713" s="1"/>
      <c r="I1713" s="1"/>
      <c r="J1713" s="1"/>
    </row>
    <row r="1714" spans="1:10" s="6" customFormat="1">
      <c r="A1714" s="17"/>
      <c r="C1714" s="9"/>
      <c r="D1714" s="10"/>
      <c r="E1714" s="10"/>
      <c r="F1714" s="9"/>
      <c r="G1714" s="1"/>
      <c r="H1714" s="1"/>
      <c r="I1714" s="1"/>
      <c r="J1714" s="1"/>
    </row>
    <row r="1715" spans="1:10" s="6" customFormat="1">
      <c r="A1715" s="17"/>
      <c r="C1715" s="9"/>
      <c r="D1715" s="10"/>
      <c r="E1715" s="10"/>
      <c r="F1715" s="9"/>
      <c r="G1715" s="1"/>
      <c r="H1715" s="1"/>
      <c r="I1715" s="1"/>
      <c r="J1715" s="1"/>
    </row>
    <row r="1716" spans="1:10" s="6" customFormat="1">
      <c r="A1716" s="17"/>
      <c r="C1716" s="9"/>
      <c r="D1716" s="10"/>
      <c r="E1716" s="10"/>
      <c r="F1716" s="9"/>
      <c r="G1716" s="1"/>
      <c r="H1716" s="1"/>
      <c r="I1716" s="1"/>
      <c r="J1716" s="1"/>
    </row>
    <row r="1717" spans="1:10" s="6" customFormat="1">
      <c r="A1717" s="17"/>
      <c r="C1717" s="9"/>
      <c r="D1717" s="10"/>
      <c r="E1717" s="10"/>
      <c r="F1717" s="9"/>
      <c r="G1717" s="1"/>
      <c r="H1717" s="1"/>
      <c r="I1717" s="1"/>
      <c r="J1717" s="1"/>
    </row>
    <row r="1718" spans="1:10" s="6" customFormat="1">
      <c r="A1718" s="17"/>
      <c r="C1718" s="9"/>
      <c r="D1718" s="10"/>
      <c r="E1718" s="10"/>
      <c r="F1718" s="9"/>
      <c r="G1718" s="1"/>
      <c r="H1718" s="1"/>
      <c r="I1718" s="1"/>
      <c r="J1718" s="1"/>
    </row>
    <row r="1719" spans="1:10" s="6" customFormat="1">
      <c r="A1719" s="17"/>
      <c r="C1719" s="9"/>
      <c r="D1719" s="10"/>
      <c r="E1719" s="10"/>
      <c r="F1719" s="9"/>
      <c r="G1719" s="1"/>
      <c r="H1719" s="1"/>
      <c r="I1719" s="1"/>
      <c r="J1719" s="1"/>
    </row>
    <row r="1720" spans="1:10" s="6" customFormat="1">
      <c r="A1720" s="17"/>
      <c r="C1720" s="9"/>
      <c r="D1720" s="10"/>
      <c r="E1720" s="10"/>
      <c r="F1720" s="9"/>
      <c r="G1720" s="1"/>
      <c r="H1720" s="1"/>
      <c r="I1720" s="1"/>
      <c r="J1720" s="1"/>
    </row>
    <row r="1721" spans="1:10" s="6" customFormat="1">
      <c r="A1721" s="17"/>
      <c r="C1721" s="9"/>
      <c r="D1721" s="10"/>
      <c r="E1721" s="10"/>
      <c r="F1721" s="9"/>
      <c r="G1721" s="1"/>
      <c r="H1721" s="1"/>
      <c r="I1721" s="1"/>
      <c r="J1721" s="1"/>
    </row>
    <row r="1722" spans="1:10" s="6" customFormat="1">
      <c r="A1722" s="17"/>
      <c r="C1722" s="9"/>
      <c r="D1722" s="10"/>
      <c r="E1722" s="10"/>
      <c r="F1722" s="9"/>
      <c r="G1722" s="1"/>
      <c r="H1722" s="1"/>
      <c r="I1722" s="1"/>
      <c r="J1722" s="1"/>
    </row>
    <row r="1723" spans="1:10" s="6" customFormat="1">
      <c r="A1723" s="17"/>
      <c r="C1723" s="9"/>
      <c r="D1723" s="10"/>
      <c r="E1723" s="10"/>
      <c r="F1723" s="9"/>
      <c r="G1723" s="1"/>
      <c r="H1723" s="1"/>
      <c r="I1723" s="1"/>
      <c r="J1723" s="1"/>
    </row>
    <row r="1724" spans="1:10" s="6" customFormat="1">
      <c r="A1724" s="17"/>
      <c r="C1724" s="9"/>
      <c r="D1724" s="10"/>
      <c r="E1724" s="10"/>
      <c r="F1724" s="9"/>
      <c r="G1724" s="1"/>
      <c r="H1724" s="1"/>
      <c r="I1724" s="1"/>
      <c r="J1724" s="1"/>
    </row>
    <row r="1725" spans="1:10" s="6" customFormat="1">
      <c r="A1725" s="17"/>
      <c r="C1725" s="9"/>
      <c r="D1725" s="10"/>
      <c r="E1725" s="10"/>
      <c r="F1725" s="9"/>
      <c r="G1725" s="1"/>
      <c r="H1725" s="1"/>
      <c r="I1725" s="1"/>
      <c r="J1725" s="1"/>
    </row>
    <row r="1726" spans="1:10" s="6" customFormat="1">
      <c r="A1726" s="17"/>
      <c r="C1726" s="9"/>
      <c r="D1726" s="10"/>
      <c r="E1726" s="10"/>
      <c r="F1726" s="9"/>
      <c r="G1726" s="1"/>
      <c r="H1726" s="1"/>
      <c r="I1726" s="1"/>
      <c r="J1726" s="1"/>
    </row>
    <row r="1727" spans="1:10" s="6" customFormat="1">
      <c r="A1727" s="17"/>
      <c r="C1727" s="9"/>
      <c r="D1727" s="10"/>
      <c r="E1727" s="10"/>
      <c r="F1727" s="9"/>
      <c r="G1727" s="1"/>
      <c r="H1727" s="1"/>
      <c r="I1727" s="1"/>
      <c r="J1727" s="1"/>
    </row>
    <row r="1728" spans="1:10" s="6" customFormat="1">
      <c r="A1728" s="17"/>
      <c r="C1728" s="9"/>
      <c r="D1728" s="10"/>
      <c r="E1728" s="10"/>
      <c r="F1728" s="9"/>
      <c r="G1728" s="1"/>
      <c r="H1728" s="1"/>
      <c r="I1728" s="1"/>
      <c r="J1728" s="1"/>
    </row>
    <row r="1729" spans="1:10" s="6" customFormat="1">
      <c r="A1729" s="17"/>
      <c r="C1729" s="9"/>
      <c r="D1729" s="10"/>
      <c r="E1729" s="10"/>
      <c r="F1729" s="9"/>
      <c r="G1729" s="1"/>
      <c r="H1729" s="1"/>
      <c r="I1729" s="1"/>
      <c r="J1729" s="1"/>
    </row>
    <row r="1730" spans="1:10" s="6" customFormat="1">
      <c r="A1730" s="17"/>
      <c r="C1730" s="9"/>
      <c r="D1730" s="10"/>
      <c r="E1730" s="10"/>
      <c r="F1730" s="9"/>
      <c r="G1730" s="1"/>
      <c r="H1730" s="1"/>
      <c r="I1730" s="1"/>
      <c r="J1730" s="1"/>
    </row>
    <row r="1731" spans="1:10" s="6" customFormat="1">
      <c r="A1731" s="17"/>
      <c r="C1731" s="9"/>
      <c r="D1731" s="10"/>
      <c r="E1731" s="10"/>
      <c r="F1731" s="9"/>
      <c r="G1731" s="1"/>
      <c r="H1731" s="1"/>
      <c r="I1731" s="1"/>
      <c r="J1731" s="1"/>
    </row>
    <row r="1732" spans="1:10" s="6" customFormat="1">
      <c r="A1732" s="17"/>
      <c r="C1732" s="9"/>
      <c r="D1732" s="10"/>
      <c r="E1732" s="10"/>
      <c r="F1732" s="9"/>
      <c r="G1732" s="1"/>
      <c r="H1732" s="1"/>
      <c r="I1732" s="1"/>
      <c r="J1732" s="1"/>
    </row>
    <row r="1733" spans="1:10" s="6" customFormat="1">
      <c r="A1733" s="17"/>
      <c r="C1733" s="9"/>
      <c r="D1733" s="10"/>
      <c r="E1733" s="10"/>
      <c r="F1733" s="9"/>
      <c r="G1733" s="1"/>
      <c r="H1733" s="1"/>
      <c r="I1733" s="1"/>
      <c r="J1733" s="1"/>
    </row>
    <row r="1734" spans="1:10" s="6" customFormat="1">
      <c r="A1734" s="17"/>
      <c r="C1734" s="9"/>
      <c r="D1734" s="10"/>
      <c r="E1734" s="10"/>
      <c r="F1734" s="9"/>
      <c r="G1734" s="1"/>
      <c r="H1734" s="1"/>
      <c r="I1734" s="1"/>
      <c r="J1734" s="1"/>
    </row>
    <row r="1735" spans="1:10" s="6" customFormat="1">
      <c r="A1735" s="17"/>
      <c r="C1735" s="9"/>
      <c r="D1735" s="10"/>
      <c r="E1735" s="10"/>
      <c r="F1735" s="9"/>
      <c r="G1735" s="1"/>
      <c r="H1735" s="1"/>
      <c r="I1735" s="1"/>
      <c r="J1735" s="1"/>
    </row>
    <row r="1736" spans="1:10" s="6" customFormat="1">
      <c r="A1736" s="17"/>
      <c r="C1736" s="9"/>
      <c r="D1736" s="10"/>
      <c r="E1736" s="10"/>
      <c r="F1736" s="9"/>
      <c r="G1736" s="1"/>
      <c r="H1736" s="1"/>
      <c r="I1736" s="1"/>
      <c r="J1736" s="1"/>
    </row>
    <row r="1737" spans="1:10" s="6" customFormat="1">
      <c r="A1737" s="17"/>
      <c r="C1737" s="9"/>
      <c r="D1737" s="10"/>
      <c r="E1737" s="10"/>
      <c r="F1737" s="9"/>
      <c r="G1737" s="1"/>
      <c r="H1737" s="1"/>
      <c r="I1737" s="1"/>
      <c r="J1737" s="1"/>
    </row>
    <row r="1738" spans="1:10" s="6" customFormat="1">
      <c r="A1738" s="17"/>
      <c r="C1738" s="9"/>
      <c r="D1738" s="10"/>
      <c r="E1738" s="10"/>
      <c r="F1738" s="9"/>
      <c r="G1738" s="1"/>
      <c r="H1738" s="1"/>
      <c r="I1738" s="1"/>
      <c r="J1738" s="1"/>
    </row>
    <row r="1739" spans="1:10" s="6" customFormat="1">
      <c r="A1739" s="17"/>
      <c r="C1739" s="9"/>
      <c r="D1739" s="10"/>
      <c r="E1739" s="10"/>
      <c r="F1739" s="9"/>
      <c r="G1739" s="1"/>
      <c r="H1739" s="1"/>
      <c r="I1739" s="1"/>
      <c r="J1739" s="1"/>
    </row>
    <row r="1740" spans="1:10" s="6" customFormat="1">
      <c r="A1740" s="17"/>
      <c r="C1740" s="9"/>
      <c r="D1740" s="10"/>
      <c r="E1740" s="10"/>
      <c r="F1740" s="9"/>
      <c r="G1740" s="1"/>
      <c r="H1740" s="1"/>
      <c r="I1740" s="1"/>
      <c r="J1740" s="1"/>
    </row>
    <row r="1741" spans="1:10" s="6" customFormat="1">
      <c r="A1741" s="17"/>
      <c r="C1741" s="9"/>
      <c r="D1741" s="10"/>
      <c r="E1741" s="10"/>
      <c r="F1741" s="9"/>
      <c r="G1741" s="1"/>
      <c r="H1741" s="1"/>
      <c r="I1741" s="1"/>
      <c r="J1741" s="1"/>
    </row>
    <row r="1742" spans="1:10" s="6" customFormat="1">
      <c r="A1742" s="17"/>
      <c r="C1742" s="9"/>
      <c r="D1742" s="10"/>
      <c r="E1742" s="10"/>
      <c r="F1742" s="9"/>
      <c r="G1742" s="1"/>
      <c r="H1742" s="1"/>
      <c r="I1742" s="1"/>
      <c r="J1742" s="1"/>
    </row>
    <row r="1743" spans="1:10" s="6" customFormat="1">
      <c r="A1743" s="17"/>
      <c r="C1743" s="9"/>
      <c r="D1743" s="10"/>
      <c r="E1743" s="10"/>
      <c r="F1743" s="9"/>
      <c r="G1743" s="1"/>
      <c r="H1743" s="1"/>
      <c r="I1743" s="1"/>
      <c r="J1743" s="1"/>
    </row>
    <row r="1744" spans="1:10" s="6" customFormat="1">
      <c r="A1744" s="17"/>
      <c r="C1744" s="9"/>
      <c r="D1744" s="10"/>
      <c r="E1744" s="10"/>
      <c r="F1744" s="9"/>
      <c r="G1744" s="1"/>
      <c r="H1744" s="1"/>
      <c r="I1744" s="1"/>
      <c r="J1744" s="1"/>
    </row>
    <row r="1745" spans="1:10" s="6" customFormat="1">
      <c r="A1745" s="17"/>
      <c r="C1745" s="9"/>
      <c r="D1745" s="10"/>
      <c r="E1745" s="10"/>
      <c r="F1745" s="9"/>
      <c r="G1745" s="1"/>
      <c r="H1745" s="1"/>
      <c r="I1745" s="1"/>
      <c r="J1745" s="1"/>
    </row>
    <row r="1746" spans="1:10" s="6" customFormat="1">
      <c r="A1746" s="17"/>
      <c r="C1746" s="9"/>
      <c r="D1746" s="10"/>
      <c r="E1746" s="10"/>
      <c r="F1746" s="9"/>
      <c r="G1746" s="1"/>
      <c r="H1746" s="1"/>
      <c r="I1746" s="1"/>
      <c r="J1746" s="1"/>
    </row>
    <row r="1747" spans="1:10" s="6" customFormat="1">
      <c r="A1747" s="17"/>
      <c r="C1747" s="9"/>
      <c r="D1747" s="10"/>
      <c r="E1747" s="10"/>
      <c r="F1747" s="9"/>
      <c r="G1747" s="1"/>
      <c r="H1747" s="1"/>
      <c r="I1747" s="1"/>
      <c r="J1747" s="1"/>
    </row>
    <row r="1748" spans="1:10" s="6" customFormat="1">
      <c r="A1748" s="17"/>
      <c r="C1748" s="9"/>
      <c r="D1748" s="10"/>
      <c r="E1748" s="10"/>
      <c r="F1748" s="9"/>
      <c r="G1748" s="1"/>
      <c r="H1748" s="1"/>
      <c r="I1748" s="1"/>
      <c r="J1748" s="1"/>
    </row>
    <row r="1749" spans="1:10" s="6" customFormat="1">
      <c r="A1749" s="17"/>
      <c r="C1749" s="9"/>
      <c r="D1749" s="10"/>
      <c r="E1749" s="10"/>
      <c r="F1749" s="9"/>
      <c r="G1749" s="1"/>
      <c r="H1749" s="1"/>
      <c r="I1749" s="1"/>
      <c r="J1749" s="1"/>
    </row>
    <row r="1750" spans="1:10" s="6" customFormat="1">
      <c r="A1750" s="17"/>
      <c r="C1750" s="9"/>
      <c r="D1750" s="10"/>
      <c r="E1750" s="10"/>
      <c r="F1750" s="9"/>
      <c r="G1750" s="1"/>
      <c r="H1750" s="1"/>
      <c r="I1750" s="1"/>
      <c r="J1750" s="1"/>
    </row>
    <row r="1751" spans="1:10" s="6" customFormat="1">
      <c r="A1751" s="17"/>
      <c r="C1751" s="9"/>
      <c r="D1751" s="10"/>
      <c r="E1751" s="10"/>
      <c r="F1751" s="9"/>
      <c r="G1751" s="1"/>
      <c r="H1751" s="1"/>
      <c r="I1751" s="1"/>
      <c r="J1751" s="1"/>
    </row>
    <row r="1752" spans="1:10" s="6" customFormat="1">
      <c r="A1752" s="17"/>
      <c r="C1752" s="9"/>
      <c r="D1752" s="10"/>
      <c r="E1752" s="10"/>
      <c r="F1752" s="9"/>
      <c r="G1752" s="1"/>
      <c r="H1752" s="1"/>
      <c r="I1752" s="1"/>
      <c r="J1752" s="1"/>
    </row>
    <row r="1753" spans="1:10" s="6" customFormat="1">
      <c r="A1753" s="17"/>
      <c r="C1753" s="9"/>
      <c r="D1753" s="10"/>
      <c r="E1753" s="10"/>
      <c r="F1753" s="9"/>
      <c r="G1753" s="1"/>
      <c r="H1753" s="1"/>
      <c r="I1753" s="1"/>
      <c r="J1753" s="1"/>
    </row>
    <row r="1754" spans="1:10" s="6" customFormat="1">
      <c r="A1754" s="17"/>
      <c r="C1754" s="9"/>
      <c r="D1754" s="10"/>
      <c r="E1754" s="10"/>
      <c r="F1754" s="9"/>
      <c r="G1754" s="1"/>
      <c r="H1754" s="1"/>
      <c r="I1754" s="1"/>
      <c r="J1754" s="1"/>
    </row>
    <row r="1755" spans="1:10" s="6" customFormat="1">
      <c r="A1755" s="17"/>
      <c r="C1755" s="9"/>
      <c r="D1755" s="10"/>
      <c r="E1755" s="10"/>
      <c r="F1755" s="9"/>
      <c r="G1755" s="1"/>
      <c r="H1755" s="1"/>
      <c r="I1755" s="1"/>
      <c r="J1755" s="1"/>
    </row>
    <row r="1756" spans="1:10" s="6" customFormat="1">
      <c r="A1756" s="17"/>
      <c r="C1756" s="9"/>
      <c r="D1756" s="10"/>
      <c r="E1756" s="10"/>
      <c r="F1756" s="9"/>
      <c r="G1756" s="1"/>
      <c r="H1756" s="1"/>
      <c r="I1756" s="1"/>
      <c r="J1756" s="1"/>
    </row>
    <row r="1757" spans="1:10" s="6" customFormat="1">
      <c r="A1757" s="17"/>
      <c r="C1757" s="9"/>
      <c r="D1757" s="10"/>
      <c r="E1757" s="10"/>
      <c r="F1757" s="9"/>
      <c r="G1757" s="1"/>
      <c r="H1757" s="1"/>
      <c r="I1757" s="1"/>
      <c r="J1757" s="1"/>
    </row>
    <row r="1758" spans="1:10" s="6" customFormat="1">
      <c r="A1758" s="17"/>
      <c r="C1758" s="9"/>
      <c r="D1758" s="10"/>
      <c r="E1758" s="10"/>
      <c r="F1758" s="9"/>
      <c r="G1758" s="1"/>
      <c r="H1758" s="1"/>
      <c r="I1758" s="1"/>
      <c r="J1758" s="1"/>
    </row>
    <row r="1759" spans="1:10" s="6" customFormat="1">
      <c r="A1759" s="17"/>
      <c r="C1759" s="9"/>
      <c r="D1759" s="10"/>
      <c r="E1759" s="10"/>
      <c r="F1759" s="9"/>
      <c r="G1759" s="1"/>
      <c r="H1759" s="1"/>
      <c r="I1759" s="1"/>
      <c r="J1759" s="1"/>
    </row>
    <row r="1760" spans="1:10" s="6" customFormat="1">
      <c r="A1760" s="17"/>
      <c r="C1760" s="9"/>
      <c r="D1760" s="10"/>
      <c r="E1760" s="10"/>
      <c r="F1760" s="9"/>
      <c r="G1760" s="1"/>
      <c r="H1760" s="1"/>
      <c r="I1760" s="1"/>
      <c r="J1760" s="1"/>
    </row>
    <row r="1761" spans="1:10" s="6" customFormat="1">
      <c r="A1761" s="17"/>
      <c r="C1761" s="9"/>
      <c r="D1761" s="10"/>
      <c r="E1761" s="10"/>
      <c r="F1761" s="9"/>
      <c r="G1761" s="1"/>
      <c r="H1761" s="1"/>
      <c r="I1761" s="1"/>
      <c r="J1761" s="1"/>
    </row>
    <row r="1762" spans="1:10" s="6" customFormat="1">
      <c r="A1762" s="17"/>
      <c r="C1762" s="9"/>
      <c r="D1762" s="10"/>
      <c r="E1762" s="10"/>
      <c r="F1762" s="9"/>
      <c r="G1762" s="1"/>
      <c r="H1762" s="1"/>
      <c r="I1762" s="1"/>
      <c r="J1762" s="1"/>
    </row>
    <row r="1763" spans="1:10" s="6" customFormat="1">
      <c r="A1763" s="17"/>
      <c r="C1763" s="9"/>
      <c r="D1763" s="10"/>
      <c r="E1763" s="10"/>
      <c r="F1763" s="9"/>
      <c r="G1763" s="1"/>
      <c r="H1763" s="1"/>
      <c r="I1763" s="1"/>
      <c r="J1763" s="1"/>
    </row>
    <row r="1764" spans="1:10" s="6" customFormat="1">
      <c r="A1764" s="17"/>
      <c r="C1764" s="9"/>
      <c r="D1764" s="10"/>
      <c r="E1764" s="10"/>
      <c r="F1764" s="9"/>
      <c r="G1764" s="1"/>
      <c r="H1764" s="1"/>
      <c r="I1764" s="1"/>
      <c r="J1764" s="1"/>
    </row>
    <row r="1765" spans="1:10" s="6" customFormat="1">
      <c r="A1765" s="17"/>
      <c r="C1765" s="9"/>
      <c r="D1765" s="10"/>
      <c r="E1765" s="10"/>
      <c r="F1765" s="9"/>
      <c r="G1765" s="1"/>
      <c r="H1765" s="1"/>
      <c r="I1765" s="1"/>
      <c r="J1765" s="1"/>
    </row>
    <row r="1766" spans="1:10" s="6" customFormat="1">
      <c r="A1766" s="17"/>
      <c r="C1766" s="9"/>
      <c r="D1766" s="10"/>
      <c r="E1766" s="10"/>
      <c r="F1766" s="9"/>
      <c r="G1766" s="1"/>
      <c r="H1766" s="1"/>
      <c r="I1766" s="1"/>
      <c r="J1766" s="1"/>
    </row>
    <row r="1767" spans="1:10" s="6" customFormat="1">
      <c r="A1767" s="17"/>
      <c r="C1767" s="9"/>
      <c r="D1767" s="10"/>
      <c r="E1767" s="10"/>
      <c r="F1767" s="9"/>
      <c r="G1767" s="1"/>
      <c r="H1767" s="1"/>
      <c r="I1767" s="1"/>
      <c r="J1767" s="1"/>
    </row>
    <row r="1768" spans="1:10" s="6" customFormat="1">
      <c r="A1768" s="17"/>
      <c r="C1768" s="9"/>
      <c r="D1768" s="10"/>
      <c r="E1768" s="10"/>
      <c r="F1768" s="9"/>
      <c r="G1768" s="1"/>
      <c r="H1768" s="1"/>
      <c r="I1768" s="1"/>
      <c r="J1768" s="1"/>
    </row>
    <row r="1769" spans="1:10" s="6" customFormat="1">
      <c r="A1769" s="17"/>
      <c r="C1769" s="9"/>
      <c r="D1769" s="10"/>
      <c r="E1769" s="10"/>
      <c r="F1769" s="9"/>
      <c r="G1769" s="1"/>
      <c r="H1769" s="1"/>
      <c r="I1769" s="1"/>
      <c r="J1769" s="1"/>
    </row>
    <row r="1770" spans="1:10" s="6" customFormat="1">
      <c r="A1770" s="17"/>
      <c r="C1770" s="9"/>
      <c r="D1770" s="10"/>
      <c r="E1770" s="10"/>
      <c r="F1770" s="9"/>
      <c r="G1770" s="1"/>
      <c r="H1770" s="1"/>
      <c r="I1770" s="1"/>
      <c r="J1770" s="1"/>
    </row>
    <row r="1771" spans="1:10" s="6" customFormat="1">
      <c r="A1771" s="17"/>
      <c r="C1771" s="9"/>
      <c r="D1771" s="10"/>
      <c r="E1771" s="10"/>
      <c r="F1771" s="9"/>
      <c r="G1771" s="1"/>
      <c r="H1771" s="1"/>
      <c r="I1771" s="1"/>
      <c r="J1771" s="1"/>
    </row>
    <row r="1772" spans="1:10" s="6" customFormat="1">
      <c r="A1772" s="17"/>
      <c r="C1772" s="9"/>
      <c r="D1772" s="10"/>
      <c r="E1772" s="10"/>
      <c r="F1772" s="9"/>
      <c r="G1772" s="1"/>
      <c r="H1772" s="1"/>
      <c r="I1772" s="1"/>
      <c r="J1772" s="1"/>
    </row>
    <row r="1773" spans="1:10" s="6" customFormat="1">
      <c r="A1773" s="17"/>
      <c r="C1773" s="9"/>
      <c r="D1773" s="10"/>
      <c r="E1773" s="10"/>
      <c r="F1773" s="9"/>
      <c r="G1773" s="1"/>
      <c r="H1773" s="1"/>
      <c r="I1773" s="1"/>
      <c r="J1773" s="1"/>
    </row>
    <row r="1774" spans="1:10" s="6" customFormat="1">
      <c r="A1774" s="17"/>
      <c r="C1774" s="9"/>
      <c r="D1774" s="10"/>
      <c r="E1774" s="10"/>
      <c r="F1774" s="9"/>
      <c r="G1774" s="1"/>
      <c r="H1774" s="1"/>
      <c r="I1774" s="1"/>
      <c r="J1774" s="1"/>
    </row>
    <row r="1775" spans="1:10" s="6" customFormat="1">
      <c r="A1775" s="17"/>
      <c r="C1775" s="9"/>
      <c r="D1775" s="10"/>
      <c r="E1775" s="10"/>
      <c r="F1775" s="9"/>
      <c r="G1775" s="1"/>
      <c r="H1775" s="1"/>
      <c r="I1775" s="1"/>
      <c r="J1775" s="1"/>
    </row>
    <row r="1776" spans="1:10" s="6" customFormat="1">
      <c r="A1776" s="17"/>
      <c r="C1776" s="9"/>
      <c r="D1776" s="10"/>
      <c r="E1776" s="10"/>
      <c r="F1776" s="9"/>
      <c r="G1776" s="1"/>
      <c r="H1776" s="1"/>
      <c r="I1776" s="1"/>
      <c r="J1776" s="1"/>
    </row>
    <row r="1777" spans="1:10" s="6" customFormat="1">
      <c r="A1777" s="17"/>
      <c r="C1777" s="9"/>
      <c r="D1777" s="10"/>
      <c r="E1777" s="10"/>
      <c r="F1777" s="9"/>
      <c r="G1777" s="1"/>
      <c r="H1777" s="1"/>
      <c r="I1777" s="1"/>
      <c r="J1777" s="1"/>
    </row>
    <row r="1778" spans="1:10" s="6" customFormat="1">
      <c r="A1778" s="17"/>
      <c r="C1778" s="9"/>
      <c r="D1778" s="10"/>
      <c r="E1778" s="10"/>
      <c r="F1778" s="9"/>
      <c r="G1778" s="1"/>
      <c r="H1778" s="1"/>
      <c r="I1778" s="1"/>
      <c r="J1778" s="1"/>
    </row>
    <row r="1779" spans="1:10" s="6" customFormat="1">
      <c r="A1779" s="17"/>
      <c r="C1779" s="9"/>
      <c r="D1779" s="10"/>
      <c r="E1779" s="10"/>
      <c r="F1779" s="9"/>
      <c r="G1779" s="1"/>
      <c r="H1779" s="1"/>
      <c r="I1779" s="1"/>
      <c r="J1779" s="1"/>
    </row>
    <row r="1780" spans="1:10" s="6" customFormat="1">
      <c r="A1780" s="17"/>
      <c r="C1780" s="9"/>
      <c r="D1780" s="10"/>
      <c r="E1780" s="10"/>
      <c r="F1780" s="9"/>
      <c r="G1780" s="1"/>
      <c r="H1780" s="1"/>
      <c r="I1780" s="1"/>
      <c r="J1780" s="1"/>
    </row>
    <row r="1781" spans="1:10" s="6" customFormat="1">
      <c r="A1781" s="17"/>
      <c r="C1781" s="9"/>
      <c r="D1781" s="10"/>
      <c r="E1781" s="10"/>
      <c r="F1781" s="9"/>
      <c r="G1781" s="1"/>
      <c r="H1781" s="1"/>
      <c r="I1781" s="1"/>
      <c r="J1781" s="1"/>
    </row>
    <row r="1782" spans="1:10" s="6" customFormat="1">
      <c r="A1782" s="17"/>
      <c r="C1782" s="9"/>
      <c r="D1782" s="10"/>
      <c r="E1782" s="10"/>
      <c r="F1782" s="9"/>
      <c r="G1782" s="1"/>
      <c r="H1782" s="1"/>
      <c r="I1782" s="1"/>
      <c r="J1782" s="1"/>
    </row>
    <row r="1783" spans="1:10" s="6" customFormat="1">
      <c r="A1783" s="17"/>
      <c r="C1783" s="9"/>
      <c r="D1783" s="10"/>
      <c r="E1783" s="10"/>
      <c r="F1783" s="9"/>
      <c r="G1783" s="1"/>
      <c r="H1783" s="1"/>
      <c r="I1783" s="1"/>
      <c r="J1783" s="1"/>
    </row>
    <row r="1784" spans="1:10" s="6" customFormat="1">
      <c r="A1784" s="17"/>
      <c r="C1784" s="9"/>
      <c r="D1784" s="10"/>
      <c r="E1784" s="10"/>
      <c r="F1784" s="9"/>
      <c r="G1784" s="1"/>
      <c r="H1784" s="1"/>
      <c r="I1784" s="1"/>
      <c r="J1784" s="1"/>
    </row>
    <row r="1785" spans="1:10" s="6" customFormat="1">
      <c r="A1785" s="17"/>
      <c r="C1785" s="9"/>
      <c r="D1785" s="10"/>
      <c r="E1785" s="10"/>
      <c r="F1785" s="9"/>
      <c r="G1785" s="1"/>
      <c r="H1785" s="1"/>
      <c r="I1785" s="1"/>
      <c r="J1785" s="1"/>
    </row>
    <row r="1786" spans="1:10" s="6" customFormat="1">
      <c r="A1786" s="17"/>
      <c r="C1786" s="9"/>
      <c r="D1786" s="10"/>
      <c r="E1786" s="10"/>
      <c r="F1786" s="9"/>
      <c r="G1786" s="1"/>
      <c r="H1786" s="1"/>
      <c r="I1786" s="1"/>
      <c r="J1786" s="1"/>
    </row>
    <row r="1787" spans="1:10" s="6" customFormat="1">
      <c r="A1787" s="17"/>
      <c r="C1787" s="9"/>
      <c r="D1787" s="10"/>
      <c r="E1787" s="10"/>
      <c r="F1787" s="9"/>
      <c r="G1787" s="1"/>
      <c r="H1787" s="1"/>
      <c r="I1787" s="1"/>
      <c r="J1787" s="1"/>
    </row>
    <row r="1788" spans="1:10" s="6" customFormat="1">
      <c r="A1788" s="17"/>
      <c r="C1788" s="9"/>
      <c r="D1788" s="10"/>
      <c r="E1788" s="10"/>
      <c r="F1788" s="9"/>
      <c r="G1788" s="1"/>
      <c r="H1788" s="1"/>
      <c r="I1788" s="1"/>
      <c r="J1788" s="1"/>
    </row>
    <row r="1789" spans="1:10" s="6" customFormat="1">
      <c r="A1789" s="17"/>
      <c r="C1789" s="9"/>
      <c r="D1789" s="10"/>
      <c r="E1789" s="10"/>
      <c r="F1789" s="9"/>
      <c r="G1789" s="1"/>
      <c r="H1789" s="1"/>
      <c r="I1789" s="1"/>
      <c r="J1789" s="1"/>
    </row>
    <row r="1790" spans="1:10" s="6" customFormat="1">
      <c r="A1790" s="17"/>
      <c r="C1790" s="9"/>
      <c r="D1790" s="10"/>
      <c r="E1790" s="10"/>
      <c r="F1790" s="9"/>
      <c r="G1790" s="1"/>
      <c r="H1790" s="1"/>
      <c r="I1790" s="1"/>
      <c r="J1790" s="1"/>
    </row>
    <row r="1791" spans="1:10" s="6" customFormat="1">
      <c r="A1791" s="17"/>
      <c r="C1791" s="9"/>
      <c r="D1791" s="10"/>
      <c r="E1791" s="10"/>
      <c r="F1791" s="9"/>
      <c r="G1791" s="1"/>
      <c r="H1791" s="1"/>
      <c r="I1791" s="1"/>
      <c r="J1791" s="1"/>
    </row>
    <row r="1792" spans="1:10" s="6" customFormat="1">
      <c r="A1792" s="17"/>
      <c r="C1792" s="9"/>
      <c r="D1792" s="10"/>
      <c r="E1792" s="10"/>
      <c r="F1792" s="9"/>
      <c r="G1792" s="1"/>
      <c r="H1792" s="1"/>
      <c r="I1792" s="1"/>
      <c r="J1792" s="1"/>
    </row>
    <row r="1793" spans="1:10" s="6" customFormat="1">
      <c r="A1793" s="17"/>
      <c r="C1793" s="9"/>
      <c r="D1793" s="10"/>
      <c r="E1793" s="10"/>
      <c r="F1793" s="9"/>
      <c r="G1793" s="1"/>
      <c r="H1793" s="1"/>
      <c r="I1793" s="1"/>
      <c r="J1793" s="1"/>
    </row>
    <row r="1794" spans="1:10" s="6" customFormat="1">
      <c r="A1794" s="17"/>
      <c r="C1794" s="9"/>
      <c r="D1794" s="10"/>
      <c r="E1794" s="10"/>
      <c r="F1794" s="9"/>
      <c r="G1794" s="1"/>
      <c r="H1794" s="1"/>
      <c r="I1794" s="1"/>
      <c r="J1794" s="1"/>
    </row>
    <row r="1795" spans="1:10" s="6" customFormat="1">
      <c r="A1795" s="17"/>
      <c r="C1795" s="9"/>
      <c r="D1795" s="10"/>
      <c r="E1795" s="10"/>
      <c r="F1795" s="9"/>
      <c r="G1795" s="1"/>
      <c r="H1795" s="1"/>
      <c r="I1795" s="1"/>
      <c r="J1795" s="1"/>
    </row>
    <row r="1796" spans="1:10" s="6" customFormat="1">
      <c r="A1796" s="17"/>
      <c r="C1796" s="9"/>
      <c r="D1796" s="10"/>
      <c r="E1796" s="10"/>
      <c r="F1796" s="9"/>
      <c r="G1796" s="1"/>
      <c r="H1796" s="1"/>
      <c r="I1796" s="1"/>
      <c r="J1796" s="1"/>
    </row>
    <row r="1797" spans="1:10" s="6" customFormat="1">
      <c r="A1797" s="17"/>
      <c r="C1797" s="9"/>
      <c r="D1797" s="10"/>
      <c r="E1797" s="10"/>
      <c r="F1797" s="9"/>
      <c r="G1797" s="1"/>
      <c r="H1797" s="1"/>
      <c r="I1797" s="1"/>
      <c r="J1797" s="1"/>
    </row>
    <row r="1798" spans="1:10" s="6" customFormat="1">
      <c r="A1798" s="17"/>
      <c r="C1798" s="9"/>
      <c r="D1798" s="10"/>
      <c r="E1798" s="10"/>
      <c r="F1798" s="9"/>
      <c r="G1798" s="1"/>
      <c r="H1798" s="1"/>
      <c r="I1798" s="1"/>
      <c r="J1798" s="1"/>
    </row>
    <row r="1799" spans="1:10" s="6" customFormat="1">
      <c r="A1799" s="17"/>
      <c r="C1799" s="9"/>
      <c r="D1799" s="10"/>
      <c r="E1799" s="10"/>
      <c r="F1799" s="9"/>
      <c r="G1799" s="1"/>
      <c r="H1799" s="1"/>
      <c r="I1799" s="1"/>
      <c r="J1799" s="1"/>
    </row>
    <row r="1800" spans="1:10" s="6" customFormat="1">
      <c r="A1800" s="17"/>
      <c r="C1800" s="9"/>
      <c r="D1800" s="10"/>
      <c r="E1800" s="10"/>
      <c r="F1800" s="9"/>
      <c r="G1800" s="1"/>
      <c r="H1800" s="1"/>
      <c r="I1800" s="1"/>
      <c r="J1800" s="1"/>
    </row>
    <row r="1801" spans="1:10" s="6" customFormat="1">
      <c r="A1801" s="17"/>
      <c r="C1801" s="9"/>
      <c r="D1801" s="10"/>
      <c r="E1801" s="10"/>
      <c r="F1801" s="9"/>
      <c r="G1801" s="1"/>
      <c r="H1801" s="1"/>
      <c r="I1801" s="1"/>
      <c r="J1801" s="1"/>
    </row>
    <row r="1802" spans="1:10" s="6" customFormat="1">
      <c r="A1802" s="17"/>
      <c r="C1802" s="9"/>
      <c r="D1802" s="10"/>
      <c r="E1802" s="10"/>
      <c r="F1802" s="9"/>
      <c r="G1802" s="1"/>
      <c r="H1802" s="1"/>
      <c r="I1802" s="1"/>
      <c r="J1802" s="1"/>
    </row>
    <row r="1803" spans="1:10" s="6" customFormat="1">
      <c r="A1803" s="17"/>
      <c r="C1803" s="9"/>
      <c r="D1803" s="10"/>
      <c r="E1803" s="10"/>
      <c r="F1803" s="9"/>
      <c r="G1803" s="1"/>
      <c r="H1803" s="1"/>
      <c r="I1803" s="1"/>
      <c r="J1803" s="1"/>
    </row>
    <row r="1804" spans="1:10" s="6" customFormat="1">
      <c r="A1804" s="17"/>
      <c r="C1804" s="9"/>
      <c r="D1804" s="10"/>
      <c r="E1804" s="10"/>
      <c r="F1804" s="9"/>
      <c r="G1804" s="1"/>
      <c r="H1804" s="1"/>
      <c r="I1804" s="1"/>
      <c r="J1804" s="1"/>
    </row>
    <row r="1805" spans="1:10" s="6" customFormat="1">
      <c r="A1805" s="17"/>
      <c r="C1805" s="9"/>
      <c r="D1805" s="10"/>
      <c r="E1805" s="10"/>
      <c r="F1805" s="9"/>
      <c r="G1805" s="1"/>
      <c r="H1805" s="1"/>
      <c r="I1805" s="1"/>
      <c r="J1805" s="1"/>
    </row>
    <row r="1806" spans="1:10" s="6" customFormat="1">
      <c r="A1806" s="17"/>
      <c r="C1806" s="9"/>
      <c r="D1806" s="10"/>
      <c r="E1806" s="10"/>
      <c r="F1806" s="9"/>
      <c r="G1806" s="1"/>
      <c r="H1806" s="1"/>
      <c r="I1806" s="1"/>
      <c r="J1806" s="1"/>
    </row>
    <row r="1807" spans="1:10" s="6" customFormat="1">
      <c r="A1807" s="17"/>
      <c r="C1807" s="9"/>
      <c r="D1807" s="10"/>
      <c r="E1807" s="10"/>
      <c r="F1807" s="9"/>
      <c r="G1807" s="1"/>
      <c r="H1807" s="1"/>
      <c r="I1807" s="1"/>
      <c r="J1807" s="1"/>
    </row>
    <row r="1808" spans="1:10" s="6" customFormat="1">
      <c r="A1808" s="17"/>
      <c r="C1808" s="9"/>
      <c r="D1808" s="10"/>
      <c r="E1808" s="10"/>
      <c r="F1808" s="9"/>
      <c r="G1808" s="1"/>
      <c r="H1808" s="1"/>
      <c r="I1808" s="1"/>
      <c r="J1808" s="1"/>
    </row>
    <row r="1809" spans="1:10" s="6" customFormat="1">
      <c r="A1809" s="17"/>
      <c r="C1809" s="9"/>
      <c r="D1809" s="10"/>
      <c r="E1809" s="10"/>
      <c r="F1809" s="9"/>
      <c r="G1809" s="1"/>
      <c r="H1809" s="1"/>
      <c r="I1809" s="1"/>
      <c r="J1809" s="1"/>
    </row>
    <row r="1810" spans="1:10" s="6" customFormat="1">
      <c r="A1810" s="17"/>
      <c r="C1810" s="9"/>
      <c r="D1810" s="10"/>
      <c r="E1810" s="10"/>
      <c r="F1810" s="9"/>
      <c r="G1810" s="1"/>
      <c r="H1810" s="1"/>
      <c r="I1810" s="1"/>
      <c r="J1810" s="1"/>
    </row>
    <row r="1811" spans="1:10" s="6" customFormat="1">
      <c r="A1811" s="17"/>
      <c r="C1811" s="9"/>
      <c r="D1811" s="10"/>
      <c r="E1811" s="10"/>
      <c r="F1811" s="9"/>
      <c r="G1811" s="1"/>
      <c r="H1811" s="1"/>
      <c r="I1811" s="1"/>
      <c r="J1811" s="1"/>
    </row>
    <row r="1812" spans="1:10" s="6" customFormat="1">
      <c r="A1812" s="17"/>
      <c r="C1812" s="9"/>
      <c r="D1812" s="10"/>
      <c r="E1812" s="10"/>
      <c r="F1812" s="9"/>
      <c r="G1812" s="1"/>
      <c r="H1812" s="1"/>
      <c r="I1812" s="1"/>
      <c r="J1812" s="1"/>
    </row>
    <row r="1813" spans="1:10" s="6" customFormat="1">
      <c r="A1813" s="17"/>
      <c r="C1813" s="9"/>
      <c r="D1813" s="10"/>
      <c r="E1813" s="10"/>
      <c r="F1813" s="9"/>
      <c r="G1813" s="1"/>
      <c r="H1813" s="1"/>
      <c r="I1813" s="1"/>
      <c r="J1813" s="1"/>
    </row>
    <row r="1814" spans="1:10" s="6" customFormat="1">
      <c r="A1814" s="17"/>
      <c r="C1814" s="9"/>
      <c r="D1814" s="10"/>
      <c r="E1814" s="10"/>
      <c r="F1814" s="9"/>
      <c r="G1814" s="1"/>
      <c r="H1814" s="1"/>
      <c r="I1814" s="1"/>
      <c r="J1814" s="1"/>
    </row>
    <row r="1815" spans="1:10" s="6" customFormat="1">
      <c r="A1815" s="17"/>
      <c r="C1815" s="9"/>
      <c r="D1815" s="10"/>
      <c r="E1815" s="10"/>
      <c r="F1815" s="9"/>
      <c r="G1815" s="1"/>
      <c r="H1815" s="1"/>
      <c r="I1815" s="1"/>
      <c r="J1815" s="1"/>
    </row>
    <row r="1816" spans="1:10" s="6" customFormat="1">
      <c r="A1816" s="17"/>
      <c r="C1816" s="9"/>
      <c r="D1816" s="10"/>
      <c r="E1816" s="10"/>
      <c r="F1816" s="9"/>
      <c r="G1816" s="1"/>
      <c r="H1816" s="1"/>
      <c r="I1816" s="1"/>
      <c r="J1816" s="1"/>
    </row>
    <row r="1817" spans="1:10" s="6" customFormat="1">
      <c r="A1817" s="17"/>
      <c r="C1817" s="9"/>
      <c r="D1817" s="10"/>
      <c r="E1817" s="10"/>
      <c r="F1817" s="9"/>
      <c r="G1817" s="1"/>
      <c r="H1817" s="1"/>
      <c r="I1817" s="1"/>
      <c r="J1817" s="1"/>
    </row>
    <row r="1818" spans="1:10" s="6" customFormat="1">
      <c r="A1818" s="17"/>
      <c r="C1818" s="9"/>
      <c r="D1818" s="10"/>
      <c r="E1818" s="10"/>
      <c r="F1818" s="9"/>
      <c r="G1818" s="1"/>
      <c r="H1818" s="1"/>
      <c r="I1818" s="1"/>
      <c r="J1818" s="1"/>
    </row>
    <row r="1819" spans="1:10" s="6" customFormat="1">
      <c r="A1819" s="17"/>
      <c r="C1819" s="9"/>
      <c r="D1819" s="10"/>
      <c r="E1819" s="10"/>
      <c r="F1819" s="9"/>
      <c r="G1819" s="1"/>
      <c r="H1819" s="1"/>
      <c r="I1819" s="1"/>
      <c r="J1819" s="1"/>
    </row>
    <row r="1820" spans="1:10" s="6" customFormat="1">
      <c r="A1820" s="17"/>
      <c r="C1820" s="9"/>
      <c r="D1820" s="10"/>
      <c r="E1820" s="10"/>
      <c r="F1820" s="9"/>
      <c r="G1820" s="1"/>
      <c r="H1820" s="1"/>
      <c r="I1820" s="1"/>
      <c r="J1820" s="1"/>
    </row>
    <row r="1821" spans="1:10" s="6" customFormat="1">
      <c r="A1821" s="17"/>
      <c r="C1821" s="9"/>
      <c r="D1821" s="10"/>
      <c r="E1821" s="10"/>
      <c r="F1821" s="9"/>
      <c r="G1821" s="1"/>
      <c r="H1821" s="1"/>
      <c r="I1821" s="1"/>
      <c r="J1821" s="1"/>
    </row>
    <row r="1822" spans="1:10" s="6" customFormat="1">
      <c r="A1822" s="17"/>
      <c r="C1822" s="9"/>
      <c r="D1822" s="10"/>
      <c r="E1822" s="10"/>
      <c r="F1822" s="9"/>
      <c r="G1822" s="1"/>
      <c r="H1822" s="1"/>
      <c r="I1822" s="1"/>
      <c r="J1822" s="1"/>
    </row>
    <row r="1823" spans="1:10" s="6" customFormat="1">
      <c r="A1823" s="17"/>
      <c r="C1823" s="9"/>
      <c r="D1823" s="10"/>
      <c r="E1823" s="10"/>
      <c r="F1823" s="9"/>
      <c r="G1823" s="1"/>
      <c r="H1823" s="1"/>
      <c r="I1823" s="1"/>
      <c r="J1823" s="1"/>
    </row>
    <row r="1824" spans="1:10" s="6" customFormat="1">
      <c r="A1824" s="17"/>
      <c r="C1824" s="9"/>
      <c r="D1824" s="10"/>
      <c r="E1824" s="10"/>
      <c r="F1824" s="9"/>
      <c r="G1824" s="1"/>
      <c r="H1824" s="1"/>
      <c r="I1824" s="1"/>
      <c r="J1824" s="1"/>
    </row>
    <row r="1825" spans="1:10" s="6" customFormat="1">
      <c r="A1825" s="17"/>
      <c r="C1825" s="9"/>
      <c r="D1825" s="10"/>
      <c r="E1825" s="10"/>
      <c r="F1825" s="9"/>
      <c r="G1825" s="1"/>
      <c r="H1825" s="1"/>
      <c r="I1825" s="1"/>
      <c r="J1825" s="1"/>
    </row>
    <row r="1826" spans="1:10" s="6" customFormat="1">
      <c r="A1826" s="17"/>
      <c r="C1826" s="9"/>
      <c r="D1826" s="10"/>
      <c r="E1826" s="10"/>
      <c r="F1826" s="9"/>
      <c r="G1826" s="1"/>
      <c r="H1826" s="1"/>
      <c r="I1826" s="1"/>
      <c r="J1826" s="1"/>
    </row>
    <row r="1827" spans="1:10" s="6" customFormat="1">
      <c r="A1827" s="17"/>
      <c r="C1827" s="9"/>
      <c r="D1827" s="10"/>
      <c r="E1827" s="10"/>
      <c r="F1827" s="9"/>
      <c r="G1827" s="1"/>
      <c r="H1827" s="1"/>
      <c r="I1827" s="1"/>
      <c r="J1827" s="1"/>
    </row>
    <row r="1828" spans="1:10" s="6" customFormat="1">
      <c r="A1828" s="17"/>
      <c r="C1828" s="9"/>
      <c r="D1828" s="10"/>
      <c r="E1828" s="10"/>
      <c r="F1828" s="9"/>
      <c r="G1828" s="1"/>
      <c r="H1828" s="1"/>
      <c r="I1828" s="1"/>
      <c r="J1828" s="1"/>
    </row>
    <row r="1829" spans="1:10" s="6" customFormat="1">
      <c r="A1829" s="17"/>
      <c r="C1829" s="9"/>
      <c r="D1829" s="10"/>
      <c r="E1829" s="10"/>
      <c r="F1829" s="9"/>
      <c r="G1829" s="1"/>
      <c r="H1829" s="1"/>
      <c r="I1829" s="1"/>
      <c r="J1829" s="1"/>
    </row>
    <row r="1830" spans="1:10" s="6" customFormat="1">
      <c r="A1830" s="17"/>
      <c r="C1830" s="9"/>
      <c r="D1830" s="10"/>
      <c r="E1830" s="10"/>
      <c r="F1830" s="9"/>
      <c r="G1830" s="1"/>
      <c r="H1830" s="1"/>
      <c r="I1830" s="1"/>
      <c r="J1830" s="1"/>
    </row>
    <row r="1831" spans="1:10" s="6" customFormat="1">
      <c r="A1831" s="17"/>
      <c r="C1831" s="9"/>
      <c r="D1831" s="10"/>
      <c r="E1831" s="10"/>
      <c r="F1831" s="9"/>
      <c r="G1831" s="1"/>
      <c r="H1831" s="1"/>
      <c r="I1831" s="1"/>
      <c r="J1831" s="1"/>
    </row>
    <row r="1832" spans="1:10" s="6" customFormat="1">
      <c r="A1832" s="17"/>
      <c r="C1832" s="9"/>
      <c r="D1832" s="10"/>
      <c r="E1832" s="10"/>
      <c r="F1832" s="9"/>
      <c r="G1832" s="1"/>
      <c r="H1832" s="1"/>
      <c r="I1832" s="1"/>
      <c r="J1832" s="1"/>
    </row>
    <row r="1833" spans="1:10" s="6" customFormat="1">
      <c r="A1833" s="17"/>
      <c r="C1833" s="9"/>
      <c r="D1833" s="10"/>
      <c r="E1833" s="10"/>
      <c r="F1833" s="9"/>
      <c r="G1833" s="1"/>
      <c r="H1833" s="1"/>
      <c r="I1833" s="1"/>
      <c r="J1833" s="1"/>
    </row>
    <row r="1834" spans="1:10" s="6" customFormat="1">
      <c r="A1834" s="17"/>
      <c r="C1834" s="9"/>
      <c r="D1834" s="10"/>
      <c r="E1834" s="10"/>
      <c r="F1834" s="9"/>
      <c r="G1834" s="1"/>
      <c r="H1834" s="1"/>
      <c r="I1834" s="1"/>
      <c r="J1834" s="1"/>
    </row>
    <row r="1835" spans="1:10" s="6" customFormat="1">
      <c r="A1835" s="17"/>
      <c r="C1835" s="9"/>
      <c r="D1835" s="10"/>
      <c r="E1835" s="10"/>
      <c r="F1835" s="9"/>
      <c r="G1835" s="1"/>
      <c r="H1835" s="1"/>
      <c r="I1835" s="1"/>
      <c r="J1835" s="1"/>
    </row>
    <row r="1836" spans="1:10" s="6" customFormat="1">
      <c r="A1836" s="17"/>
      <c r="C1836" s="9"/>
      <c r="D1836" s="10"/>
      <c r="E1836" s="10"/>
      <c r="F1836" s="9"/>
      <c r="G1836" s="1"/>
      <c r="H1836" s="1"/>
      <c r="I1836" s="1"/>
      <c r="J1836" s="1"/>
    </row>
    <row r="1837" spans="1:10" s="6" customFormat="1">
      <c r="A1837" s="17"/>
      <c r="C1837" s="9"/>
      <c r="D1837" s="10"/>
      <c r="E1837" s="10"/>
      <c r="F1837" s="9"/>
      <c r="G1837" s="1"/>
      <c r="H1837" s="1"/>
      <c r="I1837" s="1"/>
      <c r="J1837" s="1"/>
    </row>
    <row r="1838" spans="1:10" s="6" customFormat="1">
      <c r="A1838" s="17"/>
      <c r="C1838" s="9"/>
      <c r="D1838" s="10"/>
      <c r="E1838" s="10"/>
      <c r="F1838" s="9"/>
      <c r="G1838" s="1"/>
      <c r="H1838" s="1"/>
      <c r="I1838" s="1"/>
      <c r="J1838" s="1"/>
    </row>
    <row r="1839" spans="1:10" s="6" customFormat="1">
      <c r="A1839" s="17"/>
      <c r="C1839" s="9"/>
      <c r="D1839" s="10"/>
      <c r="E1839" s="10"/>
      <c r="F1839" s="9"/>
      <c r="G1839" s="1"/>
      <c r="H1839" s="1"/>
      <c r="I1839" s="1"/>
      <c r="J1839" s="1"/>
    </row>
    <row r="1840" spans="1:10" s="6" customFormat="1">
      <c r="A1840" s="17"/>
      <c r="C1840" s="9"/>
      <c r="D1840" s="10"/>
      <c r="E1840" s="10"/>
      <c r="F1840" s="9"/>
      <c r="G1840" s="1"/>
      <c r="H1840" s="1"/>
      <c r="I1840" s="1"/>
      <c r="J1840" s="1"/>
    </row>
    <row r="1841" spans="1:10" s="6" customFormat="1">
      <c r="A1841" s="17"/>
      <c r="C1841" s="9"/>
      <c r="D1841" s="10"/>
      <c r="E1841" s="10"/>
      <c r="F1841" s="9"/>
      <c r="G1841" s="1"/>
      <c r="H1841" s="1"/>
      <c r="I1841" s="1"/>
      <c r="J1841" s="1"/>
    </row>
    <row r="1842" spans="1:10" s="6" customFormat="1">
      <c r="A1842" s="17"/>
      <c r="C1842" s="9"/>
      <c r="D1842" s="10"/>
      <c r="E1842" s="10"/>
      <c r="F1842" s="9"/>
      <c r="G1842" s="1"/>
      <c r="H1842" s="1"/>
      <c r="I1842" s="1"/>
      <c r="J1842" s="1"/>
    </row>
    <row r="1843" spans="1:10" s="6" customFormat="1">
      <c r="A1843" s="17"/>
      <c r="C1843" s="9"/>
      <c r="D1843" s="10"/>
      <c r="E1843" s="10"/>
      <c r="F1843" s="9"/>
      <c r="G1843" s="1"/>
      <c r="H1843" s="1"/>
      <c r="I1843" s="1"/>
      <c r="J1843" s="1"/>
    </row>
    <row r="1844" spans="1:10" s="6" customFormat="1">
      <c r="A1844" s="17"/>
      <c r="C1844" s="9"/>
      <c r="D1844" s="10"/>
      <c r="E1844" s="10"/>
      <c r="F1844" s="9"/>
      <c r="G1844" s="1"/>
      <c r="H1844" s="1"/>
      <c r="I1844" s="1"/>
      <c r="J1844" s="1"/>
    </row>
    <row r="1845" spans="1:10" s="6" customFormat="1">
      <c r="A1845" s="17"/>
      <c r="C1845" s="9"/>
      <c r="D1845" s="10"/>
      <c r="E1845" s="10"/>
      <c r="F1845" s="9"/>
      <c r="G1845" s="1"/>
      <c r="H1845" s="1"/>
      <c r="I1845" s="1"/>
      <c r="J1845" s="1"/>
    </row>
    <row r="1846" spans="1:10" s="6" customFormat="1">
      <c r="A1846" s="17"/>
      <c r="C1846" s="9"/>
      <c r="D1846" s="10"/>
      <c r="E1846" s="10"/>
      <c r="F1846" s="9"/>
      <c r="G1846" s="1"/>
      <c r="H1846" s="1"/>
      <c r="I1846" s="1"/>
      <c r="J1846" s="1"/>
    </row>
    <row r="1847" spans="1:10" s="6" customFormat="1">
      <c r="A1847" s="17"/>
      <c r="C1847" s="9"/>
      <c r="D1847" s="10"/>
      <c r="E1847" s="10"/>
      <c r="F1847" s="9"/>
      <c r="G1847" s="1"/>
      <c r="H1847" s="1"/>
      <c r="I1847" s="1"/>
      <c r="J1847" s="1"/>
    </row>
    <row r="1848" spans="1:10" s="6" customFormat="1">
      <c r="A1848" s="17"/>
      <c r="C1848" s="9"/>
      <c r="D1848" s="10"/>
      <c r="E1848" s="10"/>
      <c r="F1848" s="9"/>
      <c r="G1848" s="1"/>
      <c r="H1848" s="1"/>
      <c r="I1848" s="1"/>
      <c r="J1848" s="1"/>
    </row>
    <row r="1849" spans="1:10" s="6" customFormat="1">
      <c r="A1849" s="17"/>
      <c r="C1849" s="9"/>
      <c r="D1849" s="10"/>
      <c r="E1849" s="10"/>
      <c r="F1849" s="9"/>
      <c r="G1849" s="1"/>
      <c r="H1849" s="1"/>
      <c r="I1849" s="1"/>
      <c r="J1849" s="1"/>
    </row>
    <row r="1850" spans="1:10" s="6" customFormat="1">
      <c r="A1850" s="17"/>
      <c r="C1850" s="9"/>
      <c r="D1850" s="10"/>
      <c r="E1850" s="10"/>
      <c r="F1850" s="9"/>
      <c r="G1850" s="1"/>
      <c r="H1850" s="1"/>
      <c r="I1850" s="1"/>
      <c r="J1850" s="1"/>
    </row>
    <row r="1851" spans="1:10" s="6" customFormat="1">
      <c r="A1851" s="17"/>
      <c r="C1851" s="9"/>
      <c r="D1851" s="10"/>
      <c r="E1851" s="10"/>
      <c r="F1851" s="9"/>
      <c r="G1851" s="1"/>
      <c r="H1851" s="1"/>
      <c r="I1851" s="1"/>
      <c r="J1851" s="1"/>
    </row>
    <row r="1852" spans="1:10" s="6" customFormat="1">
      <c r="A1852" s="17"/>
      <c r="C1852" s="9"/>
      <c r="D1852" s="10"/>
      <c r="E1852" s="10"/>
      <c r="F1852" s="9"/>
      <c r="G1852" s="1"/>
      <c r="H1852" s="1"/>
      <c r="I1852" s="1"/>
      <c r="J1852" s="1"/>
    </row>
    <row r="1853" spans="1:10" s="6" customFormat="1">
      <c r="A1853" s="17"/>
      <c r="C1853" s="9"/>
      <c r="D1853" s="10"/>
      <c r="E1853" s="10"/>
      <c r="F1853" s="9"/>
      <c r="G1853" s="1"/>
      <c r="H1853" s="1"/>
      <c r="I1853" s="1"/>
      <c r="J1853" s="1"/>
    </row>
    <row r="1854" spans="1:10" s="6" customFormat="1">
      <c r="A1854" s="17"/>
      <c r="C1854" s="9"/>
      <c r="D1854" s="10"/>
      <c r="E1854" s="10"/>
      <c r="F1854" s="9"/>
      <c r="G1854" s="1"/>
      <c r="H1854" s="1"/>
      <c r="I1854" s="1"/>
      <c r="J1854" s="1"/>
    </row>
    <row r="1855" spans="1:10" s="6" customFormat="1">
      <c r="A1855" s="17"/>
      <c r="C1855" s="9"/>
      <c r="D1855" s="10"/>
      <c r="E1855" s="10"/>
      <c r="F1855" s="9"/>
      <c r="G1855" s="1"/>
      <c r="H1855" s="1"/>
      <c r="I1855" s="1"/>
      <c r="J1855" s="1"/>
    </row>
    <row r="1856" spans="1:10" s="6" customFormat="1">
      <c r="A1856" s="17"/>
      <c r="C1856" s="9"/>
      <c r="D1856" s="10"/>
      <c r="E1856" s="10"/>
      <c r="F1856" s="9"/>
      <c r="G1856" s="1"/>
      <c r="H1856" s="1"/>
      <c r="I1856" s="1"/>
      <c r="J1856" s="1"/>
    </row>
    <row r="1857" spans="1:10" s="6" customFormat="1">
      <c r="A1857" s="17"/>
      <c r="C1857" s="9"/>
      <c r="D1857" s="10"/>
      <c r="E1857" s="10"/>
      <c r="F1857" s="9"/>
      <c r="G1857" s="1"/>
      <c r="H1857" s="1"/>
      <c r="I1857" s="1"/>
      <c r="J1857" s="1"/>
    </row>
    <row r="1858" spans="1:10" s="6" customFormat="1">
      <c r="A1858" s="17"/>
      <c r="C1858" s="9"/>
      <c r="D1858" s="10"/>
      <c r="E1858" s="10"/>
      <c r="F1858" s="9"/>
      <c r="G1858" s="1"/>
      <c r="H1858" s="1"/>
      <c r="I1858" s="1"/>
      <c r="J1858" s="1"/>
    </row>
    <row r="1859" spans="1:10" s="6" customFormat="1">
      <c r="A1859" s="17"/>
      <c r="C1859" s="9"/>
      <c r="D1859" s="10"/>
      <c r="E1859" s="10"/>
      <c r="F1859" s="9"/>
      <c r="G1859" s="1"/>
      <c r="H1859" s="1"/>
      <c r="I1859" s="1"/>
      <c r="J1859" s="1"/>
    </row>
    <row r="1860" spans="1:10" s="6" customFormat="1">
      <c r="A1860" s="17"/>
      <c r="C1860" s="9"/>
      <c r="D1860" s="10"/>
      <c r="E1860" s="10"/>
      <c r="F1860" s="9"/>
      <c r="G1860" s="1"/>
      <c r="H1860" s="1"/>
      <c r="I1860" s="1"/>
      <c r="J1860" s="1"/>
    </row>
    <row r="1861" spans="1:10" s="6" customFormat="1">
      <c r="A1861" s="17"/>
      <c r="C1861" s="9"/>
      <c r="D1861" s="10"/>
      <c r="E1861" s="10"/>
      <c r="F1861" s="9"/>
      <c r="G1861" s="1"/>
      <c r="H1861" s="1"/>
      <c r="I1861" s="1"/>
      <c r="J1861" s="1"/>
    </row>
    <row r="1862" spans="1:10" s="6" customFormat="1">
      <c r="A1862" s="17"/>
      <c r="C1862" s="9"/>
      <c r="D1862" s="10"/>
      <c r="E1862" s="10"/>
      <c r="F1862" s="9"/>
      <c r="G1862" s="1"/>
      <c r="H1862" s="1"/>
      <c r="I1862" s="1"/>
      <c r="J1862" s="1"/>
    </row>
    <row r="1863" spans="1:10" s="6" customFormat="1">
      <c r="A1863" s="17"/>
      <c r="C1863" s="9"/>
      <c r="D1863" s="10"/>
      <c r="E1863" s="10"/>
      <c r="F1863" s="9"/>
      <c r="G1863" s="1"/>
      <c r="H1863" s="1"/>
      <c r="I1863" s="1"/>
      <c r="J1863" s="1"/>
    </row>
    <row r="1864" spans="1:10" s="6" customFormat="1">
      <c r="A1864" s="17"/>
      <c r="C1864" s="9"/>
      <c r="D1864" s="10"/>
      <c r="E1864" s="10"/>
      <c r="F1864" s="9"/>
      <c r="G1864" s="1"/>
      <c r="H1864" s="1"/>
      <c r="I1864" s="1"/>
      <c r="J1864" s="1"/>
    </row>
    <row r="1865" spans="1:10" s="6" customFormat="1">
      <c r="A1865" s="17"/>
      <c r="C1865" s="9"/>
      <c r="D1865" s="10"/>
      <c r="E1865" s="10"/>
      <c r="F1865" s="9"/>
      <c r="G1865" s="1"/>
      <c r="H1865" s="1"/>
      <c r="I1865" s="1"/>
      <c r="J1865" s="1"/>
    </row>
    <row r="1866" spans="1:10" s="6" customFormat="1">
      <c r="A1866" s="17"/>
      <c r="C1866" s="9"/>
      <c r="D1866" s="10"/>
      <c r="E1866" s="10"/>
      <c r="F1866" s="9"/>
      <c r="G1866" s="1"/>
      <c r="H1866" s="1"/>
      <c r="I1866" s="1"/>
      <c r="J1866" s="1"/>
    </row>
    <row r="1867" spans="1:10" s="6" customFormat="1">
      <c r="A1867" s="17"/>
      <c r="C1867" s="9"/>
      <c r="D1867" s="10"/>
      <c r="E1867" s="10"/>
      <c r="F1867" s="9"/>
      <c r="G1867" s="1"/>
      <c r="H1867" s="1"/>
      <c r="I1867" s="1"/>
      <c r="J1867" s="1"/>
    </row>
    <row r="1868" spans="1:10" s="6" customFormat="1">
      <c r="A1868" s="17"/>
      <c r="C1868" s="9"/>
      <c r="D1868" s="10"/>
      <c r="E1868" s="10"/>
      <c r="F1868" s="9"/>
      <c r="G1868" s="1"/>
      <c r="H1868" s="1"/>
      <c r="I1868" s="1"/>
      <c r="J1868" s="1"/>
    </row>
    <row r="1869" spans="1:10" s="6" customFormat="1">
      <c r="A1869" s="17"/>
      <c r="C1869" s="9"/>
      <c r="D1869" s="10"/>
      <c r="E1869" s="10"/>
      <c r="F1869" s="9"/>
      <c r="G1869" s="1"/>
      <c r="H1869" s="1"/>
      <c r="I1869" s="1"/>
      <c r="J1869" s="1"/>
    </row>
    <row r="1870" spans="1:10" s="6" customFormat="1">
      <c r="A1870" s="17"/>
      <c r="C1870" s="9"/>
      <c r="D1870" s="10"/>
      <c r="E1870" s="10"/>
      <c r="F1870" s="9"/>
      <c r="G1870" s="1"/>
      <c r="H1870" s="1"/>
      <c r="I1870" s="1"/>
      <c r="J1870" s="1"/>
    </row>
    <row r="1871" spans="1:10" s="6" customFormat="1">
      <c r="A1871" s="17"/>
      <c r="C1871" s="9"/>
      <c r="D1871" s="10"/>
      <c r="E1871" s="10"/>
      <c r="F1871" s="9"/>
      <c r="G1871" s="1"/>
      <c r="H1871" s="1"/>
      <c r="I1871" s="1"/>
      <c r="J1871" s="1"/>
    </row>
    <row r="1872" spans="1:10" s="6" customFormat="1">
      <c r="A1872" s="17"/>
      <c r="C1872" s="9"/>
      <c r="D1872" s="10"/>
      <c r="E1872" s="10"/>
      <c r="F1872" s="9"/>
      <c r="G1872" s="1"/>
      <c r="H1872" s="1"/>
      <c r="I1872" s="1"/>
      <c r="J1872" s="1"/>
    </row>
    <row r="1873" spans="1:10" s="6" customFormat="1">
      <c r="A1873" s="17"/>
      <c r="C1873" s="9"/>
      <c r="D1873" s="10"/>
      <c r="E1873" s="10"/>
      <c r="F1873" s="9"/>
      <c r="G1873" s="1"/>
      <c r="H1873" s="1"/>
      <c r="I1873" s="1"/>
      <c r="J1873" s="1"/>
    </row>
    <row r="1874" spans="1:10" s="6" customFormat="1">
      <c r="A1874" s="17"/>
      <c r="C1874" s="9"/>
      <c r="D1874" s="10"/>
      <c r="E1874" s="10"/>
      <c r="F1874" s="9"/>
      <c r="G1874" s="1"/>
      <c r="H1874" s="1"/>
      <c r="I1874" s="1"/>
      <c r="J1874" s="1"/>
    </row>
    <row r="1875" spans="1:10" s="6" customFormat="1">
      <c r="A1875" s="17"/>
      <c r="C1875" s="9"/>
      <c r="D1875" s="10"/>
      <c r="E1875" s="10"/>
      <c r="F1875" s="9"/>
      <c r="G1875" s="1"/>
      <c r="H1875" s="1"/>
      <c r="I1875" s="1"/>
      <c r="J1875" s="1"/>
    </row>
    <row r="1876" spans="1:10" s="6" customFormat="1">
      <c r="A1876" s="17"/>
      <c r="C1876" s="9"/>
      <c r="D1876" s="10"/>
      <c r="E1876" s="10"/>
      <c r="F1876" s="9"/>
      <c r="G1876" s="1"/>
      <c r="H1876" s="1"/>
      <c r="I1876" s="1"/>
      <c r="J1876" s="1"/>
    </row>
    <row r="1877" spans="1:10" s="6" customFormat="1">
      <c r="A1877" s="17"/>
      <c r="C1877" s="9"/>
      <c r="D1877" s="10"/>
      <c r="E1877" s="10"/>
      <c r="F1877" s="9"/>
      <c r="G1877" s="1"/>
      <c r="H1877" s="1"/>
      <c r="I1877" s="1"/>
      <c r="J1877" s="1"/>
    </row>
    <row r="1878" spans="1:10" s="6" customFormat="1">
      <c r="A1878" s="17"/>
      <c r="C1878" s="9"/>
      <c r="D1878" s="10"/>
      <c r="E1878" s="10"/>
      <c r="F1878" s="9"/>
      <c r="G1878" s="1"/>
      <c r="H1878" s="1"/>
      <c r="I1878" s="1"/>
      <c r="J1878" s="1"/>
    </row>
    <row r="1879" spans="1:10" s="6" customFormat="1">
      <c r="A1879" s="17"/>
      <c r="C1879" s="9"/>
      <c r="D1879" s="10"/>
      <c r="E1879" s="10"/>
      <c r="F1879" s="9"/>
      <c r="G1879" s="1"/>
      <c r="H1879" s="1"/>
      <c r="I1879" s="1"/>
      <c r="J1879" s="1"/>
    </row>
    <row r="1880" spans="1:10" s="6" customFormat="1">
      <c r="A1880" s="17"/>
      <c r="C1880" s="9"/>
      <c r="D1880" s="10"/>
      <c r="E1880" s="10"/>
      <c r="F1880" s="9"/>
      <c r="G1880" s="1"/>
      <c r="H1880" s="1"/>
      <c r="I1880" s="1"/>
      <c r="J1880" s="1"/>
    </row>
    <row r="1881" spans="1:10" s="6" customFormat="1">
      <c r="A1881" s="17"/>
      <c r="C1881" s="9"/>
      <c r="D1881" s="10"/>
      <c r="E1881" s="10"/>
      <c r="F1881" s="9"/>
      <c r="G1881" s="1"/>
      <c r="H1881" s="1"/>
      <c r="I1881" s="1"/>
      <c r="J1881" s="1"/>
    </row>
    <row r="1882" spans="1:10" s="6" customFormat="1">
      <c r="A1882" s="17"/>
      <c r="C1882" s="9"/>
      <c r="D1882" s="10"/>
      <c r="E1882" s="10"/>
      <c r="F1882" s="9"/>
      <c r="G1882" s="1"/>
      <c r="H1882" s="1"/>
      <c r="I1882" s="1"/>
      <c r="J1882" s="1"/>
    </row>
    <row r="1883" spans="1:10" s="6" customFormat="1">
      <c r="A1883" s="17"/>
      <c r="C1883" s="9"/>
      <c r="D1883" s="10"/>
      <c r="E1883" s="10"/>
      <c r="F1883" s="9"/>
      <c r="G1883" s="1"/>
      <c r="H1883" s="1"/>
      <c r="I1883" s="1"/>
      <c r="J1883" s="1"/>
    </row>
    <row r="1884" spans="1:10" s="6" customFormat="1">
      <c r="A1884" s="17"/>
      <c r="C1884" s="9"/>
      <c r="D1884" s="10"/>
      <c r="E1884" s="10"/>
      <c r="F1884" s="9"/>
      <c r="G1884" s="1"/>
      <c r="H1884" s="1"/>
      <c r="I1884" s="1"/>
      <c r="J1884" s="1"/>
    </row>
    <row r="1885" spans="1:10" s="6" customFormat="1">
      <c r="A1885" s="17"/>
      <c r="C1885" s="9"/>
      <c r="D1885" s="10"/>
      <c r="E1885" s="10"/>
      <c r="F1885" s="9"/>
      <c r="G1885" s="1"/>
      <c r="H1885" s="1"/>
      <c r="I1885" s="1"/>
      <c r="J1885" s="1"/>
    </row>
    <row r="1886" spans="1:10" s="6" customFormat="1">
      <c r="A1886" s="17"/>
      <c r="C1886" s="9"/>
      <c r="D1886" s="10"/>
      <c r="E1886" s="10"/>
      <c r="F1886" s="9"/>
      <c r="G1886" s="1"/>
      <c r="H1886" s="1"/>
      <c r="I1886" s="1"/>
      <c r="J1886" s="1"/>
    </row>
    <row r="1887" spans="1:10" s="6" customFormat="1">
      <c r="A1887" s="17"/>
      <c r="C1887" s="9"/>
      <c r="D1887" s="10"/>
      <c r="E1887" s="10"/>
      <c r="F1887" s="9"/>
      <c r="G1887" s="1"/>
      <c r="H1887" s="1"/>
      <c r="I1887" s="1"/>
      <c r="J1887" s="1"/>
    </row>
    <row r="1888" spans="1:10" s="6" customFormat="1">
      <c r="A1888" s="17"/>
      <c r="C1888" s="9"/>
      <c r="D1888" s="10"/>
      <c r="E1888" s="10"/>
      <c r="F1888" s="9"/>
      <c r="G1888" s="1"/>
      <c r="H1888" s="1"/>
      <c r="I1888" s="1"/>
      <c r="J1888" s="1"/>
    </row>
    <row r="1889" spans="1:10" s="6" customFormat="1">
      <c r="A1889" s="17"/>
      <c r="C1889" s="9"/>
      <c r="D1889" s="10"/>
      <c r="E1889" s="10"/>
      <c r="F1889" s="9"/>
      <c r="G1889" s="1"/>
      <c r="H1889" s="1"/>
      <c r="I1889" s="1"/>
      <c r="J1889" s="1"/>
    </row>
    <row r="1890" spans="1:10" s="6" customFormat="1">
      <c r="A1890" s="17"/>
      <c r="C1890" s="9"/>
      <c r="D1890" s="10"/>
      <c r="E1890" s="10"/>
      <c r="F1890" s="9"/>
      <c r="G1890" s="1"/>
      <c r="H1890" s="1"/>
      <c r="I1890" s="1"/>
      <c r="J1890" s="1"/>
    </row>
    <row r="1891" spans="1:10" s="6" customFormat="1">
      <c r="A1891" s="17"/>
      <c r="C1891" s="9"/>
      <c r="D1891" s="10"/>
      <c r="E1891" s="10"/>
      <c r="F1891" s="9"/>
      <c r="G1891" s="1"/>
      <c r="H1891" s="1"/>
      <c r="I1891" s="1"/>
      <c r="J1891" s="1"/>
    </row>
    <row r="1892" spans="1:10" s="6" customFormat="1">
      <c r="A1892" s="17"/>
      <c r="C1892" s="9"/>
      <c r="D1892" s="10"/>
      <c r="E1892" s="10"/>
      <c r="F1892" s="9"/>
      <c r="G1892" s="1"/>
      <c r="H1892" s="1"/>
      <c r="I1892" s="1"/>
      <c r="J1892" s="1"/>
    </row>
    <row r="1893" spans="1:10" s="6" customFormat="1">
      <c r="A1893" s="17"/>
      <c r="C1893" s="9"/>
      <c r="D1893" s="10"/>
      <c r="E1893" s="10"/>
      <c r="F1893" s="9"/>
      <c r="G1893" s="1"/>
      <c r="H1893" s="1"/>
      <c r="I1893" s="1"/>
      <c r="J1893" s="1"/>
    </row>
    <row r="1894" spans="1:10" s="6" customFormat="1">
      <c r="A1894" s="17"/>
      <c r="C1894" s="9"/>
      <c r="D1894" s="10"/>
      <c r="E1894" s="10"/>
      <c r="F1894" s="9"/>
      <c r="G1894" s="1"/>
      <c r="H1894" s="1"/>
      <c r="I1894" s="1"/>
      <c r="J1894" s="1"/>
    </row>
    <row r="1895" spans="1:10" s="6" customFormat="1">
      <c r="A1895" s="17"/>
      <c r="C1895" s="9"/>
      <c r="D1895" s="10"/>
      <c r="E1895" s="10"/>
      <c r="F1895" s="9"/>
      <c r="G1895" s="1"/>
      <c r="H1895" s="1"/>
      <c r="I1895" s="1"/>
      <c r="J1895" s="1"/>
    </row>
    <row r="1896" spans="1:10" s="6" customFormat="1">
      <c r="A1896" s="17"/>
      <c r="C1896" s="9"/>
      <c r="D1896" s="10"/>
      <c r="E1896" s="10"/>
      <c r="F1896" s="9"/>
      <c r="G1896" s="1"/>
      <c r="H1896" s="1"/>
      <c r="I1896" s="1"/>
      <c r="J1896" s="1"/>
    </row>
    <row r="1897" spans="1:10" s="6" customFormat="1">
      <c r="A1897" s="17"/>
      <c r="C1897" s="9"/>
      <c r="D1897" s="10"/>
      <c r="E1897" s="10"/>
      <c r="F1897" s="9"/>
      <c r="G1897" s="1"/>
      <c r="H1897" s="1"/>
      <c r="I1897" s="1"/>
      <c r="J1897" s="1"/>
    </row>
    <row r="1898" spans="1:10" s="6" customFormat="1">
      <c r="A1898" s="17"/>
      <c r="C1898" s="9"/>
      <c r="D1898" s="10"/>
      <c r="E1898" s="10"/>
      <c r="F1898" s="9"/>
      <c r="G1898" s="1"/>
      <c r="H1898" s="1"/>
      <c r="I1898" s="1"/>
      <c r="J1898" s="1"/>
    </row>
    <row r="1899" spans="1:10" s="6" customFormat="1">
      <c r="A1899" s="17"/>
      <c r="C1899" s="9"/>
      <c r="D1899" s="10"/>
      <c r="E1899" s="10"/>
      <c r="F1899" s="9"/>
      <c r="G1899" s="1"/>
      <c r="H1899" s="1"/>
      <c r="I1899" s="1"/>
      <c r="J1899" s="1"/>
    </row>
    <row r="1900" spans="1:10" s="6" customFormat="1">
      <c r="A1900" s="17"/>
      <c r="C1900" s="9"/>
      <c r="D1900" s="10"/>
      <c r="E1900" s="10"/>
      <c r="F1900" s="9"/>
      <c r="G1900" s="1"/>
      <c r="H1900" s="1"/>
      <c r="I1900" s="1"/>
      <c r="J1900" s="1"/>
    </row>
    <row r="1901" spans="1:10" s="6" customFormat="1">
      <c r="A1901" s="17"/>
      <c r="C1901" s="9"/>
      <c r="D1901" s="10"/>
      <c r="E1901" s="10"/>
      <c r="F1901" s="9"/>
      <c r="G1901" s="1"/>
      <c r="H1901" s="1"/>
      <c r="I1901" s="1"/>
      <c r="J1901" s="1"/>
    </row>
    <row r="1902" spans="1:10" s="6" customFormat="1">
      <c r="A1902" s="17"/>
      <c r="C1902" s="9"/>
      <c r="D1902" s="10"/>
      <c r="E1902" s="10"/>
      <c r="F1902" s="9"/>
      <c r="G1902" s="1"/>
      <c r="H1902" s="1"/>
      <c r="I1902" s="1"/>
      <c r="J1902" s="1"/>
    </row>
    <row r="1903" spans="1:10" s="6" customFormat="1">
      <c r="A1903" s="17"/>
      <c r="C1903" s="9"/>
      <c r="D1903" s="10"/>
      <c r="E1903" s="10"/>
      <c r="F1903" s="9"/>
      <c r="G1903" s="1"/>
      <c r="H1903" s="1"/>
      <c r="I1903" s="1"/>
      <c r="J1903" s="1"/>
    </row>
    <row r="1904" spans="1:10" s="6" customFormat="1">
      <c r="A1904" s="17"/>
      <c r="C1904" s="9"/>
      <c r="D1904" s="10"/>
      <c r="E1904" s="10"/>
      <c r="F1904" s="9"/>
      <c r="G1904" s="1"/>
      <c r="H1904" s="1"/>
      <c r="I1904" s="1"/>
      <c r="J1904" s="1"/>
    </row>
    <row r="1905" spans="1:10" s="6" customFormat="1">
      <c r="A1905" s="17"/>
      <c r="C1905" s="9"/>
      <c r="D1905" s="10"/>
      <c r="E1905" s="10"/>
      <c r="F1905" s="9"/>
      <c r="G1905" s="1"/>
      <c r="H1905" s="1"/>
      <c r="I1905" s="1"/>
      <c r="J1905" s="1"/>
    </row>
    <row r="1906" spans="1:10" s="6" customFormat="1">
      <c r="A1906" s="17"/>
      <c r="C1906" s="9"/>
      <c r="D1906" s="10"/>
      <c r="E1906" s="10"/>
      <c r="F1906" s="9"/>
      <c r="G1906" s="1"/>
      <c r="H1906" s="1"/>
      <c r="I1906" s="1"/>
      <c r="J1906" s="1"/>
    </row>
    <row r="1907" spans="1:10" s="6" customFormat="1">
      <c r="A1907" s="17"/>
      <c r="C1907" s="9"/>
      <c r="D1907" s="10"/>
      <c r="E1907" s="10"/>
      <c r="F1907" s="9"/>
      <c r="G1907" s="1"/>
      <c r="H1907" s="1"/>
      <c r="I1907" s="1"/>
      <c r="J1907" s="1"/>
    </row>
    <row r="1908" spans="1:10" s="6" customFormat="1">
      <c r="A1908" s="17"/>
      <c r="C1908" s="9"/>
      <c r="D1908" s="10"/>
      <c r="E1908" s="10"/>
      <c r="F1908" s="9"/>
      <c r="G1908" s="1"/>
      <c r="H1908" s="1"/>
      <c r="I1908" s="1"/>
      <c r="J1908" s="1"/>
    </row>
    <row r="1909" spans="1:10" s="6" customFormat="1">
      <c r="A1909" s="17"/>
      <c r="C1909" s="9"/>
      <c r="D1909" s="10"/>
      <c r="E1909" s="10"/>
      <c r="F1909" s="9"/>
      <c r="G1909" s="1"/>
      <c r="H1909" s="1"/>
      <c r="I1909" s="1"/>
      <c r="J1909" s="1"/>
    </row>
    <row r="1910" spans="1:10" s="6" customFormat="1">
      <c r="A1910" s="17"/>
      <c r="C1910" s="9"/>
      <c r="D1910" s="10"/>
      <c r="E1910" s="10"/>
      <c r="F1910" s="9"/>
      <c r="G1910" s="1"/>
      <c r="H1910" s="1"/>
      <c r="I1910" s="1"/>
      <c r="J1910" s="1"/>
    </row>
    <row r="1911" spans="1:10" s="6" customFormat="1">
      <c r="A1911" s="17"/>
      <c r="C1911" s="9"/>
      <c r="D1911" s="10"/>
      <c r="E1911" s="10"/>
      <c r="F1911" s="9"/>
      <c r="G1911" s="1"/>
      <c r="H1911" s="1"/>
      <c r="I1911" s="1"/>
      <c r="J1911" s="1"/>
    </row>
    <row r="1912" spans="1:10" s="6" customFormat="1">
      <c r="A1912" s="17"/>
      <c r="C1912" s="9"/>
      <c r="D1912" s="10"/>
      <c r="E1912" s="10"/>
      <c r="F1912" s="9"/>
      <c r="G1912" s="1"/>
      <c r="H1912" s="1"/>
      <c r="I1912" s="1"/>
      <c r="J1912" s="1"/>
    </row>
    <row r="1913" spans="1:10" s="6" customFormat="1">
      <c r="A1913" s="17"/>
      <c r="C1913" s="9"/>
      <c r="D1913" s="10"/>
      <c r="E1913" s="10"/>
      <c r="F1913" s="9"/>
      <c r="G1913" s="1"/>
      <c r="H1913" s="1"/>
      <c r="I1913" s="1"/>
      <c r="J1913" s="1"/>
    </row>
    <row r="1914" spans="1:10" s="6" customFormat="1">
      <c r="A1914" s="17"/>
      <c r="C1914" s="9"/>
      <c r="D1914" s="10"/>
      <c r="E1914" s="10"/>
      <c r="F1914" s="9"/>
      <c r="G1914" s="1"/>
      <c r="H1914" s="1"/>
      <c r="I1914" s="1"/>
      <c r="J1914" s="1"/>
    </row>
    <row r="1915" spans="1:10" s="6" customFormat="1">
      <c r="A1915" s="17"/>
      <c r="C1915" s="9"/>
      <c r="D1915" s="10"/>
      <c r="E1915" s="10"/>
      <c r="F1915" s="9"/>
      <c r="G1915" s="1"/>
      <c r="H1915" s="1"/>
      <c r="I1915" s="1"/>
      <c r="J1915" s="1"/>
    </row>
    <row r="1916" spans="1:10" s="6" customFormat="1">
      <c r="A1916" s="17"/>
      <c r="C1916" s="9"/>
      <c r="D1916" s="10"/>
      <c r="E1916" s="10"/>
      <c r="F1916" s="9"/>
      <c r="G1916" s="1"/>
      <c r="H1916" s="1"/>
      <c r="I1916" s="1"/>
      <c r="J1916" s="1"/>
    </row>
    <row r="1917" spans="1:10" s="6" customFormat="1">
      <c r="A1917" s="17"/>
      <c r="C1917" s="9"/>
      <c r="D1917" s="10"/>
      <c r="E1917" s="10"/>
      <c r="F1917" s="9"/>
      <c r="G1917" s="1"/>
      <c r="H1917" s="1"/>
      <c r="I1917" s="1"/>
      <c r="J1917" s="1"/>
    </row>
    <row r="1918" spans="1:10" s="6" customFormat="1">
      <c r="A1918" s="17"/>
      <c r="C1918" s="9"/>
      <c r="D1918" s="10"/>
      <c r="E1918" s="10"/>
      <c r="F1918" s="9"/>
      <c r="G1918" s="1"/>
      <c r="H1918" s="1"/>
      <c r="I1918" s="1"/>
      <c r="J1918" s="1"/>
    </row>
    <row r="1919" spans="1:10" s="6" customFormat="1">
      <c r="A1919" s="17"/>
      <c r="C1919" s="9"/>
      <c r="D1919" s="10"/>
      <c r="E1919" s="10"/>
      <c r="F1919" s="9"/>
      <c r="G1919" s="1"/>
      <c r="H1919" s="1"/>
      <c r="I1919" s="1"/>
      <c r="J1919" s="1"/>
    </row>
    <row r="1920" spans="1:10" s="6" customFormat="1">
      <c r="A1920" s="17"/>
      <c r="C1920" s="9"/>
      <c r="D1920" s="10"/>
      <c r="E1920" s="10"/>
      <c r="F1920" s="9"/>
      <c r="G1920" s="1"/>
      <c r="H1920" s="1"/>
      <c r="I1920" s="1"/>
      <c r="J1920" s="1"/>
    </row>
    <row r="1921" spans="1:10" s="6" customFormat="1">
      <c r="A1921" s="17"/>
      <c r="C1921" s="9"/>
      <c r="D1921" s="10"/>
      <c r="E1921" s="10"/>
      <c r="F1921" s="9"/>
      <c r="G1921" s="1"/>
      <c r="H1921" s="1"/>
      <c r="I1921" s="1"/>
      <c r="J1921" s="1"/>
    </row>
    <row r="1922" spans="1:10" s="6" customFormat="1">
      <c r="A1922" s="17"/>
      <c r="C1922" s="9"/>
      <c r="D1922" s="10"/>
      <c r="E1922" s="10"/>
      <c r="F1922" s="9"/>
      <c r="G1922" s="1"/>
      <c r="H1922" s="1"/>
      <c r="I1922" s="1"/>
      <c r="J1922" s="1"/>
    </row>
    <row r="1923" spans="1:10" s="6" customFormat="1">
      <c r="A1923" s="17"/>
      <c r="C1923" s="9"/>
      <c r="D1923" s="10"/>
      <c r="E1923" s="10"/>
      <c r="F1923" s="9"/>
      <c r="G1923" s="1"/>
      <c r="H1923" s="1"/>
      <c r="I1923" s="1"/>
      <c r="J1923" s="1"/>
    </row>
    <row r="1924" spans="1:10" s="6" customFormat="1">
      <c r="A1924" s="17"/>
      <c r="C1924" s="9"/>
      <c r="D1924" s="10"/>
      <c r="E1924" s="10"/>
      <c r="F1924" s="9"/>
      <c r="G1924" s="1"/>
      <c r="H1924" s="1"/>
      <c r="I1924" s="1"/>
      <c r="J1924" s="1"/>
    </row>
    <row r="1925" spans="1:10" s="6" customFormat="1">
      <c r="A1925" s="17"/>
      <c r="C1925" s="9"/>
      <c r="D1925" s="10"/>
      <c r="E1925" s="10"/>
      <c r="F1925" s="9"/>
      <c r="G1925" s="1"/>
      <c r="H1925" s="1"/>
      <c r="I1925" s="1"/>
      <c r="J1925" s="1"/>
    </row>
    <row r="1926" spans="1:10" s="6" customFormat="1">
      <c r="A1926" s="17"/>
      <c r="C1926" s="9"/>
      <c r="D1926" s="10"/>
      <c r="E1926" s="10"/>
      <c r="F1926" s="9"/>
      <c r="G1926" s="1"/>
      <c r="H1926" s="1"/>
      <c r="I1926" s="1"/>
      <c r="J1926" s="1"/>
    </row>
    <row r="1927" spans="1:10" s="6" customFormat="1">
      <c r="A1927" s="17"/>
      <c r="C1927" s="9"/>
      <c r="D1927" s="10"/>
      <c r="E1927" s="10"/>
      <c r="F1927" s="9"/>
      <c r="G1927" s="1"/>
      <c r="H1927" s="1"/>
      <c r="I1927" s="1"/>
      <c r="J1927" s="1"/>
    </row>
    <row r="1928" spans="1:10" s="6" customFormat="1">
      <c r="A1928" s="17"/>
      <c r="C1928" s="9"/>
      <c r="D1928" s="10"/>
      <c r="E1928" s="10"/>
      <c r="F1928" s="9"/>
      <c r="G1928" s="1"/>
      <c r="H1928" s="1"/>
      <c r="I1928" s="1"/>
      <c r="J1928" s="1"/>
    </row>
    <row r="1929" spans="1:10" s="6" customFormat="1">
      <c r="A1929" s="17"/>
      <c r="C1929" s="9"/>
      <c r="D1929" s="10"/>
      <c r="E1929" s="10"/>
      <c r="F1929" s="9"/>
      <c r="G1929" s="1"/>
      <c r="H1929" s="1"/>
      <c r="I1929" s="1"/>
      <c r="J1929" s="1"/>
    </row>
    <row r="1930" spans="1:10" s="6" customFormat="1">
      <c r="A1930" s="17"/>
      <c r="C1930" s="9"/>
      <c r="D1930" s="10"/>
      <c r="E1930" s="10"/>
      <c r="F1930" s="9"/>
      <c r="G1930" s="1"/>
      <c r="H1930" s="1"/>
      <c r="I1930" s="1"/>
      <c r="J1930" s="1"/>
    </row>
    <row r="1931" spans="1:10" s="6" customFormat="1">
      <c r="A1931" s="17"/>
      <c r="C1931" s="9"/>
      <c r="D1931" s="10"/>
      <c r="E1931" s="10"/>
      <c r="F1931" s="9"/>
      <c r="G1931" s="1"/>
      <c r="H1931" s="1"/>
      <c r="I1931" s="1"/>
      <c r="J1931" s="1"/>
    </row>
    <row r="1932" spans="1:10" s="6" customFormat="1">
      <c r="A1932" s="17"/>
      <c r="C1932" s="9"/>
      <c r="D1932" s="10"/>
      <c r="E1932" s="10"/>
      <c r="F1932" s="9"/>
      <c r="G1932" s="1"/>
      <c r="H1932" s="1"/>
      <c r="I1932" s="1"/>
      <c r="J1932" s="1"/>
    </row>
    <row r="1933" spans="1:10" s="6" customFormat="1">
      <c r="A1933" s="17"/>
      <c r="C1933" s="9"/>
      <c r="D1933" s="10"/>
      <c r="E1933" s="10"/>
      <c r="F1933" s="9"/>
      <c r="G1933" s="1"/>
      <c r="H1933" s="1"/>
      <c r="I1933" s="1"/>
      <c r="J1933" s="1"/>
    </row>
    <row r="1934" spans="1:10" s="6" customFormat="1">
      <c r="A1934" s="17"/>
      <c r="C1934" s="9"/>
      <c r="D1934" s="10"/>
      <c r="E1934" s="10"/>
      <c r="F1934" s="9"/>
      <c r="G1934" s="1"/>
      <c r="H1934" s="1"/>
      <c r="I1934" s="1"/>
      <c r="J1934" s="1"/>
    </row>
    <row r="1935" spans="1:10" s="6" customFormat="1">
      <c r="A1935" s="17"/>
      <c r="C1935" s="9"/>
      <c r="D1935" s="10"/>
      <c r="E1935" s="10"/>
      <c r="F1935" s="9"/>
      <c r="G1935" s="1"/>
      <c r="H1935" s="1"/>
      <c r="I1935" s="1"/>
      <c r="J1935" s="1"/>
    </row>
    <row r="1936" spans="1:10" s="6" customFormat="1">
      <c r="A1936" s="17"/>
      <c r="C1936" s="9"/>
      <c r="D1936" s="10"/>
      <c r="E1936" s="10"/>
      <c r="F1936" s="9"/>
      <c r="G1936" s="1"/>
      <c r="H1936" s="1"/>
      <c r="I1936" s="1"/>
      <c r="J1936" s="1"/>
    </row>
    <row r="1937" spans="1:10" s="6" customFormat="1">
      <c r="A1937" s="17"/>
      <c r="C1937" s="9"/>
      <c r="D1937" s="10"/>
      <c r="E1937" s="10"/>
      <c r="F1937" s="9"/>
      <c r="G1937" s="1"/>
      <c r="H1937" s="1"/>
      <c r="I1937" s="1"/>
      <c r="J1937" s="1"/>
    </row>
    <row r="1938" spans="1:10" s="6" customFormat="1">
      <c r="A1938" s="17"/>
      <c r="C1938" s="9"/>
      <c r="D1938" s="10"/>
      <c r="E1938" s="10"/>
      <c r="F1938" s="9"/>
      <c r="G1938" s="1"/>
      <c r="H1938" s="1"/>
      <c r="I1938" s="1"/>
      <c r="J1938" s="1"/>
    </row>
    <row r="1939" spans="1:10" s="6" customFormat="1">
      <c r="A1939" s="17"/>
      <c r="C1939" s="9"/>
      <c r="D1939" s="10"/>
      <c r="E1939" s="10"/>
      <c r="F1939" s="9"/>
      <c r="G1939" s="1"/>
      <c r="H1939" s="1"/>
      <c r="I1939" s="1"/>
      <c r="J1939" s="1"/>
    </row>
    <row r="1940" spans="1:10" s="6" customFormat="1">
      <c r="A1940" s="17"/>
      <c r="C1940" s="9"/>
      <c r="D1940" s="10"/>
      <c r="E1940" s="10"/>
      <c r="F1940" s="9"/>
      <c r="G1940" s="1"/>
      <c r="H1940" s="1"/>
      <c r="I1940" s="1"/>
      <c r="J1940" s="1"/>
    </row>
    <row r="1941" spans="1:10" s="6" customFormat="1">
      <c r="A1941" s="17"/>
      <c r="C1941" s="9"/>
      <c r="D1941" s="10"/>
      <c r="E1941" s="10"/>
      <c r="F1941" s="9"/>
      <c r="G1941" s="1"/>
      <c r="H1941" s="1"/>
      <c r="I1941" s="1"/>
      <c r="J1941" s="1"/>
    </row>
    <row r="1942" spans="1:10" s="6" customFormat="1">
      <c r="A1942" s="17"/>
      <c r="C1942" s="9"/>
      <c r="D1942" s="10"/>
      <c r="E1942" s="10"/>
      <c r="F1942" s="9"/>
      <c r="G1942" s="1"/>
      <c r="H1942" s="1"/>
      <c r="I1942" s="1"/>
      <c r="J1942" s="1"/>
    </row>
    <row r="1943" spans="1:10" s="6" customFormat="1">
      <c r="A1943" s="17"/>
      <c r="C1943" s="9"/>
      <c r="D1943" s="10"/>
      <c r="E1943" s="10"/>
      <c r="F1943" s="9"/>
      <c r="G1943" s="1"/>
      <c r="H1943" s="1"/>
      <c r="I1943" s="1"/>
      <c r="J1943" s="1"/>
    </row>
    <row r="1944" spans="1:10" s="6" customFormat="1">
      <c r="A1944" s="17"/>
      <c r="C1944" s="9"/>
      <c r="D1944" s="10"/>
      <c r="E1944" s="10"/>
      <c r="F1944" s="9"/>
      <c r="G1944" s="1"/>
      <c r="H1944" s="1"/>
      <c r="I1944" s="1"/>
      <c r="J1944" s="1"/>
    </row>
    <row r="1945" spans="1:10" s="6" customFormat="1">
      <c r="A1945" s="17"/>
      <c r="C1945" s="9"/>
      <c r="D1945" s="10"/>
      <c r="E1945" s="10"/>
      <c r="F1945" s="9"/>
      <c r="G1945" s="1"/>
      <c r="H1945" s="1"/>
      <c r="I1945" s="1"/>
      <c r="J1945" s="1"/>
    </row>
    <row r="1946" spans="1:10" s="6" customFormat="1">
      <c r="A1946" s="17"/>
      <c r="C1946" s="9"/>
      <c r="D1946" s="10"/>
      <c r="E1946" s="10"/>
      <c r="F1946" s="9"/>
      <c r="G1946" s="1"/>
      <c r="H1946" s="1"/>
      <c r="I1946" s="1"/>
      <c r="J1946" s="1"/>
    </row>
    <row r="1947" spans="1:10" s="6" customFormat="1">
      <c r="A1947" s="17"/>
      <c r="C1947" s="9"/>
      <c r="D1947" s="10"/>
      <c r="E1947" s="10"/>
      <c r="F1947" s="9"/>
      <c r="G1947" s="1"/>
      <c r="H1947" s="1"/>
      <c r="I1947" s="1"/>
      <c r="J1947" s="1"/>
    </row>
    <row r="1948" spans="1:10" s="6" customFormat="1">
      <c r="A1948" s="17"/>
      <c r="C1948" s="9"/>
      <c r="D1948" s="10"/>
      <c r="E1948" s="10"/>
      <c r="F1948" s="9"/>
      <c r="G1948" s="1"/>
      <c r="H1948" s="1"/>
      <c r="I1948" s="1"/>
      <c r="J1948" s="1"/>
    </row>
    <row r="1949" spans="1:10" s="6" customFormat="1">
      <c r="A1949" s="17"/>
      <c r="C1949" s="9"/>
      <c r="D1949" s="10"/>
      <c r="E1949" s="10"/>
      <c r="F1949" s="9"/>
      <c r="G1949" s="1"/>
      <c r="H1949" s="1"/>
      <c r="I1949" s="1"/>
      <c r="J1949" s="1"/>
    </row>
    <row r="1950" spans="1:10" s="6" customFormat="1">
      <c r="A1950" s="17"/>
      <c r="C1950" s="9"/>
      <c r="D1950" s="10"/>
      <c r="E1950" s="10"/>
      <c r="F1950" s="9"/>
      <c r="G1950" s="1"/>
      <c r="H1950" s="1"/>
      <c r="I1950" s="1"/>
      <c r="J1950" s="1"/>
    </row>
    <row r="1951" spans="1:10" s="6" customFormat="1">
      <c r="A1951" s="17"/>
      <c r="C1951" s="9"/>
      <c r="D1951" s="10"/>
      <c r="E1951" s="10"/>
      <c r="F1951" s="9"/>
      <c r="G1951" s="1"/>
      <c r="H1951" s="1"/>
      <c r="I1951" s="1"/>
      <c r="J1951" s="1"/>
    </row>
    <row r="1952" spans="1:10" s="6" customFormat="1">
      <c r="A1952" s="17"/>
      <c r="C1952" s="9"/>
      <c r="D1952" s="10"/>
      <c r="E1952" s="10"/>
      <c r="F1952" s="9"/>
      <c r="G1952" s="1"/>
      <c r="H1952" s="1"/>
      <c r="I1952" s="1"/>
      <c r="J1952" s="1"/>
    </row>
    <row r="1953" spans="1:10" s="6" customFormat="1">
      <c r="A1953" s="17"/>
      <c r="C1953" s="9"/>
      <c r="D1953" s="10"/>
      <c r="E1953" s="10"/>
      <c r="F1953" s="9"/>
      <c r="G1953" s="1"/>
      <c r="H1953" s="1"/>
      <c r="I1953" s="1"/>
      <c r="J1953" s="1"/>
    </row>
    <row r="1954" spans="1:10" s="6" customFormat="1">
      <c r="A1954" s="17"/>
      <c r="C1954" s="9"/>
      <c r="D1954" s="10"/>
      <c r="E1954" s="10"/>
      <c r="F1954" s="9"/>
      <c r="G1954" s="1"/>
      <c r="H1954" s="1"/>
      <c r="I1954" s="1"/>
      <c r="J1954" s="1"/>
    </row>
    <row r="1955" spans="1:10" s="6" customFormat="1">
      <c r="A1955" s="17"/>
      <c r="C1955" s="9"/>
      <c r="D1955" s="10"/>
      <c r="E1955" s="10"/>
      <c r="F1955" s="9"/>
      <c r="G1955" s="1"/>
      <c r="H1955" s="1"/>
      <c r="I1955" s="1"/>
      <c r="J1955" s="1"/>
    </row>
    <row r="1956" spans="1:10" s="6" customFormat="1">
      <c r="A1956" s="17"/>
      <c r="C1956" s="9"/>
      <c r="D1956" s="10"/>
      <c r="E1956" s="10"/>
      <c r="F1956" s="9"/>
      <c r="G1956" s="1"/>
      <c r="H1956" s="1"/>
      <c r="I1956" s="1"/>
      <c r="J1956" s="1"/>
    </row>
    <row r="1957" spans="1:10" s="6" customFormat="1">
      <c r="A1957" s="17"/>
      <c r="C1957" s="9"/>
      <c r="D1957" s="10"/>
      <c r="E1957" s="10"/>
      <c r="F1957" s="9"/>
      <c r="G1957" s="1"/>
      <c r="H1957" s="1"/>
      <c r="I1957" s="1"/>
      <c r="J1957" s="1"/>
    </row>
    <row r="1958" spans="1:10" s="6" customFormat="1">
      <c r="A1958" s="17"/>
      <c r="C1958" s="9"/>
      <c r="D1958" s="10"/>
      <c r="E1958" s="10"/>
      <c r="F1958" s="9"/>
      <c r="G1958" s="1"/>
      <c r="H1958" s="1"/>
      <c r="I1958" s="1"/>
      <c r="J1958" s="1"/>
    </row>
    <row r="1959" spans="1:10" s="6" customFormat="1">
      <c r="A1959" s="17"/>
      <c r="C1959" s="9"/>
      <c r="D1959" s="10"/>
      <c r="E1959" s="10"/>
      <c r="F1959" s="9"/>
      <c r="G1959" s="1"/>
      <c r="H1959" s="1"/>
      <c r="I1959" s="1"/>
      <c r="J1959" s="1"/>
    </row>
    <row r="1960" spans="1:10" s="6" customFormat="1">
      <c r="A1960" s="17"/>
      <c r="C1960" s="9"/>
      <c r="D1960" s="10"/>
      <c r="E1960" s="10"/>
      <c r="F1960" s="9"/>
      <c r="G1960" s="1"/>
      <c r="H1960" s="1"/>
      <c r="I1960" s="1"/>
      <c r="J1960" s="1"/>
    </row>
    <row r="1961" spans="1:10" s="6" customFormat="1">
      <c r="A1961" s="17"/>
      <c r="C1961" s="9"/>
      <c r="D1961" s="10"/>
      <c r="E1961" s="10"/>
      <c r="F1961" s="9"/>
      <c r="G1961" s="1"/>
      <c r="H1961" s="1"/>
      <c r="I1961" s="1"/>
      <c r="J1961" s="1"/>
    </row>
    <row r="1962" spans="1:10" s="6" customFormat="1">
      <c r="A1962" s="17"/>
      <c r="C1962" s="9"/>
      <c r="D1962" s="10"/>
      <c r="E1962" s="10"/>
      <c r="F1962" s="9"/>
      <c r="G1962" s="1"/>
      <c r="H1962" s="1"/>
      <c r="I1962" s="1"/>
      <c r="J1962" s="1"/>
    </row>
    <row r="1963" spans="1:10" s="6" customFormat="1">
      <c r="A1963" s="17"/>
      <c r="C1963" s="9"/>
      <c r="D1963" s="10"/>
      <c r="E1963" s="10"/>
      <c r="F1963" s="9"/>
      <c r="G1963" s="1"/>
      <c r="H1963" s="1"/>
      <c r="I1963" s="1"/>
      <c r="J1963" s="1"/>
    </row>
    <row r="1964" spans="1:10" s="6" customFormat="1">
      <c r="A1964" s="17"/>
      <c r="C1964" s="9"/>
      <c r="D1964" s="10"/>
      <c r="E1964" s="10"/>
      <c r="F1964" s="9"/>
      <c r="G1964" s="1"/>
      <c r="H1964" s="1"/>
      <c r="I1964" s="1"/>
      <c r="J1964" s="1"/>
    </row>
    <row r="1965" spans="1:10" s="6" customFormat="1">
      <c r="A1965" s="17"/>
      <c r="C1965" s="9"/>
      <c r="D1965" s="10"/>
      <c r="E1965" s="10"/>
      <c r="F1965" s="9"/>
      <c r="G1965" s="1"/>
      <c r="H1965" s="1"/>
      <c r="I1965" s="1"/>
      <c r="J1965" s="1"/>
    </row>
    <row r="1966" spans="1:10" s="6" customFormat="1">
      <c r="A1966" s="17"/>
      <c r="C1966" s="9"/>
      <c r="D1966" s="10"/>
      <c r="E1966" s="10"/>
      <c r="F1966" s="9"/>
      <c r="G1966" s="1"/>
      <c r="H1966" s="1"/>
      <c r="I1966" s="1"/>
      <c r="J1966" s="1"/>
    </row>
    <row r="1967" spans="1:10" s="6" customFormat="1">
      <c r="A1967" s="17"/>
      <c r="C1967" s="9"/>
      <c r="D1967" s="10"/>
      <c r="E1967" s="10"/>
      <c r="F1967" s="9"/>
      <c r="G1967" s="1"/>
      <c r="H1967" s="1"/>
      <c r="I1967" s="1"/>
      <c r="J1967" s="1"/>
    </row>
    <row r="1968" spans="1:10" s="6" customFormat="1">
      <c r="A1968" s="17"/>
      <c r="C1968" s="9"/>
      <c r="D1968" s="10"/>
      <c r="E1968" s="10"/>
      <c r="F1968" s="9"/>
      <c r="G1968" s="1"/>
      <c r="H1968" s="1"/>
      <c r="I1968" s="1"/>
      <c r="J1968" s="1"/>
    </row>
    <row r="1969" spans="1:10" s="6" customFormat="1">
      <c r="A1969" s="17"/>
      <c r="C1969" s="9"/>
      <c r="D1969" s="10"/>
      <c r="E1969" s="10"/>
      <c r="F1969" s="9"/>
      <c r="G1969" s="1"/>
      <c r="H1969" s="1"/>
      <c r="I1969" s="1"/>
      <c r="J1969" s="1"/>
    </row>
    <row r="1970" spans="1:10" s="6" customFormat="1">
      <c r="A1970" s="17"/>
      <c r="C1970" s="9"/>
      <c r="D1970" s="10"/>
      <c r="E1970" s="10"/>
      <c r="F1970" s="9"/>
      <c r="G1970" s="1"/>
      <c r="H1970" s="1"/>
      <c r="I1970" s="1"/>
      <c r="J1970" s="1"/>
    </row>
    <row r="1971" spans="1:10" s="6" customFormat="1">
      <c r="A1971" s="17"/>
      <c r="C1971" s="9"/>
      <c r="D1971" s="10"/>
      <c r="E1971" s="10"/>
      <c r="F1971" s="9"/>
      <c r="G1971" s="1"/>
      <c r="H1971" s="1"/>
      <c r="I1971" s="1"/>
      <c r="J1971" s="1"/>
    </row>
    <row r="1972" spans="1:10" s="6" customFormat="1">
      <c r="A1972" s="17"/>
      <c r="C1972" s="9"/>
      <c r="D1972" s="10"/>
      <c r="E1972" s="10"/>
      <c r="F1972" s="9"/>
      <c r="G1972" s="1"/>
      <c r="H1972" s="1"/>
      <c r="I1972" s="1"/>
      <c r="J1972" s="1"/>
    </row>
    <row r="1973" spans="1:10" s="6" customFormat="1">
      <c r="A1973" s="17"/>
      <c r="C1973" s="9"/>
      <c r="D1973" s="10"/>
      <c r="E1973" s="10"/>
      <c r="F1973" s="9"/>
      <c r="G1973" s="1"/>
      <c r="H1973" s="1"/>
      <c r="I1973" s="1"/>
      <c r="J1973" s="1"/>
    </row>
    <row r="1974" spans="1:10" s="6" customFormat="1">
      <c r="A1974" s="17"/>
      <c r="C1974" s="9"/>
      <c r="D1974" s="10"/>
      <c r="E1974" s="10"/>
      <c r="F1974" s="9"/>
      <c r="G1974" s="1"/>
      <c r="H1974" s="1"/>
      <c r="I1974" s="1"/>
      <c r="J1974" s="1"/>
    </row>
    <row r="1975" spans="1:10" s="6" customFormat="1">
      <c r="A1975" s="17"/>
      <c r="C1975" s="9"/>
      <c r="D1975" s="10"/>
      <c r="E1975" s="10"/>
      <c r="F1975" s="9"/>
      <c r="G1975" s="1"/>
      <c r="H1975" s="1"/>
      <c r="I1975" s="1"/>
      <c r="J1975" s="1"/>
    </row>
    <row r="1976" spans="1:10" s="6" customFormat="1">
      <c r="A1976" s="17"/>
      <c r="C1976" s="9"/>
      <c r="D1976" s="10"/>
      <c r="E1976" s="10"/>
      <c r="F1976" s="9"/>
      <c r="G1976" s="1"/>
      <c r="H1976" s="1"/>
      <c r="I1976" s="1"/>
      <c r="J1976" s="1"/>
    </row>
    <row r="1977" spans="1:10" s="6" customFormat="1">
      <c r="A1977" s="17"/>
      <c r="C1977" s="9"/>
      <c r="D1977" s="10"/>
      <c r="E1977" s="10"/>
      <c r="F1977" s="9"/>
      <c r="G1977" s="1"/>
      <c r="H1977" s="1"/>
      <c r="I1977" s="1"/>
      <c r="J1977" s="1"/>
    </row>
    <row r="1978" spans="1:10" s="6" customFormat="1">
      <c r="A1978" s="17"/>
      <c r="C1978" s="9"/>
      <c r="D1978" s="10"/>
      <c r="E1978" s="10"/>
      <c r="F1978" s="9"/>
      <c r="G1978" s="1"/>
      <c r="H1978" s="1"/>
      <c r="I1978" s="1"/>
      <c r="J1978" s="1"/>
    </row>
    <row r="1979" spans="1:10" s="6" customFormat="1">
      <c r="A1979" s="17"/>
      <c r="C1979" s="9"/>
      <c r="D1979" s="10"/>
      <c r="E1979" s="10"/>
      <c r="F1979" s="9"/>
      <c r="G1979" s="1"/>
      <c r="H1979" s="1"/>
      <c r="I1979" s="1"/>
      <c r="J1979" s="1"/>
    </row>
    <row r="1980" spans="1:10" s="6" customFormat="1">
      <c r="A1980" s="17"/>
      <c r="C1980" s="9"/>
      <c r="D1980" s="10"/>
      <c r="E1980" s="10"/>
      <c r="F1980" s="9"/>
      <c r="G1980" s="1"/>
      <c r="H1980" s="1"/>
      <c r="I1980" s="1"/>
      <c r="J1980" s="1"/>
    </row>
    <row r="1981" spans="1:10" s="6" customFormat="1">
      <c r="A1981" s="17"/>
      <c r="C1981" s="9"/>
      <c r="D1981" s="10"/>
      <c r="E1981" s="10"/>
      <c r="F1981" s="9"/>
      <c r="G1981" s="1"/>
      <c r="H1981" s="1"/>
      <c r="I1981" s="1"/>
      <c r="J1981" s="1"/>
    </row>
    <row r="1982" spans="1:10" s="6" customFormat="1">
      <c r="A1982" s="17"/>
      <c r="C1982" s="9"/>
      <c r="D1982" s="10"/>
      <c r="E1982" s="10"/>
      <c r="F1982" s="9"/>
      <c r="G1982" s="1"/>
      <c r="H1982" s="1"/>
      <c r="I1982" s="1"/>
      <c r="J1982" s="1"/>
    </row>
    <row r="1983" spans="1:10" s="6" customFormat="1">
      <c r="A1983" s="17"/>
      <c r="C1983" s="9"/>
      <c r="D1983" s="10"/>
      <c r="E1983" s="10"/>
      <c r="F1983" s="9"/>
      <c r="G1983" s="1"/>
      <c r="H1983" s="1"/>
      <c r="I1983" s="1"/>
      <c r="J1983" s="1"/>
    </row>
    <row r="1984" spans="1:10" s="6" customFormat="1">
      <c r="A1984" s="17"/>
      <c r="C1984" s="9"/>
      <c r="D1984" s="10"/>
      <c r="E1984" s="10"/>
      <c r="F1984" s="9"/>
      <c r="G1984" s="1"/>
      <c r="H1984" s="1"/>
      <c r="I1984" s="1"/>
      <c r="J1984" s="1"/>
    </row>
    <row r="1985" spans="1:10" s="6" customFormat="1">
      <c r="A1985" s="17"/>
      <c r="C1985" s="9"/>
      <c r="D1985" s="10"/>
      <c r="E1985" s="10"/>
      <c r="F1985" s="9"/>
      <c r="G1985" s="1"/>
      <c r="H1985" s="1"/>
      <c r="I1985" s="1"/>
      <c r="J1985" s="1"/>
    </row>
    <row r="1986" spans="1:10" s="6" customFormat="1">
      <c r="A1986" s="17"/>
      <c r="C1986" s="9"/>
      <c r="D1986" s="10"/>
      <c r="E1986" s="10"/>
      <c r="F1986" s="9"/>
      <c r="G1986" s="1"/>
      <c r="H1986" s="1"/>
      <c r="I1986" s="1"/>
      <c r="J1986" s="1"/>
    </row>
    <row r="1987" spans="1:10" s="6" customFormat="1">
      <c r="A1987" s="17"/>
      <c r="C1987" s="9"/>
      <c r="D1987" s="10"/>
      <c r="E1987" s="10"/>
      <c r="F1987" s="9"/>
      <c r="G1987" s="1"/>
      <c r="H1987" s="1"/>
      <c r="I1987" s="1"/>
      <c r="J1987" s="1"/>
    </row>
    <row r="1988" spans="1:10" s="6" customFormat="1">
      <c r="A1988" s="17"/>
      <c r="C1988" s="9"/>
      <c r="D1988" s="10"/>
      <c r="E1988" s="10"/>
      <c r="F1988" s="9"/>
      <c r="G1988" s="1"/>
      <c r="H1988" s="1"/>
      <c r="I1988" s="1"/>
      <c r="J1988" s="1"/>
    </row>
    <row r="1989" spans="1:10" s="6" customFormat="1">
      <c r="A1989" s="17"/>
      <c r="C1989" s="9"/>
      <c r="D1989" s="10"/>
      <c r="E1989" s="10"/>
      <c r="F1989" s="9"/>
      <c r="G1989" s="1"/>
      <c r="H1989" s="1"/>
      <c r="I1989" s="1"/>
      <c r="J1989" s="1"/>
    </row>
    <row r="1990" spans="1:10" s="6" customFormat="1">
      <c r="A1990" s="17"/>
      <c r="C1990" s="9"/>
      <c r="D1990" s="10"/>
      <c r="E1990" s="10"/>
      <c r="F1990" s="9"/>
      <c r="G1990" s="1"/>
      <c r="H1990" s="1"/>
      <c r="I1990" s="1"/>
      <c r="J1990" s="1"/>
    </row>
    <row r="1991" spans="1:10" s="6" customFormat="1">
      <c r="A1991" s="17"/>
      <c r="C1991" s="9"/>
      <c r="D1991" s="10"/>
      <c r="E1991" s="10"/>
      <c r="F1991" s="9"/>
      <c r="G1991" s="1"/>
      <c r="H1991" s="1"/>
      <c r="I1991" s="1"/>
      <c r="J1991" s="1"/>
    </row>
    <row r="1992" spans="1:10" s="6" customFormat="1">
      <c r="A1992" s="17"/>
      <c r="C1992" s="9"/>
      <c r="D1992" s="10"/>
      <c r="E1992" s="10"/>
      <c r="F1992" s="9"/>
      <c r="G1992" s="1"/>
      <c r="H1992" s="1"/>
      <c r="I1992" s="1"/>
      <c r="J1992" s="1"/>
    </row>
    <row r="1993" spans="1:10" s="6" customFormat="1">
      <c r="A1993" s="17"/>
      <c r="C1993" s="9"/>
      <c r="D1993" s="10"/>
      <c r="E1993" s="10"/>
      <c r="F1993" s="9"/>
      <c r="G1993" s="1"/>
      <c r="H1993" s="1"/>
      <c r="I1993" s="1"/>
      <c r="J1993" s="1"/>
    </row>
    <row r="1994" spans="1:10" s="6" customFormat="1">
      <c r="A1994" s="17"/>
      <c r="C1994" s="9"/>
      <c r="D1994" s="10"/>
      <c r="E1994" s="10"/>
      <c r="F1994" s="9"/>
      <c r="G1994" s="1"/>
      <c r="H1994" s="1"/>
      <c r="I1994" s="1"/>
      <c r="J1994" s="1"/>
    </row>
    <row r="1995" spans="1:10" s="6" customFormat="1">
      <c r="A1995" s="17"/>
      <c r="C1995" s="9"/>
      <c r="D1995" s="10"/>
      <c r="E1995" s="10"/>
      <c r="F1995" s="9"/>
      <c r="G1995" s="1"/>
      <c r="H1995" s="1"/>
      <c r="I1995" s="1"/>
      <c r="J1995" s="1"/>
    </row>
    <row r="1996" spans="1:10" s="6" customFormat="1">
      <c r="A1996" s="17"/>
      <c r="C1996" s="9"/>
      <c r="D1996" s="10"/>
      <c r="E1996" s="10"/>
      <c r="F1996" s="9"/>
      <c r="G1996" s="1"/>
      <c r="H1996" s="1"/>
      <c r="I1996" s="1"/>
      <c r="J1996" s="1"/>
    </row>
    <row r="1997" spans="1:10" s="6" customFormat="1">
      <c r="A1997" s="17"/>
      <c r="C1997" s="9"/>
      <c r="D1997" s="10"/>
      <c r="E1997" s="10"/>
      <c r="F1997" s="9"/>
      <c r="G1997" s="1"/>
      <c r="H1997" s="1"/>
      <c r="I1997" s="1"/>
      <c r="J1997" s="1"/>
    </row>
    <row r="1998" spans="1:10" s="6" customFormat="1">
      <c r="A1998" s="17"/>
      <c r="C1998" s="9"/>
      <c r="D1998" s="10"/>
      <c r="E1998" s="10"/>
      <c r="F1998" s="9"/>
      <c r="G1998" s="1"/>
      <c r="H1998" s="1"/>
      <c r="I1998" s="1"/>
      <c r="J1998" s="1"/>
    </row>
    <row r="1999" spans="1:10" s="6" customFormat="1">
      <c r="A1999" s="17"/>
      <c r="C1999" s="9"/>
      <c r="D1999" s="10"/>
      <c r="E1999" s="10"/>
      <c r="F1999" s="9"/>
      <c r="G1999" s="1"/>
      <c r="H1999" s="1"/>
      <c r="I1999" s="1"/>
      <c r="J1999" s="1"/>
    </row>
    <row r="2000" spans="1:10" s="6" customFormat="1">
      <c r="A2000" s="17"/>
      <c r="C2000" s="9"/>
      <c r="D2000" s="10"/>
      <c r="E2000" s="10"/>
      <c r="F2000" s="9"/>
      <c r="G2000" s="1"/>
      <c r="H2000" s="1"/>
      <c r="I2000" s="1"/>
      <c r="J2000" s="1"/>
    </row>
    <row r="2001" spans="1:10" s="6" customFormat="1">
      <c r="A2001" s="17"/>
      <c r="C2001" s="9"/>
      <c r="D2001" s="10"/>
      <c r="E2001" s="10"/>
      <c r="F2001" s="9"/>
      <c r="G2001" s="1"/>
      <c r="H2001" s="1"/>
      <c r="I2001" s="1"/>
      <c r="J2001" s="1"/>
    </row>
    <row r="2002" spans="1:10" s="6" customFormat="1">
      <c r="A2002" s="17"/>
      <c r="C2002" s="9"/>
      <c r="D2002" s="10"/>
      <c r="E2002" s="10"/>
      <c r="F2002" s="9"/>
      <c r="G2002" s="1"/>
      <c r="H2002" s="1"/>
      <c r="I2002" s="1"/>
      <c r="J2002" s="1"/>
    </row>
    <row r="2003" spans="1:10" s="6" customFormat="1">
      <c r="A2003" s="17"/>
      <c r="C2003" s="9"/>
      <c r="D2003" s="10"/>
      <c r="E2003" s="10"/>
      <c r="F2003" s="9"/>
      <c r="G2003" s="1"/>
      <c r="H2003" s="1"/>
      <c r="I2003" s="1"/>
      <c r="J2003" s="1"/>
    </row>
    <row r="2004" spans="1:10" s="6" customFormat="1">
      <c r="A2004" s="17"/>
      <c r="C2004" s="9"/>
      <c r="D2004" s="10"/>
      <c r="E2004" s="10"/>
      <c r="F2004" s="9"/>
      <c r="G2004" s="1"/>
      <c r="H2004" s="1"/>
      <c r="I2004" s="1"/>
      <c r="J2004" s="1"/>
    </row>
    <row r="2005" spans="1:10" s="6" customFormat="1">
      <c r="A2005" s="17"/>
      <c r="C2005" s="9"/>
      <c r="D2005" s="10"/>
      <c r="E2005" s="10"/>
      <c r="F2005" s="9"/>
      <c r="G2005" s="1"/>
      <c r="H2005" s="1"/>
      <c r="I2005" s="1"/>
      <c r="J2005" s="1"/>
    </row>
    <row r="2006" spans="1:10" s="6" customFormat="1">
      <c r="A2006" s="17"/>
      <c r="C2006" s="9"/>
      <c r="D2006" s="10"/>
      <c r="E2006" s="10"/>
      <c r="F2006" s="9"/>
      <c r="G2006" s="1"/>
      <c r="H2006" s="1"/>
      <c r="I2006" s="1"/>
      <c r="J2006" s="1"/>
    </row>
    <row r="2007" spans="1:10" s="6" customFormat="1">
      <c r="A2007" s="17"/>
      <c r="C2007" s="9"/>
      <c r="D2007" s="10"/>
      <c r="E2007" s="10"/>
      <c r="F2007" s="9"/>
      <c r="G2007" s="1"/>
      <c r="H2007" s="1"/>
      <c r="I2007" s="1"/>
      <c r="J2007" s="1"/>
    </row>
    <row r="2008" spans="1:10" s="6" customFormat="1">
      <c r="A2008" s="17"/>
      <c r="C2008" s="9"/>
      <c r="D2008" s="10"/>
      <c r="E2008" s="10"/>
      <c r="F2008" s="9"/>
      <c r="G2008" s="1"/>
      <c r="H2008" s="1"/>
      <c r="I2008" s="1"/>
      <c r="J2008" s="1"/>
    </row>
    <row r="2009" spans="1:10" s="6" customFormat="1">
      <c r="A2009" s="17"/>
      <c r="C2009" s="9"/>
      <c r="D2009" s="10"/>
      <c r="E2009" s="10"/>
      <c r="F2009" s="9"/>
      <c r="G2009" s="1"/>
      <c r="H2009" s="1"/>
      <c r="I2009" s="1"/>
      <c r="J2009" s="1"/>
    </row>
    <row r="2010" spans="1:10" s="6" customFormat="1">
      <c r="A2010" s="17"/>
      <c r="C2010" s="9"/>
      <c r="D2010" s="10"/>
      <c r="E2010" s="10"/>
      <c r="F2010" s="9"/>
      <c r="G2010" s="1"/>
      <c r="H2010" s="1"/>
      <c r="I2010" s="1"/>
      <c r="J2010" s="1"/>
    </row>
    <row r="2011" spans="1:10" s="6" customFormat="1">
      <c r="A2011" s="17"/>
      <c r="C2011" s="9"/>
      <c r="D2011" s="10"/>
      <c r="E2011" s="10"/>
      <c r="F2011" s="9"/>
      <c r="G2011" s="1"/>
      <c r="H2011" s="1"/>
      <c r="I2011" s="1"/>
      <c r="J2011" s="1"/>
    </row>
    <row r="2012" spans="1:10" s="6" customFormat="1">
      <c r="A2012" s="17"/>
      <c r="C2012" s="9"/>
      <c r="D2012" s="10"/>
      <c r="E2012" s="10"/>
      <c r="F2012" s="9"/>
      <c r="G2012" s="1"/>
      <c r="H2012" s="1"/>
      <c r="I2012" s="1"/>
      <c r="J2012" s="1"/>
    </row>
    <row r="2013" spans="1:10" s="6" customFormat="1">
      <c r="A2013" s="17"/>
      <c r="C2013" s="9"/>
      <c r="D2013" s="10"/>
      <c r="E2013" s="10"/>
      <c r="F2013" s="9"/>
      <c r="G2013" s="1"/>
      <c r="H2013" s="1"/>
      <c r="I2013" s="1"/>
      <c r="J2013" s="1"/>
    </row>
    <row r="2014" spans="1:10" s="6" customFormat="1">
      <c r="A2014" s="17"/>
      <c r="C2014" s="9"/>
      <c r="D2014" s="10"/>
      <c r="E2014" s="10"/>
      <c r="F2014" s="9"/>
      <c r="G2014" s="1"/>
      <c r="H2014" s="1"/>
      <c r="I2014" s="1"/>
      <c r="J2014" s="1"/>
    </row>
    <row r="2015" spans="1:10" s="6" customFormat="1">
      <c r="A2015" s="17"/>
      <c r="C2015" s="9"/>
      <c r="D2015" s="10"/>
      <c r="E2015" s="10"/>
      <c r="F2015" s="9"/>
      <c r="G2015" s="1"/>
      <c r="H2015" s="1"/>
      <c r="I2015" s="1"/>
      <c r="J2015" s="1"/>
    </row>
    <row r="2016" spans="1:10" s="6" customFormat="1">
      <c r="A2016" s="17"/>
      <c r="C2016" s="9"/>
      <c r="D2016" s="10"/>
      <c r="E2016" s="10"/>
      <c r="F2016" s="9"/>
      <c r="G2016" s="1"/>
      <c r="H2016" s="1"/>
      <c r="I2016" s="1"/>
      <c r="J2016" s="1"/>
    </row>
    <row r="2017" spans="1:10" s="6" customFormat="1">
      <c r="A2017" s="17"/>
      <c r="C2017" s="9"/>
      <c r="D2017" s="10"/>
      <c r="E2017" s="10"/>
      <c r="F2017" s="9"/>
      <c r="G2017" s="1"/>
      <c r="H2017" s="1"/>
      <c r="I2017" s="1"/>
      <c r="J2017" s="1"/>
    </row>
    <row r="2018" spans="1:10" s="6" customFormat="1">
      <c r="A2018" s="17"/>
      <c r="C2018" s="9"/>
      <c r="D2018" s="10"/>
      <c r="E2018" s="10"/>
      <c r="F2018" s="9"/>
      <c r="G2018" s="1"/>
      <c r="H2018" s="1"/>
      <c r="I2018" s="1"/>
      <c r="J2018" s="1"/>
    </row>
    <row r="2019" spans="1:10" s="6" customFormat="1">
      <c r="A2019" s="17"/>
      <c r="C2019" s="9"/>
      <c r="D2019" s="10"/>
      <c r="E2019" s="10"/>
      <c r="F2019" s="9"/>
      <c r="G2019" s="1"/>
      <c r="H2019" s="1"/>
      <c r="I2019" s="1"/>
      <c r="J2019" s="1"/>
    </row>
    <row r="2020" spans="1:10" s="6" customFormat="1">
      <c r="A2020" s="17"/>
      <c r="C2020" s="9"/>
      <c r="D2020" s="10"/>
      <c r="E2020" s="10"/>
      <c r="F2020" s="9"/>
      <c r="G2020" s="1"/>
      <c r="H2020" s="1"/>
      <c r="I2020" s="1"/>
      <c r="J2020" s="1"/>
    </row>
    <row r="2021" spans="1:10" s="6" customFormat="1">
      <c r="A2021" s="17"/>
      <c r="C2021" s="9"/>
      <c r="D2021" s="10"/>
      <c r="E2021" s="10"/>
      <c r="F2021" s="9"/>
      <c r="G2021" s="1"/>
      <c r="H2021" s="1"/>
      <c r="I2021" s="1"/>
      <c r="J2021" s="1"/>
    </row>
    <row r="2022" spans="1:10" s="6" customFormat="1">
      <c r="A2022" s="17"/>
      <c r="C2022" s="9"/>
      <c r="D2022" s="10"/>
      <c r="E2022" s="10"/>
      <c r="F2022" s="9"/>
      <c r="G2022" s="1"/>
      <c r="H2022" s="1"/>
      <c r="I2022" s="1"/>
      <c r="J2022" s="1"/>
    </row>
    <row r="2023" spans="1:10" s="6" customFormat="1">
      <c r="A2023" s="17"/>
      <c r="C2023" s="9"/>
      <c r="D2023" s="10"/>
      <c r="E2023" s="10"/>
      <c r="F2023" s="9"/>
      <c r="G2023" s="1"/>
      <c r="H2023" s="1"/>
      <c r="I2023" s="1"/>
      <c r="J2023" s="1"/>
    </row>
    <row r="2024" spans="1:10" s="6" customFormat="1">
      <c r="A2024" s="17"/>
      <c r="C2024" s="9"/>
      <c r="D2024" s="10"/>
      <c r="E2024" s="10"/>
      <c r="F2024" s="9"/>
      <c r="G2024" s="1"/>
      <c r="H2024" s="1"/>
      <c r="I2024" s="1"/>
      <c r="J2024" s="1"/>
    </row>
    <row r="2025" spans="1:10" s="6" customFormat="1">
      <c r="A2025" s="17"/>
      <c r="C2025" s="9"/>
      <c r="D2025" s="10"/>
      <c r="E2025" s="10"/>
      <c r="F2025" s="9"/>
      <c r="G2025" s="1"/>
      <c r="H2025" s="1"/>
      <c r="I2025" s="1"/>
      <c r="J2025" s="1"/>
    </row>
    <row r="2026" spans="1:10" s="6" customFormat="1">
      <c r="A2026" s="17"/>
      <c r="C2026" s="9"/>
      <c r="D2026" s="10"/>
      <c r="E2026" s="10"/>
      <c r="F2026" s="9"/>
      <c r="G2026" s="1"/>
      <c r="H2026" s="1"/>
      <c r="I2026" s="1"/>
      <c r="J2026" s="1"/>
    </row>
    <row r="2027" spans="1:10" s="6" customFormat="1">
      <c r="A2027" s="17"/>
      <c r="C2027" s="9"/>
      <c r="D2027" s="10"/>
      <c r="E2027" s="10"/>
      <c r="F2027" s="9"/>
      <c r="G2027" s="1"/>
      <c r="H2027" s="1"/>
      <c r="I2027" s="1"/>
      <c r="J2027" s="1"/>
    </row>
    <row r="2028" spans="1:10" s="6" customFormat="1">
      <c r="A2028" s="17"/>
      <c r="C2028" s="9"/>
      <c r="D2028" s="10"/>
      <c r="E2028" s="10"/>
      <c r="F2028" s="9"/>
      <c r="G2028" s="1"/>
      <c r="H2028" s="1"/>
      <c r="I2028" s="1"/>
      <c r="J2028" s="1"/>
    </row>
    <row r="2029" spans="1:10" s="6" customFormat="1">
      <c r="A2029" s="17"/>
      <c r="C2029" s="9"/>
      <c r="D2029" s="10"/>
      <c r="E2029" s="10"/>
      <c r="F2029" s="9"/>
      <c r="G2029" s="1"/>
      <c r="H2029" s="1"/>
      <c r="I2029" s="1"/>
      <c r="J2029" s="1"/>
    </row>
    <row r="2030" spans="1:10" s="6" customFormat="1">
      <c r="A2030" s="17"/>
      <c r="C2030" s="9"/>
      <c r="D2030" s="10"/>
      <c r="E2030" s="10"/>
      <c r="F2030" s="9"/>
      <c r="G2030" s="1"/>
      <c r="H2030" s="1"/>
      <c r="I2030" s="1"/>
      <c r="J2030" s="1"/>
    </row>
    <row r="2031" spans="1:10" s="6" customFormat="1">
      <c r="A2031" s="17"/>
      <c r="C2031" s="9"/>
      <c r="D2031" s="10"/>
      <c r="E2031" s="10"/>
      <c r="F2031" s="9"/>
      <c r="G2031" s="1"/>
      <c r="H2031" s="1"/>
      <c r="I2031" s="1"/>
      <c r="J2031" s="1"/>
    </row>
    <row r="2032" spans="1:10" s="6" customFormat="1">
      <c r="A2032" s="17"/>
      <c r="C2032" s="9"/>
      <c r="D2032" s="10"/>
      <c r="E2032" s="10"/>
      <c r="F2032" s="9"/>
      <c r="G2032" s="1"/>
      <c r="H2032" s="1"/>
      <c r="I2032" s="1"/>
      <c r="J2032" s="1"/>
    </row>
    <row r="2033" spans="1:10" s="6" customFormat="1">
      <c r="A2033" s="17"/>
      <c r="C2033" s="9"/>
      <c r="D2033" s="10"/>
      <c r="E2033" s="10"/>
      <c r="F2033" s="9"/>
      <c r="G2033" s="1"/>
      <c r="H2033" s="1"/>
      <c r="I2033" s="1"/>
      <c r="J2033" s="1"/>
    </row>
    <row r="2034" spans="1:10" s="6" customFormat="1">
      <c r="A2034" s="17"/>
      <c r="C2034" s="9"/>
      <c r="D2034" s="10"/>
      <c r="E2034" s="10"/>
      <c r="F2034" s="9"/>
      <c r="G2034" s="1"/>
      <c r="H2034" s="1"/>
      <c r="I2034" s="1"/>
      <c r="J2034" s="1"/>
    </row>
    <row r="2035" spans="1:10" s="6" customFormat="1">
      <c r="A2035" s="17"/>
      <c r="C2035" s="9"/>
      <c r="D2035" s="10"/>
      <c r="E2035" s="10"/>
      <c r="F2035" s="9"/>
      <c r="G2035" s="1"/>
      <c r="H2035" s="1"/>
      <c r="I2035" s="1"/>
      <c r="J2035" s="1"/>
    </row>
    <row r="2036" spans="1:10" s="6" customFormat="1">
      <c r="A2036" s="17"/>
      <c r="C2036" s="9"/>
      <c r="D2036" s="10"/>
      <c r="E2036" s="10"/>
      <c r="F2036" s="9"/>
      <c r="G2036" s="1"/>
      <c r="H2036" s="1"/>
      <c r="I2036" s="1"/>
      <c r="J2036" s="1"/>
    </row>
    <row r="2037" spans="1:10" s="6" customFormat="1">
      <c r="A2037" s="17"/>
      <c r="C2037" s="9"/>
      <c r="D2037" s="10"/>
      <c r="E2037" s="10"/>
      <c r="F2037" s="9"/>
      <c r="G2037" s="1"/>
      <c r="H2037" s="1"/>
      <c r="I2037" s="1"/>
      <c r="J2037" s="1"/>
    </row>
    <row r="2038" spans="1:10" s="6" customFormat="1">
      <c r="A2038" s="17"/>
      <c r="C2038" s="9"/>
      <c r="D2038" s="10"/>
      <c r="E2038" s="10"/>
      <c r="F2038" s="9"/>
      <c r="G2038" s="1"/>
      <c r="H2038" s="1"/>
      <c r="I2038" s="1"/>
      <c r="J2038" s="1"/>
    </row>
    <row r="2039" spans="1:10" s="6" customFormat="1">
      <c r="A2039" s="17"/>
      <c r="C2039" s="9"/>
      <c r="D2039" s="10"/>
      <c r="E2039" s="10"/>
      <c r="F2039" s="9"/>
      <c r="G2039" s="1"/>
      <c r="H2039" s="1"/>
      <c r="I2039" s="1"/>
      <c r="J2039" s="1"/>
    </row>
    <row r="2040" spans="1:10" s="6" customFormat="1">
      <c r="A2040" s="17"/>
      <c r="C2040" s="9"/>
      <c r="D2040" s="10"/>
      <c r="E2040" s="10"/>
      <c r="F2040" s="9"/>
      <c r="G2040" s="1"/>
      <c r="H2040" s="1"/>
      <c r="I2040" s="1"/>
      <c r="J2040" s="1"/>
    </row>
    <row r="2041" spans="1:10" s="6" customFormat="1">
      <c r="A2041" s="17"/>
      <c r="C2041" s="9"/>
      <c r="D2041" s="10"/>
      <c r="E2041" s="10"/>
      <c r="F2041" s="9"/>
      <c r="G2041" s="1"/>
      <c r="H2041" s="1"/>
      <c r="I2041" s="1"/>
      <c r="J2041" s="1"/>
    </row>
    <row r="2042" spans="1:10" s="6" customFormat="1">
      <c r="A2042" s="17"/>
      <c r="C2042" s="9"/>
      <c r="D2042" s="10"/>
      <c r="E2042" s="10"/>
      <c r="F2042" s="9"/>
      <c r="G2042" s="1"/>
      <c r="H2042" s="1"/>
      <c r="I2042" s="1"/>
      <c r="J2042" s="1"/>
    </row>
    <row r="2043" spans="1:10" s="6" customFormat="1">
      <c r="A2043" s="17"/>
      <c r="C2043" s="9"/>
      <c r="D2043" s="10"/>
      <c r="E2043" s="10"/>
      <c r="F2043" s="9"/>
      <c r="G2043" s="1"/>
      <c r="H2043" s="1"/>
      <c r="I2043" s="1"/>
      <c r="J2043" s="1"/>
    </row>
    <row r="2044" spans="1:10" s="6" customFormat="1">
      <c r="A2044" s="17"/>
      <c r="C2044" s="9"/>
      <c r="D2044" s="10"/>
      <c r="E2044" s="10"/>
      <c r="F2044" s="9"/>
      <c r="G2044" s="1"/>
      <c r="H2044" s="1"/>
      <c r="I2044" s="1"/>
      <c r="J2044" s="1"/>
    </row>
    <row r="2045" spans="1:10" s="6" customFormat="1">
      <c r="A2045" s="17"/>
      <c r="C2045" s="9"/>
      <c r="D2045" s="10"/>
      <c r="E2045" s="10"/>
      <c r="F2045" s="9"/>
      <c r="G2045" s="1"/>
      <c r="H2045" s="1"/>
      <c r="I2045" s="1"/>
      <c r="J2045" s="1"/>
    </row>
    <row r="2046" spans="1:10" s="6" customFormat="1">
      <c r="A2046" s="17"/>
      <c r="C2046" s="9"/>
      <c r="D2046" s="10"/>
      <c r="E2046" s="10"/>
      <c r="F2046" s="9"/>
      <c r="G2046" s="1"/>
      <c r="H2046" s="1"/>
      <c r="I2046" s="1"/>
      <c r="J2046" s="1"/>
    </row>
    <row r="2047" spans="1:10" s="6" customFormat="1">
      <c r="A2047" s="17"/>
      <c r="C2047" s="9"/>
      <c r="D2047" s="10"/>
      <c r="E2047" s="10"/>
      <c r="F2047" s="9"/>
      <c r="G2047" s="1"/>
      <c r="H2047" s="1"/>
      <c r="I2047" s="1"/>
      <c r="J2047" s="1"/>
    </row>
    <row r="2048" spans="1:10" s="6" customFormat="1">
      <c r="A2048" s="17"/>
      <c r="C2048" s="9"/>
      <c r="D2048" s="10"/>
      <c r="E2048" s="10"/>
      <c r="F2048" s="9"/>
      <c r="G2048" s="1"/>
      <c r="H2048" s="1"/>
      <c r="I2048" s="1"/>
      <c r="J2048" s="1"/>
    </row>
    <row r="2049" spans="1:10" s="6" customFormat="1">
      <c r="A2049" s="17"/>
      <c r="C2049" s="9"/>
      <c r="D2049" s="10"/>
      <c r="E2049" s="10"/>
      <c r="F2049" s="9"/>
      <c r="G2049" s="1"/>
      <c r="H2049" s="1"/>
      <c r="I2049" s="1"/>
      <c r="J2049" s="1"/>
    </row>
    <row r="2050" spans="1:10" s="6" customFormat="1">
      <c r="A2050" s="17"/>
      <c r="C2050" s="9"/>
      <c r="D2050" s="10"/>
      <c r="E2050" s="10"/>
      <c r="F2050" s="9"/>
      <c r="G2050" s="1"/>
      <c r="H2050" s="1"/>
      <c r="I2050" s="1"/>
      <c r="J2050" s="1"/>
    </row>
    <row r="2051" spans="1:10" s="6" customFormat="1">
      <c r="A2051" s="17"/>
      <c r="C2051" s="9"/>
      <c r="D2051" s="10"/>
      <c r="E2051" s="10"/>
      <c r="F2051" s="9"/>
      <c r="G2051" s="1"/>
      <c r="H2051" s="1"/>
      <c r="I2051" s="1"/>
      <c r="J2051" s="1"/>
    </row>
    <row r="2052" spans="1:10" s="6" customFormat="1">
      <c r="A2052" s="17"/>
      <c r="C2052" s="9"/>
      <c r="D2052" s="10"/>
      <c r="E2052" s="10"/>
      <c r="F2052" s="9"/>
      <c r="G2052" s="1"/>
      <c r="H2052" s="1"/>
      <c r="I2052" s="1"/>
      <c r="J2052" s="1"/>
    </row>
    <row r="2053" spans="1:10" s="6" customFormat="1">
      <c r="A2053" s="17"/>
      <c r="C2053" s="9"/>
      <c r="D2053" s="10"/>
      <c r="E2053" s="10"/>
      <c r="F2053" s="9"/>
      <c r="G2053" s="1"/>
      <c r="H2053" s="1"/>
      <c r="I2053" s="1"/>
      <c r="J2053" s="1"/>
    </row>
    <row r="2054" spans="1:10" s="6" customFormat="1">
      <c r="A2054" s="17"/>
      <c r="C2054" s="9"/>
      <c r="D2054" s="10"/>
      <c r="E2054" s="10"/>
      <c r="F2054" s="9"/>
      <c r="G2054" s="1"/>
      <c r="H2054" s="1"/>
      <c r="I2054" s="1"/>
      <c r="J2054" s="1"/>
    </row>
    <row r="2055" spans="1:10" s="6" customFormat="1">
      <c r="A2055" s="17"/>
      <c r="C2055" s="9"/>
      <c r="D2055" s="10"/>
      <c r="E2055" s="10"/>
      <c r="F2055" s="9"/>
      <c r="G2055" s="1"/>
      <c r="H2055" s="1"/>
      <c r="I2055" s="1"/>
      <c r="J2055" s="1"/>
    </row>
    <row r="2056" spans="1:10" s="6" customFormat="1">
      <c r="A2056" s="17"/>
      <c r="C2056" s="9"/>
      <c r="D2056" s="10"/>
      <c r="E2056" s="10"/>
      <c r="F2056" s="9"/>
      <c r="G2056" s="1"/>
      <c r="H2056" s="1"/>
      <c r="I2056" s="1"/>
      <c r="J2056" s="1"/>
    </row>
    <row r="2057" spans="1:10" s="6" customFormat="1">
      <c r="A2057" s="17"/>
      <c r="C2057" s="9"/>
      <c r="D2057" s="10"/>
      <c r="E2057" s="10"/>
      <c r="F2057" s="9"/>
      <c r="G2057" s="1"/>
      <c r="H2057" s="1"/>
      <c r="I2057" s="1"/>
      <c r="J2057" s="1"/>
    </row>
    <row r="2058" spans="1:10" s="6" customFormat="1">
      <c r="A2058" s="17"/>
      <c r="C2058" s="9"/>
      <c r="D2058" s="10"/>
      <c r="E2058" s="10"/>
      <c r="F2058" s="9"/>
      <c r="G2058" s="1"/>
      <c r="H2058" s="1"/>
      <c r="I2058" s="1"/>
      <c r="J2058" s="1"/>
    </row>
    <row r="2059" spans="1:10" s="6" customFormat="1">
      <c r="A2059" s="17"/>
      <c r="C2059" s="9"/>
      <c r="D2059" s="10"/>
      <c r="E2059" s="10"/>
      <c r="F2059" s="9"/>
      <c r="G2059" s="1"/>
      <c r="H2059" s="1"/>
      <c r="I2059" s="1"/>
      <c r="J2059" s="1"/>
    </row>
    <row r="2060" spans="1:10" s="6" customFormat="1">
      <c r="A2060" s="17"/>
      <c r="C2060" s="9"/>
      <c r="D2060" s="10"/>
      <c r="E2060" s="10"/>
      <c r="F2060" s="9"/>
      <c r="G2060" s="1"/>
      <c r="H2060" s="1"/>
      <c r="I2060" s="1"/>
      <c r="J2060" s="1"/>
    </row>
    <row r="2061" spans="1:10" s="6" customFormat="1">
      <c r="A2061" s="17"/>
      <c r="C2061" s="9"/>
      <c r="D2061" s="10"/>
      <c r="E2061" s="10"/>
      <c r="F2061" s="9"/>
      <c r="G2061" s="1"/>
      <c r="H2061" s="1"/>
      <c r="I2061" s="1"/>
      <c r="J2061" s="1"/>
    </row>
    <row r="2062" spans="1:10" s="6" customFormat="1">
      <c r="A2062" s="17"/>
      <c r="C2062" s="9"/>
      <c r="D2062" s="10"/>
      <c r="E2062" s="10"/>
      <c r="F2062" s="9"/>
      <c r="G2062" s="1"/>
      <c r="H2062" s="1"/>
      <c r="I2062" s="1"/>
      <c r="J2062" s="1"/>
    </row>
    <row r="2063" spans="1:10" s="6" customFormat="1">
      <c r="A2063" s="17"/>
      <c r="C2063" s="9"/>
      <c r="D2063" s="10"/>
      <c r="E2063" s="10"/>
      <c r="F2063" s="9"/>
      <c r="G2063" s="1"/>
      <c r="H2063" s="1"/>
      <c r="I2063" s="1"/>
      <c r="J2063" s="1"/>
    </row>
    <row r="2064" spans="1:10" s="6" customFormat="1">
      <c r="A2064" s="17"/>
      <c r="C2064" s="9"/>
      <c r="D2064" s="10"/>
      <c r="E2064" s="10"/>
      <c r="F2064" s="9"/>
      <c r="G2064" s="1"/>
      <c r="H2064" s="1"/>
      <c r="I2064" s="1"/>
      <c r="J2064" s="1"/>
    </row>
    <row r="2065" spans="1:10" s="6" customFormat="1">
      <c r="A2065" s="17"/>
      <c r="C2065" s="9"/>
      <c r="D2065" s="10"/>
      <c r="E2065" s="10"/>
      <c r="F2065" s="9"/>
      <c r="G2065" s="1"/>
      <c r="H2065" s="1"/>
      <c r="I2065" s="1"/>
      <c r="J2065" s="1"/>
    </row>
    <row r="2066" spans="1:10" s="6" customFormat="1">
      <c r="A2066" s="17"/>
      <c r="C2066" s="9"/>
      <c r="D2066" s="10"/>
      <c r="E2066" s="10"/>
      <c r="F2066" s="9"/>
      <c r="G2066" s="1"/>
      <c r="H2066" s="1"/>
      <c r="I2066" s="1"/>
      <c r="J2066" s="1"/>
    </row>
    <row r="2067" spans="1:10" s="6" customFormat="1">
      <c r="A2067" s="17"/>
      <c r="C2067" s="9"/>
      <c r="D2067" s="10"/>
      <c r="E2067" s="10"/>
      <c r="F2067" s="9"/>
      <c r="G2067" s="1"/>
      <c r="H2067" s="1"/>
      <c r="I2067" s="1"/>
      <c r="J2067" s="1"/>
    </row>
    <row r="2068" spans="1:10" s="6" customFormat="1">
      <c r="A2068" s="17"/>
      <c r="C2068" s="9"/>
      <c r="D2068" s="10"/>
      <c r="E2068" s="10"/>
      <c r="F2068" s="9"/>
      <c r="G2068" s="1"/>
      <c r="H2068" s="1"/>
      <c r="I2068" s="1"/>
      <c r="J2068" s="1"/>
    </row>
    <row r="2069" spans="1:10" s="6" customFormat="1">
      <c r="A2069" s="17"/>
      <c r="C2069" s="9"/>
      <c r="D2069" s="10"/>
      <c r="E2069" s="10"/>
      <c r="F2069" s="9"/>
      <c r="G2069" s="1"/>
      <c r="H2069" s="1"/>
      <c r="I2069" s="1"/>
      <c r="J2069" s="1"/>
    </row>
    <row r="2070" spans="1:10" s="6" customFormat="1">
      <c r="A2070" s="17"/>
      <c r="C2070" s="9"/>
      <c r="D2070" s="10"/>
      <c r="E2070" s="10"/>
      <c r="F2070" s="9"/>
      <c r="G2070" s="1"/>
      <c r="H2070" s="1"/>
      <c r="I2070" s="1"/>
      <c r="J2070" s="1"/>
    </row>
    <row r="2071" spans="1:10" s="6" customFormat="1">
      <c r="A2071" s="17"/>
      <c r="C2071" s="9"/>
      <c r="D2071" s="10"/>
      <c r="E2071" s="10"/>
      <c r="F2071" s="9"/>
      <c r="G2071" s="1"/>
      <c r="H2071" s="1"/>
      <c r="I2071" s="1"/>
      <c r="J2071" s="1"/>
    </row>
    <row r="2072" spans="1:10" s="6" customFormat="1">
      <c r="A2072" s="17"/>
      <c r="C2072" s="9"/>
      <c r="D2072" s="10"/>
      <c r="E2072" s="10"/>
      <c r="F2072" s="9"/>
      <c r="G2072" s="1"/>
      <c r="H2072" s="1"/>
      <c r="I2072" s="1"/>
      <c r="J2072" s="1"/>
    </row>
    <row r="2073" spans="1:10" s="6" customFormat="1">
      <c r="A2073" s="17"/>
      <c r="C2073" s="9"/>
      <c r="D2073" s="10"/>
      <c r="E2073" s="10"/>
      <c r="F2073" s="9"/>
      <c r="G2073" s="1"/>
      <c r="H2073" s="1"/>
      <c r="I2073" s="1"/>
      <c r="J2073" s="1"/>
    </row>
    <row r="2074" spans="1:10" s="6" customFormat="1">
      <c r="A2074" s="17"/>
      <c r="C2074" s="9"/>
      <c r="D2074" s="10"/>
      <c r="E2074" s="10"/>
      <c r="F2074" s="9"/>
      <c r="G2074" s="1"/>
      <c r="H2074" s="1"/>
      <c r="I2074" s="1"/>
      <c r="J2074" s="1"/>
    </row>
    <row r="2075" spans="1:10" s="6" customFormat="1">
      <c r="A2075" s="17"/>
      <c r="C2075" s="9"/>
      <c r="D2075" s="10"/>
      <c r="E2075" s="10"/>
      <c r="F2075" s="9"/>
      <c r="G2075" s="1"/>
      <c r="H2075" s="1"/>
      <c r="I2075" s="1"/>
      <c r="J2075" s="1"/>
    </row>
    <row r="2076" spans="1:10" s="6" customFormat="1">
      <c r="A2076" s="17"/>
      <c r="C2076" s="9"/>
      <c r="D2076" s="10"/>
      <c r="E2076" s="10"/>
      <c r="F2076" s="9"/>
      <c r="G2076" s="1"/>
      <c r="H2076" s="1"/>
      <c r="I2076" s="1"/>
      <c r="J2076" s="1"/>
    </row>
    <row r="2077" spans="1:10" s="6" customFormat="1">
      <c r="A2077" s="17"/>
      <c r="C2077" s="9"/>
      <c r="D2077" s="10"/>
      <c r="E2077" s="10"/>
      <c r="F2077" s="9"/>
      <c r="G2077" s="1"/>
      <c r="H2077" s="1"/>
      <c r="I2077" s="1"/>
      <c r="J2077" s="1"/>
    </row>
    <row r="2078" spans="1:10" s="6" customFormat="1">
      <c r="A2078" s="17"/>
      <c r="C2078" s="9"/>
      <c r="D2078" s="10"/>
      <c r="E2078" s="10"/>
      <c r="F2078" s="9"/>
      <c r="G2078" s="1"/>
      <c r="H2078" s="1"/>
      <c r="I2078" s="1"/>
      <c r="J2078" s="1"/>
    </row>
    <row r="2079" spans="1:10" s="6" customFormat="1">
      <c r="A2079" s="17"/>
      <c r="C2079" s="9"/>
      <c r="D2079" s="10"/>
      <c r="E2079" s="10"/>
      <c r="F2079" s="9"/>
      <c r="G2079" s="1"/>
      <c r="H2079" s="1"/>
      <c r="I2079" s="1"/>
      <c r="J2079" s="1"/>
    </row>
    <row r="2080" spans="1:10" s="6" customFormat="1">
      <c r="A2080" s="17"/>
      <c r="C2080" s="9"/>
      <c r="D2080" s="10"/>
      <c r="E2080" s="10"/>
      <c r="F2080" s="9"/>
      <c r="G2080" s="1"/>
      <c r="H2080" s="1"/>
      <c r="I2080" s="1"/>
      <c r="J2080" s="1"/>
    </row>
    <row r="2081" spans="1:10" s="6" customFormat="1">
      <c r="A2081" s="17"/>
      <c r="C2081" s="9"/>
      <c r="D2081" s="10"/>
      <c r="E2081" s="10"/>
      <c r="F2081" s="9"/>
      <c r="G2081" s="1"/>
      <c r="H2081" s="1"/>
      <c r="I2081" s="1"/>
      <c r="J2081" s="1"/>
    </row>
    <row r="2082" spans="1:10" s="6" customFormat="1">
      <c r="A2082" s="17"/>
      <c r="C2082" s="9"/>
      <c r="D2082" s="10"/>
      <c r="E2082" s="10"/>
      <c r="F2082" s="9"/>
      <c r="G2082" s="1"/>
      <c r="H2082" s="1"/>
      <c r="I2082" s="1"/>
      <c r="J2082" s="1"/>
    </row>
    <row r="2083" spans="1:10" s="6" customFormat="1">
      <c r="A2083" s="17"/>
      <c r="C2083" s="9"/>
      <c r="D2083" s="10"/>
      <c r="E2083" s="10"/>
      <c r="F2083" s="9"/>
      <c r="G2083" s="1"/>
      <c r="H2083" s="1"/>
      <c r="I2083" s="1"/>
      <c r="J2083" s="1"/>
    </row>
    <row r="2084" spans="1:10" s="6" customFormat="1">
      <c r="A2084" s="17"/>
      <c r="C2084" s="9"/>
      <c r="D2084" s="10"/>
      <c r="E2084" s="10"/>
      <c r="F2084" s="9"/>
      <c r="G2084" s="1"/>
      <c r="H2084" s="1"/>
      <c r="I2084" s="1"/>
      <c r="J2084" s="1"/>
    </row>
    <row r="2085" spans="1:10" s="6" customFormat="1">
      <c r="A2085" s="17"/>
      <c r="C2085" s="9"/>
      <c r="D2085" s="10"/>
      <c r="E2085" s="10"/>
      <c r="F2085" s="9"/>
      <c r="G2085" s="1"/>
      <c r="H2085" s="1"/>
      <c r="I2085" s="1"/>
      <c r="J2085" s="1"/>
    </row>
    <row r="2086" spans="1:10" s="6" customFormat="1">
      <c r="A2086" s="17"/>
      <c r="C2086" s="9"/>
      <c r="D2086" s="10"/>
      <c r="E2086" s="10"/>
      <c r="F2086" s="9"/>
      <c r="G2086" s="1"/>
      <c r="H2086" s="1"/>
      <c r="I2086" s="1"/>
      <c r="J2086" s="1"/>
    </row>
    <row r="2087" spans="1:10" s="6" customFormat="1">
      <c r="A2087" s="17"/>
      <c r="C2087" s="9"/>
      <c r="D2087" s="10"/>
      <c r="E2087" s="10"/>
      <c r="F2087" s="9"/>
      <c r="G2087" s="1"/>
      <c r="H2087" s="1"/>
      <c r="I2087" s="1"/>
      <c r="J2087" s="1"/>
    </row>
    <row r="2088" spans="1:10" s="6" customFormat="1">
      <c r="A2088" s="17"/>
      <c r="C2088" s="9"/>
      <c r="D2088" s="10"/>
      <c r="E2088" s="10"/>
      <c r="F2088" s="9"/>
      <c r="G2088" s="1"/>
      <c r="H2088" s="1"/>
      <c r="I2088" s="1"/>
      <c r="J2088" s="1"/>
    </row>
    <row r="2089" spans="1:10" s="6" customFormat="1">
      <c r="A2089" s="17"/>
      <c r="C2089" s="9"/>
      <c r="D2089" s="10"/>
      <c r="E2089" s="10"/>
      <c r="F2089" s="9"/>
      <c r="G2089" s="1"/>
      <c r="H2089" s="1"/>
      <c r="I2089" s="1"/>
      <c r="J2089" s="1"/>
    </row>
    <row r="2090" spans="1:10" s="6" customFormat="1">
      <c r="A2090" s="17"/>
      <c r="C2090" s="9"/>
      <c r="D2090" s="10"/>
      <c r="E2090" s="10"/>
      <c r="F2090" s="9"/>
      <c r="G2090" s="1"/>
      <c r="H2090" s="1"/>
      <c r="I2090" s="1"/>
      <c r="J2090" s="1"/>
    </row>
    <row r="2091" spans="1:10" s="6" customFormat="1">
      <c r="A2091" s="17"/>
      <c r="C2091" s="9"/>
      <c r="D2091" s="10"/>
      <c r="E2091" s="10"/>
      <c r="F2091" s="9"/>
      <c r="G2091" s="1"/>
      <c r="H2091" s="1"/>
      <c r="I2091" s="1"/>
      <c r="J2091" s="1"/>
    </row>
    <row r="2092" spans="1:10" s="6" customFormat="1">
      <c r="A2092" s="17"/>
      <c r="C2092" s="9"/>
      <c r="D2092" s="10"/>
      <c r="E2092" s="10"/>
      <c r="F2092" s="9"/>
      <c r="G2092" s="1"/>
      <c r="H2092" s="1"/>
      <c r="I2092" s="1"/>
      <c r="J2092" s="1"/>
    </row>
    <row r="2093" spans="1:10" s="6" customFormat="1">
      <c r="A2093" s="17"/>
      <c r="C2093" s="9"/>
      <c r="D2093" s="10"/>
      <c r="E2093" s="10"/>
      <c r="F2093" s="9"/>
      <c r="G2093" s="1"/>
      <c r="H2093" s="1"/>
      <c r="I2093" s="1"/>
      <c r="J2093" s="1"/>
    </row>
    <row r="2094" spans="1:10" s="6" customFormat="1">
      <c r="A2094" s="17"/>
      <c r="C2094" s="9"/>
      <c r="D2094" s="10"/>
      <c r="E2094" s="10"/>
      <c r="F2094" s="9"/>
      <c r="G2094" s="1"/>
      <c r="H2094" s="1"/>
      <c r="I2094" s="1"/>
      <c r="J2094" s="1"/>
    </row>
    <row r="2095" spans="1:10" s="6" customFormat="1">
      <c r="A2095" s="17"/>
      <c r="C2095" s="9"/>
      <c r="D2095" s="10"/>
      <c r="E2095" s="10"/>
      <c r="F2095" s="9"/>
      <c r="G2095" s="1"/>
      <c r="H2095" s="1"/>
      <c r="I2095" s="1"/>
      <c r="J2095" s="1"/>
    </row>
    <row r="2096" spans="1:10" s="6" customFormat="1">
      <c r="A2096" s="17"/>
      <c r="C2096" s="9"/>
      <c r="D2096" s="10"/>
      <c r="E2096" s="10"/>
      <c r="F2096" s="9"/>
      <c r="G2096" s="1"/>
      <c r="H2096" s="1"/>
      <c r="I2096" s="1"/>
      <c r="J2096" s="1"/>
    </row>
    <row r="2097" spans="1:10" s="6" customFormat="1">
      <c r="A2097" s="17"/>
      <c r="C2097" s="9"/>
      <c r="D2097" s="10"/>
      <c r="E2097" s="10"/>
      <c r="F2097" s="9"/>
      <c r="G2097" s="1"/>
      <c r="H2097" s="1"/>
      <c r="I2097" s="1"/>
      <c r="J2097" s="1"/>
    </row>
    <row r="2098" spans="1:10" s="6" customFormat="1">
      <c r="A2098" s="17"/>
      <c r="C2098" s="9"/>
      <c r="D2098" s="10"/>
      <c r="E2098" s="10"/>
      <c r="F2098" s="9"/>
      <c r="G2098" s="1"/>
      <c r="H2098" s="1"/>
      <c r="I2098" s="1"/>
      <c r="J2098" s="1"/>
    </row>
    <row r="2099" spans="1:10" s="6" customFormat="1">
      <c r="A2099" s="17"/>
      <c r="C2099" s="9"/>
      <c r="D2099" s="10"/>
      <c r="E2099" s="10"/>
      <c r="F2099" s="9"/>
      <c r="G2099" s="1"/>
      <c r="H2099" s="1"/>
      <c r="I2099" s="1"/>
      <c r="J2099" s="1"/>
    </row>
    <row r="2100" spans="1:10" s="6" customFormat="1">
      <c r="A2100" s="17"/>
      <c r="C2100" s="9"/>
      <c r="D2100" s="10"/>
      <c r="E2100" s="10"/>
      <c r="F2100" s="9"/>
      <c r="G2100" s="1"/>
      <c r="H2100" s="1"/>
      <c r="I2100" s="1"/>
      <c r="J2100" s="1"/>
    </row>
    <row r="2101" spans="1:10" s="6" customFormat="1">
      <c r="A2101" s="17"/>
      <c r="C2101" s="9"/>
      <c r="D2101" s="10"/>
      <c r="E2101" s="10"/>
      <c r="F2101" s="9"/>
      <c r="G2101" s="1"/>
      <c r="H2101" s="1"/>
      <c r="I2101" s="1"/>
      <c r="J2101" s="1"/>
    </row>
    <row r="2102" spans="1:10" s="6" customFormat="1">
      <c r="A2102" s="17"/>
      <c r="C2102" s="9"/>
      <c r="D2102" s="10"/>
      <c r="E2102" s="10"/>
      <c r="F2102" s="9"/>
      <c r="G2102" s="1"/>
      <c r="H2102" s="1"/>
      <c r="I2102" s="1"/>
      <c r="J2102" s="1"/>
    </row>
    <row r="2103" spans="1:10" s="6" customFormat="1">
      <c r="A2103" s="17"/>
      <c r="C2103" s="9"/>
      <c r="D2103" s="10"/>
      <c r="E2103" s="10"/>
      <c r="F2103" s="9"/>
      <c r="G2103" s="1"/>
      <c r="H2103" s="1"/>
      <c r="I2103" s="1"/>
      <c r="J2103" s="1"/>
    </row>
    <row r="2104" spans="1:10" s="6" customFormat="1">
      <c r="A2104" s="17"/>
      <c r="C2104" s="9"/>
      <c r="D2104" s="10"/>
      <c r="E2104" s="10"/>
      <c r="F2104" s="9"/>
      <c r="G2104" s="1"/>
      <c r="H2104" s="1"/>
      <c r="I2104" s="1"/>
      <c r="J2104" s="1"/>
    </row>
    <row r="2105" spans="1:10" s="6" customFormat="1">
      <c r="A2105" s="17"/>
      <c r="C2105" s="9"/>
      <c r="D2105" s="10"/>
      <c r="E2105" s="10"/>
      <c r="F2105" s="9"/>
      <c r="G2105" s="1"/>
      <c r="H2105" s="1"/>
      <c r="I2105" s="1"/>
      <c r="J2105" s="1"/>
    </row>
    <row r="2106" spans="1:10" s="6" customFormat="1">
      <c r="A2106" s="17"/>
      <c r="C2106" s="9"/>
      <c r="D2106" s="10"/>
      <c r="E2106" s="10"/>
      <c r="F2106" s="9"/>
      <c r="G2106" s="1"/>
      <c r="H2106" s="1"/>
      <c r="I2106" s="1"/>
      <c r="J2106" s="1"/>
    </row>
    <row r="2107" spans="1:10" s="6" customFormat="1">
      <c r="A2107" s="17"/>
      <c r="C2107" s="9"/>
      <c r="D2107" s="10"/>
      <c r="E2107" s="10"/>
      <c r="F2107" s="9"/>
      <c r="G2107" s="1"/>
      <c r="H2107" s="1"/>
      <c r="I2107" s="1"/>
      <c r="J2107" s="1"/>
    </row>
    <row r="2108" spans="1:10" s="6" customFormat="1">
      <c r="A2108" s="17"/>
      <c r="C2108" s="9"/>
      <c r="D2108" s="10"/>
      <c r="E2108" s="10"/>
      <c r="F2108" s="9"/>
      <c r="G2108" s="1"/>
      <c r="H2108" s="1"/>
      <c r="I2108" s="1"/>
      <c r="J2108" s="1"/>
    </row>
    <row r="2109" spans="1:10" s="6" customFormat="1">
      <c r="A2109" s="17"/>
      <c r="C2109" s="9"/>
      <c r="D2109" s="10"/>
      <c r="E2109" s="10"/>
      <c r="F2109" s="9"/>
      <c r="G2109" s="1"/>
      <c r="H2109" s="1"/>
      <c r="I2109" s="1"/>
      <c r="J2109" s="1"/>
    </row>
    <row r="2110" spans="1:10" s="6" customFormat="1">
      <c r="A2110" s="17"/>
      <c r="C2110" s="9"/>
      <c r="D2110" s="10"/>
      <c r="E2110" s="10"/>
      <c r="F2110" s="9"/>
      <c r="G2110" s="1"/>
      <c r="H2110" s="1"/>
      <c r="I2110" s="1"/>
      <c r="J2110" s="1"/>
    </row>
    <row r="2111" spans="1:10" s="6" customFormat="1">
      <c r="A2111" s="17"/>
      <c r="C2111" s="9"/>
      <c r="D2111" s="10"/>
      <c r="E2111" s="10"/>
      <c r="F2111" s="9"/>
      <c r="G2111" s="1"/>
      <c r="H2111" s="1"/>
      <c r="I2111" s="1"/>
      <c r="J2111" s="1"/>
    </row>
    <row r="2112" spans="1:10" s="6" customFormat="1">
      <c r="A2112" s="17"/>
      <c r="C2112" s="9"/>
      <c r="D2112" s="10"/>
      <c r="E2112" s="10"/>
      <c r="F2112" s="9"/>
      <c r="G2112" s="1"/>
      <c r="H2112" s="1"/>
      <c r="I2112" s="1"/>
      <c r="J2112" s="1"/>
    </row>
    <row r="2113" spans="1:10" s="6" customFormat="1">
      <c r="A2113" s="17"/>
      <c r="C2113" s="9"/>
      <c r="D2113" s="10"/>
      <c r="E2113" s="10"/>
      <c r="F2113" s="9"/>
      <c r="G2113" s="1"/>
      <c r="H2113" s="1"/>
      <c r="I2113" s="1"/>
      <c r="J2113" s="1"/>
    </row>
    <row r="2114" spans="1:10" s="6" customFormat="1">
      <c r="A2114" s="17"/>
      <c r="C2114" s="9"/>
      <c r="D2114" s="10"/>
      <c r="E2114" s="10"/>
      <c r="F2114" s="9"/>
      <c r="G2114" s="1"/>
      <c r="H2114" s="1"/>
      <c r="I2114" s="1"/>
      <c r="J2114" s="1"/>
    </row>
    <row r="2115" spans="1:10" s="6" customFormat="1">
      <c r="A2115" s="17"/>
      <c r="C2115" s="9"/>
      <c r="D2115" s="10"/>
      <c r="E2115" s="10"/>
      <c r="F2115" s="9"/>
      <c r="G2115" s="1"/>
      <c r="H2115" s="1"/>
      <c r="I2115" s="1"/>
      <c r="J2115" s="1"/>
    </row>
    <row r="2116" spans="1:10" s="6" customFormat="1">
      <c r="A2116" s="17"/>
      <c r="C2116" s="9"/>
      <c r="D2116" s="10"/>
      <c r="E2116" s="10"/>
      <c r="F2116" s="9"/>
      <c r="G2116" s="1"/>
      <c r="H2116" s="1"/>
      <c r="I2116" s="1"/>
      <c r="J2116" s="1"/>
    </row>
    <row r="2117" spans="1:10" s="6" customFormat="1">
      <c r="A2117" s="17"/>
      <c r="C2117" s="9"/>
      <c r="D2117" s="10"/>
      <c r="E2117" s="10"/>
      <c r="F2117" s="9"/>
      <c r="G2117" s="1"/>
      <c r="H2117" s="1"/>
      <c r="I2117" s="1"/>
      <c r="J2117" s="1"/>
    </row>
    <row r="2118" spans="1:10" s="6" customFormat="1">
      <c r="A2118" s="17"/>
      <c r="C2118" s="9"/>
      <c r="D2118" s="10"/>
      <c r="E2118" s="10"/>
      <c r="F2118" s="9"/>
      <c r="G2118" s="1"/>
      <c r="H2118" s="1"/>
      <c r="I2118" s="1"/>
      <c r="J2118" s="1"/>
    </row>
    <row r="2119" spans="1:10" s="6" customFormat="1">
      <c r="A2119" s="17"/>
      <c r="C2119" s="9"/>
      <c r="D2119" s="10"/>
      <c r="E2119" s="10"/>
      <c r="F2119" s="9"/>
      <c r="G2119" s="1"/>
      <c r="H2119" s="1"/>
      <c r="I2119" s="1"/>
      <c r="J2119" s="1"/>
    </row>
    <row r="2120" spans="1:10" s="6" customFormat="1">
      <c r="A2120" s="17"/>
      <c r="C2120" s="9"/>
      <c r="D2120" s="10"/>
      <c r="E2120" s="10"/>
      <c r="F2120" s="9"/>
      <c r="G2120" s="1"/>
      <c r="H2120" s="1"/>
      <c r="I2120" s="1"/>
      <c r="J2120" s="1"/>
    </row>
    <row r="2121" spans="1:10" s="6" customFormat="1">
      <c r="A2121" s="17"/>
      <c r="C2121" s="9"/>
      <c r="D2121" s="10"/>
      <c r="E2121" s="10"/>
      <c r="F2121" s="9"/>
      <c r="G2121" s="1"/>
      <c r="H2121" s="1"/>
      <c r="I2121" s="1"/>
      <c r="J2121" s="1"/>
    </row>
    <row r="2122" spans="1:10" s="6" customFormat="1">
      <c r="A2122" s="17"/>
      <c r="C2122" s="9"/>
      <c r="D2122" s="10"/>
      <c r="E2122" s="10"/>
      <c r="F2122" s="9"/>
      <c r="G2122" s="1"/>
      <c r="H2122" s="1"/>
      <c r="I2122" s="1"/>
      <c r="J2122" s="1"/>
    </row>
    <row r="2123" spans="1:10" s="6" customFormat="1">
      <c r="A2123" s="17"/>
      <c r="C2123" s="9"/>
      <c r="D2123" s="10"/>
      <c r="E2123" s="10"/>
      <c r="F2123" s="9"/>
      <c r="G2123" s="1"/>
      <c r="H2123" s="1"/>
      <c r="I2123" s="1"/>
      <c r="J2123" s="1"/>
    </row>
    <row r="2124" spans="1:10" s="6" customFormat="1">
      <c r="A2124" s="17"/>
      <c r="C2124" s="9"/>
      <c r="D2124" s="10"/>
      <c r="E2124" s="10"/>
      <c r="F2124" s="9"/>
      <c r="G2124" s="1"/>
      <c r="H2124" s="1"/>
      <c r="I2124" s="1"/>
      <c r="J2124" s="1"/>
    </row>
    <row r="2125" spans="1:10" s="6" customFormat="1">
      <c r="A2125" s="17"/>
      <c r="C2125" s="9"/>
      <c r="D2125" s="10"/>
      <c r="E2125" s="10"/>
      <c r="F2125" s="9"/>
      <c r="G2125" s="1"/>
      <c r="H2125" s="1"/>
      <c r="I2125" s="1"/>
      <c r="J2125" s="1"/>
    </row>
    <row r="2126" spans="1:10" s="6" customFormat="1">
      <c r="A2126" s="17"/>
      <c r="C2126" s="9"/>
      <c r="D2126" s="10"/>
      <c r="E2126" s="10"/>
      <c r="F2126" s="9"/>
      <c r="G2126" s="1"/>
      <c r="H2126" s="1"/>
      <c r="I2126" s="1"/>
      <c r="J2126" s="1"/>
    </row>
    <row r="2127" spans="1:10" s="6" customFormat="1">
      <c r="A2127" s="17"/>
      <c r="C2127" s="9"/>
      <c r="D2127" s="10"/>
      <c r="E2127" s="10"/>
      <c r="F2127" s="9"/>
      <c r="G2127" s="1"/>
      <c r="H2127" s="1"/>
      <c r="I2127" s="1"/>
      <c r="J2127" s="1"/>
    </row>
    <row r="2128" spans="1:10" s="6" customFormat="1">
      <c r="A2128" s="17"/>
      <c r="C2128" s="9"/>
      <c r="D2128" s="10"/>
      <c r="E2128" s="10"/>
      <c r="F2128" s="9"/>
      <c r="G2128" s="1"/>
      <c r="H2128" s="1"/>
      <c r="I2128" s="1"/>
      <c r="J2128" s="1"/>
    </row>
    <row r="2129" spans="1:10" s="6" customFormat="1">
      <c r="A2129" s="17"/>
      <c r="C2129" s="9"/>
      <c r="D2129" s="10"/>
      <c r="E2129" s="10"/>
      <c r="F2129" s="9"/>
      <c r="G2129" s="1"/>
      <c r="H2129" s="1"/>
      <c r="I2129" s="1"/>
      <c r="J2129" s="1"/>
    </row>
    <row r="2130" spans="1:10" s="6" customFormat="1">
      <c r="A2130" s="17"/>
      <c r="C2130" s="9"/>
      <c r="D2130" s="10"/>
      <c r="E2130" s="10"/>
      <c r="F2130" s="9"/>
      <c r="G2130" s="1"/>
      <c r="H2130" s="1"/>
      <c r="I2130" s="1"/>
      <c r="J2130" s="1"/>
    </row>
    <row r="2131" spans="1:10" s="6" customFormat="1">
      <c r="A2131" s="17"/>
      <c r="C2131" s="9"/>
      <c r="D2131" s="10"/>
      <c r="E2131" s="10"/>
      <c r="F2131" s="9"/>
      <c r="G2131" s="1"/>
      <c r="H2131" s="1"/>
      <c r="I2131" s="1"/>
      <c r="J2131" s="1"/>
    </row>
    <row r="2132" spans="1:10" s="6" customFormat="1">
      <c r="A2132" s="17"/>
      <c r="C2132" s="9"/>
      <c r="D2132" s="10"/>
      <c r="E2132" s="10"/>
      <c r="F2132" s="9"/>
      <c r="G2132" s="1"/>
      <c r="H2132" s="1"/>
      <c r="I2132" s="1"/>
      <c r="J2132" s="1"/>
    </row>
    <row r="2133" spans="1:10" s="6" customFormat="1">
      <c r="A2133" s="17"/>
      <c r="C2133" s="9"/>
      <c r="D2133" s="10"/>
      <c r="E2133" s="10"/>
      <c r="F2133" s="9"/>
      <c r="G2133" s="1"/>
      <c r="H2133" s="1"/>
      <c r="I2133" s="1"/>
      <c r="J2133" s="1"/>
    </row>
    <row r="2134" spans="1:10" s="6" customFormat="1">
      <c r="A2134" s="17"/>
      <c r="C2134" s="9"/>
      <c r="D2134" s="10"/>
      <c r="E2134" s="10"/>
      <c r="F2134" s="9"/>
      <c r="G2134" s="1"/>
      <c r="H2134" s="1"/>
      <c r="I2134" s="1"/>
      <c r="J2134" s="1"/>
    </row>
    <row r="2135" spans="1:10" s="6" customFormat="1">
      <c r="A2135" s="17"/>
      <c r="C2135" s="9"/>
      <c r="D2135" s="10"/>
      <c r="E2135" s="10"/>
      <c r="F2135" s="9"/>
      <c r="G2135" s="1"/>
      <c r="H2135" s="1"/>
      <c r="I2135" s="1"/>
      <c r="J2135" s="1"/>
    </row>
    <row r="2136" spans="1:10" s="6" customFormat="1">
      <c r="A2136" s="17"/>
      <c r="C2136" s="9"/>
      <c r="D2136" s="10"/>
      <c r="E2136" s="10"/>
      <c r="F2136" s="9"/>
      <c r="G2136" s="1"/>
      <c r="H2136" s="1"/>
      <c r="I2136" s="1"/>
      <c r="J2136" s="1"/>
    </row>
    <row r="2137" spans="1:10" s="6" customFormat="1">
      <c r="A2137" s="17"/>
      <c r="C2137" s="9"/>
      <c r="D2137" s="10"/>
      <c r="E2137" s="10"/>
      <c r="F2137" s="9"/>
      <c r="G2137" s="1"/>
      <c r="H2137" s="1"/>
      <c r="I2137" s="1"/>
      <c r="J2137" s="1"/>
    </row>
    <row r="2138" spans="1:10" s="6" customFormat="1">
      <c r="A2138" s="17"/>
      <c r="C2138" s="9"/>
      <c r="D2138" s="10"/>
      <c r="E2138" s="10"/>
      <c r="F2138" s="9"/>
      <c r="G2138" s="1"/>
      <c r="H2138" s="1"/>
      <c r="I2138" s="1"/>
      <c r="J2138" s="1"/>
    </row>
    <row r="2139" spans="1:10" s="6" customFormat="1">
      <c r="A2139" s="17"/>
      <c r="C2139" s="9"/>
      <c r="D2139" s="10"/>
      <c r="E2139" s="10"/>
      <c r="F2139" s="9"/>
      <c r="G2139" s="1"/>
      <c r="H2139" s="1"/>
      <c r="I2139" s="1"/>
      <c r="J2139" s="1"/>
    </row>
    <row r="2140" spans="1:10" s="6" customFormat="1">
      <c r="A2140" s="17"/>
      <c r="C2140" s="9"/>
      <c r="D2140" s="10"/>
      <c r="E2140" s="10"/>
      <c r="F2140" s="9"/>
      <c r="G2140" s="1"/>
      <c r="H2140" s="1"/>
      <c r="I2140" s="1"/>
      <c r="J2140" s="1"/>
    </row>
    <row r="2141" spans="1:10" s="6" customFormat="1">
      <c r="A2141" s="17"/>
      <c r="C2141" s="9"/>
      <c r="D2141" s="10"/>
      <c r="E2141" s="10"/>
      <c r="F2141" s="9"/>
      <c r="G2141" s="1"/>
      <c r="H2141" s="1"/>
      <c r="I2141" s="1"/>
      <c r="J2141" s="1"/>
    </row>
    <row r="2142" spans="1:10" s="6" customFormat="1">
      <c r="A2142" s="17"/>
      <c r="C2142" s="9"/>
      <c r="D2142" s="10"/>
      <c r="E2142" s="10"/>
      <c r="F2142" s="9"/>
      <c r="G2142" s="1"/>
      <c r="H2142" s="1"/>
      <c r="I2142" s="1"/>
      <c r="J2142" s="1"/>
    </row>
    <row r="2143" spans="1:10" s="6" customFormat="1">
      <c r="A2143" s="17"/>
      <c r="C2143" s="9"/>
      <c r="D2143" s="10"/>
      <c r="E2143" s="10"/>
      <c r="F2143" s="9"/>
      <c r="G2143" s="1"/>
      <c r="H2143" s="1"/>
      <c r="I2143" s="1"/>
      <c r="J2143" s="1"/>
    </row>
    <row r="2144" spans="1:10" s="6" customFormat="1">
      <c r="A2144" s="17"/>
      <c r="C2144" s="9"/>
      <c r="D2144" s="10"/>
      <c r="E2144" s="10"/>
      <c r="F2144" s="9"/>
      <c r="G2144" s="1"/>
      <c r="H2144" s="1"/>
      <c r="I2144" s="1"/>
      <c r="J2144" s="1"/>
    </row>
    <row r="2145" spans="1:10" s="6" customFormat="1">
      <c r="A2145" s="17"/>
      <c r="C2145" s="9"/>
      <c r="D2145" s="10"/>
      <c r="E2145" s="10"/>
      <c r="F2145" s="9"/>
      <c r="G2145" s="1"/>
      <c r="H2145" s="1"/>
      <c r="I2145" s="1"/>
      <c r="J2145" s="1"/>
    </row>
    <row r="2146" spans="1:10" s="6" customFormat="1">
      <c r="A2146" s="17"/>
      <c r="C2146" s="9"/>
      <c r="D2146" s="10"/>
      <c r="E2146" s="10"/>
      <c r="F2146" s="9"/>
      <c r="G2146" s="1"/>
      <c r="H2146" s="1"/>
      <c r="I2146" s="1"/>
      <c r="J2146" s="1"/>
    </row>
    <row r="2147" spans="1:10" s="6" customFormat="1">
      <c r="A2147" s="17"/>
      <c r="C2147" s="9"/>
      <c r="D2147" s="10"/>
      <c r="E2147" s="10"/>
      <c r="F2147" s="9"/>
      <c r="G2147" s="1"/>
      <c r="H2147" s="1"/>
      <c r="I2147" s="1"/>
      <c r="J2147" s="1"/>
    </row>
    <row r="2148" spans="1:10" s="6" customFormat="1">
      <c r="A2148" s="17"/>
      <c r="C2148" s="9"/>
      <c r="D2148" s="10"/>
      <c r="E2148" s="10"/>
      <c r="F2148" s="9"/>
      <c r="G2148" s="1"/>
      <c r="H2148" s="1"/>
      <c r="I2148" s="1"/>
      <c r="J2148" s="1"/>
    </row>
    <row r="2149" spans="1:10" s="6" customFormat="1">
      <c r="A2149" s="17"/>
      <c r="C2149" s="9"/>
      <c r="D2149" s="10"/>
      <c r="E2149" s="10"/>
      <c r="F2149" s="9"/>
      <c r="G2149" s="1"/>
      <c r="H2149" s="1"/>
      <c r="I2149" s="1"/>
      <c r="J2149" s="1"/>
    </row>
    <row r="2150" spans="1:10" s="6" customFormat="1">
      <c r="A2150" s="17"/>
      <c r="C2150" s="9"/>
      <c r="D2150" s="10"/>
      <c r="E2150" s="10"/>
      <c r="F2150" s="9"/>
      <c r="G2150" s="1"/>
      <c r="H2150" s="1"/>
      <c r="I2150" s="1"/>
      <c r="J2150" s="1"/>
    </row>
    <row r="2151" spans="1:10" s="6" customFormat="1">
      <c r="A2151" s="17"/>
      <c r="C2151" s="9"/>
      <c r="D2151" s="10"/>
      <c r="E2151" s="10"/>
      <c r="F2151" s="9"/>
      <c r="G2151" s="1"/>
      <c r="H2151" s="1"/>
      <c r="I2151" s="1"/>
      <c r="J2151" s="1"/>
    </row>
    <row r="2152" spans="1:10" s="6" customFormat="1">
      <c r="A2152" s="17"/>
      <c r="C2152" s="9"/>
      <c r="D2152" s="10"/>
      <c r="E2152" s="10"/>
      <c r="F2152" s="9"/>
      <c r="G2152" s="1"/>
      <c r="H2152" s="1"/>
      <c r="I2152" s="1"/>
      <c r="J2152" s="1"/>
    </row>
    <row r="2153" spans="1:10" s="6" customFormat="1">
      <c r="A2153" s="17"/>
      <c r="C2153" s="9"/>
      <c r="D2153" s="10"/>
      <c r="E2153" s="10"/>
      <c r="F2153" s="9"/>
      <c r="G2153" s="1"/>
      <c r="H2153" s="1"/>
      <c r="I2153" s="1"/>
      <c r="J2153" s="1"/>
    </row>
    <row r="2154" spans="1:10" s="6" customFormat="1">
      <c r="A2154" s="17"/>
      <c r="C2154" s="9"/>
      <c r="D2154" s="10"/>
      <c r="E2154" s="10"/>
      <c r="F2154" s="9"/>
      <c r="G2154" s="1"/>
      <c r="H2154" s="1"/>
      <c r="I2154" s="1"/>
      <c r="J2154" s="1"/>
    </row>
    <row r="2155" spans="1:10" s="6" customFormat="1">
      <c r="A2155" s="17"/>
      <c r="C2155" s="9"/>
      <c r="D2155" s="10"/>
      <c r="E2155" s="10"/>
      <c r="F2155" s="9"/>
      <c r="G2155" s="1"/>
      <c r="H2155" s="1"/>
      <c r="I2155" s="1"/>
      <c r="J2155" s="1"/>
    </row>
    <row r="2156" spans="1:10" s="6" customFormat="1">
      <c r="A2156" s="17"/>
      <c r="C2156" s="9"/>
      <c r="D2156" s="10"/>
      <c r="E2156" s="10"/>
      <c r="F2156" s="9"/>
      <c r="G2156" s="1"/>
      <c r="H2156" s="1"/>
      <c r="I2156" s="1"/>
      <c r="J2156" s="1"/>
    </row>
    <row r="2157" spans="1:10" s="6" customFormat="1">
      <c r="A2157" s="17"/>
      <c r="C2157" s="9"/>
      <c r="D2157" s="10"/>
      <c r="E2157" s="10"/>
      <c r="F2157" s="9"/>
      <c r="G2157" s="1"/>
      <c r="H2157" s="1"/>
      <c r="I2157" s="1"/>
      <c r="J2157" s="1"/>
    </row>
    <row r="2158" spans="1:10" s="6" customFormat="1">
      <c r="A2158" s="17"/>
      <c r="C2158" s="9"/>
      <c r="D2158" s="10"/>
      <c r="E2158" s="10"/>
      <c r="F2158" s="9"/>
      <c r="G2158" s="1"/>
      <c r="H2158" s="1"/>
      <c r="I2158" s="1"/>
      <c r="J2158" s="1"/>
    </row>
    <row r="2159" spans="1:10" s="6" customFormat="1">
      <c r="A2159" s="17"/>
      <c r="C2159" s="9"/>
      <c r="D2159" s="10"/>
      <c r="E2159" s="10"/>
      <c r="F2159" s="9"/>
      <c r="G2159" s="1"/>
      <c r="H2159" s="1"/>
      <c r="I2159" s="1"/>
      <c r="J2159" s="1"/>
    </row>
    <row r="2160" spans="1:10" s="6" customFormat="1">
      <c r="A2160" s="17"/>
      <c r="C2160" s="9"/>
      <c r="D2160" s="10"/>
      <c r="E2160" s="10"/>
      <c r="F2160" s="9"/>
      <c r="G2160" s="1"/>
      <c r="H2160" s="1"/>
      <c r="I2160" s="1"/>
      <c r="J2160" s="1"/>
    </row>
    <row r="2161" spans="1:10" s="6" customFormat="1">
      <c r="A2161" s="17"/>
      <c r="C2161" s="9"/>
      <c r="D2161" s="10"/>
      <c r="E2161" s="10"/>
      <c r="F2161" s="9"/>
      <c r="G2161" s="1"/>
      <c r="H2161" s="1"/>
      <c r="I2161" s="1"/>
      <c r="J2161" s="1"/>
    </row>
    <row r="2162" spans="1:10" s="6" customFormat="1">
      <c r="A2162" s="17"/>
      <c r="C2162" s="9"/>
      <c r="D2162" s="10"/>
      <c r="E2162" s="10"/>
      <c r="F2162" s="9"/>
      <c r="G2162" s="1"/>
      <c r="H2162" s="1"/>
      <c r="I2162" s="1"/>
      <c r="J2162" s="1"/>
    </row>
    <row r="2163" spans="1:10" s="6" customFormat="1">
      <c r="A2163" s="17"/>
      <c r="C2163" s="9"/>
      <c r="D2163" s="10"/>
      <c r="E2163" s="10"/>
      <c r="F2163" s="9"/>
      <c r="G2163" s="1"/>
      <c r="H2163" s="1"/>
      <c r="I2163" s="1"/>
      <c r="J2163" s="1"/>
    </row>
    <row r="2164" spans="1:10" s="6" customFormat="1">
      <c r="A2164" s="17"/>
      <c r="C2164" s="9"/>
      <c r="D2164" s="10"/>
      <c r="E2164" s="10"/>
      <c r="F2164" s="9"/>
      <c r="G2164" s="1"/>
      <c r="H2164" s="1"/>
      <c r="I2164" s="1"/>
      <c r="J2164" s="1"/>
    </row>
    <row r="2165" spans="1:10" s="6" customFormat="1">
      <c r="A2165" s="17"/>
      <c r="C2165" s="9"/>
      <c r="D2165" s="10"/>
      <c r="E2165" s="10"/>
      <c r="F2165" s="9"/>
      <c r="G2165" s="1"/>
      <c r="H2165" s="1"/>
      <c r="I2165" s="1"/>
      <c r="J2165" s="1"/>
    </row>
    <row r="2166" spans="1:10" s="6" customFormat="1">
      <c r="A2166" s="17"/>
      <c r="C2166" s="9"/>
      <c r="D2166" s="10"/>
      <c r="E2166" s="10"/>
      <c r="F2166" s="9"/>
      <c r="G2166" s="1"/>
      <c r="H2166" s="1"/>
      <c r="I2166" s="1"/>
      <c r="J2166" s="1"/>
    </row>
    <row r="2167" spans="1:10" s="6" customFormat="1">
      <c r="A2167" s="17"/>
      <c r="C2167" s="9"/>
      <c r="D2167" s="10"/>
      <c r="E2167" s="10"/>
      <c r="F2167" s="9"/>
      <c r="G2167" s="1"/>
      <c r="H2167" s="1"/>
      <c r="I2167" s="1"/>
      <c r="J2167" s="1"/>
    </row>
    <row r="2168" spans="1:10" s="6" customFormat="1">
      <c r="A2168" s="17"/>
      <c r="C2168" s="9"/>
      <c r="D2168" s="10"/>
      <c r="E2168" s="10"/>
      <c r="F2168" s="9"/>
      <c r="G2168" s="1"/>
      <c r="H2168" s="1"/>
      <c r="I2168" s="1"/>
      <c r="J2168" s="1"/>
    </row>
    <row r="2169" spans="1:10" s="6" customFormat="1">
      <c r="A2169" s="17"/>
      <c r="C2169" s="9"/>
      <c r="D2169" s="10"/>
      <c r="E2169" s="10"/>
      <c r="F2169" s="9"/>
      <c r="G2169" s="1"/>
      <c r="H2169" s="1"/>
      <c r="I2169" s="1"/>
      <c r="J2169" s="1"/>
    </row>
    <row r="2170" spans="1:10" s="6" customFormat="1">
      <c r="A2170" s="17"/>
      <c r="C2170" s="9"/>
      <c r="D2170" s="10"/>
      <c r="E2170" s="10"/>
      <c r="F2170" s="9"/>
      <c r="G2170" s="1"/>
      <c r="H2170" s="1"/>
      <c r="I2170" s="1"/>
      <c r="J2170" s="1"/>
    </row>
    <row r="2171" spans="1:10" s="6" customFormat="1">
      <c r="A2171" s="17"/>
      <c r="C2171" s="9"/>
      <c r="D2171" s="10"/>
      <c r="E2171" s="10"/>
      <c r="F2171" s="9"/>
      <c r="G2171" s="1"/>
      <c r="H2171" s="1"/>
      <c r="I2171" s="1"/>
      <c r="J2171" s="1"/>
    </row>
    <row r="2172" spans="1:10" s="6" customFormat="1">
      <c r="A2172" s="17"/>
      <c r="C2172" s="9"/>
      <c r="D2172" s="10"/>
      <c r="E2172" s="10"/>
      <c r="F2172" s="9"/>
      <c r="G2172" s="1"/>
      <c r="H2172" s="1"/>
      <c r="I2172" s="1"/>
      <c r="J2172" s="1"/>
    </row>
    <row r="2173" spans="1:10" s="6" customFormat="1">
      <c r="A2173" s="17"/>
      <c r="C2173" s="9"/>
      <c r="D2173" s="10"/>
      <c r="E2173" s="10"/>
      <c r="F2173" s="9"/>
      <c r="G2173" s="1"/>
      <c r="H2173" s="1"/>
      <c r="I2173" s="1"/>
      <c r="J2173" s="1"/>
    </row>
    <row r="2174" spans="1:10" s="6" customFormat="1">
      <c r="A2174" s="17"/>
      <c r="C2174" s="9"/>
      <c r="D2174" s="10"/>
      <c r="E2174" s="10"/>
      <c r="F2174" s="9"/>
      <c r="G2174" s="1"/>
      <c r="H2174" s="1"/>
      <c r="I2174" s="1"/>
      <c r="J2174" s="1"/>
    </row>
    <row r="2175" spans="1:10" s="6" customFormat="1">
      <c r="A2175" s="17"/>
      <c r="C2175" s="9"/>
      <c r="D2175" s="10"/>
      <c r="E2175" s="10"/>
      <c r="F2175" s="9"/>
      <c r="G2175" s="1"/>
      <c r="H2175" s="1"/>
      <c r="I2175" s="1"/>
      <c r="J2175" s="1"/>
    </row>
    <row r="2176" spans="1:10" s="6" customFormat="1">
      <c r="A2176" s="17"/>
      <c r="C2176" s="9"/>
      <c r="D2176" s="10"/>
      <c r="E2176" s="10"/>
      <c r="F2176" s="9"/>
      <c r="G2176" s="1"/>
      <c r="H2176" s="1"/>
      <c r="I2176" s="1"/>
      <c r="J2176" s="1"/>
    </row>
    <row r="2177" spans="1:10" s="6" customFormat="1">
      <c r="A2177" s="17"/>
      <c r="C2177" s="9"/>
      <c r="D2177" s="10"/>
      <c r="E2177" s="10"/>
      <c r="F2177" s="9"/>
      <c r="G2177" s="1"/>
      <c r="H2177" s="1"/>
      <c r="I2177" s="1"/>
      <c r="J2177" s="1"/>
    </row>
    <row r="2178" spans="1:10" s="6" customFormat="1">
      <c r="A2178" s="17"/>
      <c r="C2178" s="9"/>
      <c r="D2178" s="10"/>
      <c r="E2178" s="10"/>
      <c r="F2178" s="9"/>
      <c r="G2178" s="1"/>
      <c r="H2178" s="1"/>
      <c r="I2178" s="1"/>
      <c r="J2178" s="1"/>
    </row>
    <row r="2179" spans="1:10" s="6" customFormat="1">
      <c r="A2179" s="17"/>
      <c r="C2179" s="9"/>
      <c r="D2179" s="10"/>
      <c r="E2179" s="10"/>
      <c r="F2179" s="9"/>
      <c r="G2179" s="1"/>
      <c r="H2179" s="1"/>
      <c r="I2179" s="1"/>
      <c r="J2179" s="1"/>
    </row>
    <row r="2180" spans="1:10" s="6" customFormat="1">
      <c r="A2180" s="17"/>
      <c r="C2180" s="9"/>
      <c r="D2180" s="10"/>
      <c r="E2180" s="10"/>
      <c r="F2180" s="9"/>
      <c r="G2180" s="1"/>
      <c r="H2180" s="1"/>
      <c r="I2180" s="1"/>
      <c r="J2180" s="1"/>
    </row>
    <row r="2181" spans="1:10" s="6" customFormat="1">
      <c r="A2181" s="17"/>
      <c r="C2181" s="9"/>
      <c r="D2181" s="10"/>
      <c r="E2181" s="10"/>
      <c r="F2181" s="9"/>
      <c r="G2181" s="1"/>
      <c r="H2181" s="1"/>
      <c r="I2181" s="1"/>
      <c r="J2181" s="1"/>
    </row>
    <row r="2182" spans="1:10" s="6" customFormat="1">
      <c r="A2182" s="17"/>
      <c r="C2182" s="9"/>
      <c r="D2182" s="10"/>
      <c r="E2182" s="10"/>
      <c r="F2182" s="9"/>
      <c r="G2182" s="1"/>
      <c r="H2182" s="1"/>
      <c r="I2182" s="1"/>
      <c r="J2182" s="1"/>
    </row>
    <row r="2183" spans="1:10" s="6" customFormat="1">
      <c r="A2183" s="17"/>
      <c r="C2183" s="9"/>
      <c r="D2183" s="10"/>
      <c r="E2183" s="10"/>
      <c r="F2183" s="9"/>
      <c r="G2183" s="1"/>
      <c r="H2183" s="1"/>
      <c r="I2183" s="1"/>
      <c r="J2183" s="1"/>
    </row>
    <row r="2184" spans="1:10" s="6" customFormat="1">
      <c r="A2184" s="17"/>
      <c r="C2184" s="9"/>
      <c r="D2184" s="10"/>
      <c r="E2184" s="10"/>
      <c r="F2184" s="9"/>
      <c r="G2184" s="1"/>
      <c r="H2184" s="1"/>
      <c r="I2184" s="1"/>
      <c r="J2184" s="1"/>
    </row>
    <row r="2185" spans="1:10" s="6" customFormat="1">
      <c r="A2185" s="17"/>
      <c r="C2185" s="9"/>
      <c r="D2185" s="10"/>
      <c r="E2185" s="10"/>
      <c r="F2185" s="9"/>
      <c r="G2185" s="1"/>
      <c r="H2185" s="1"/>
      <c r="I2185" s="1"/>
      <c r="J2185" s="1"/>
    </row>
    <row r="2186" spans="1:10" s="6" customFormat="1">
      <c r="A2186" s="17"/>
      <c r="C2186" s="9"/>
      <c r="D2186" s="10"/>
      <c r="E2186" s="10"/>
      <c r="F2186" s="9"/>
      <c r="G2186" s="1"/>
      <c r="H2186" s="1"/>
      <c r="I2186" s="1"/>
      <c r="J2186" s="1"/>
    </row>
    <row r="2187" spans="1:10" s="6" customFormat="1">
      <c r="A2187" s="17"/>
      <c r="C2187" s="9"/>
      <c r="D2187" s="10"/>
      <c r="E2187" s="10"/>
      <c r="F2187" s="9"/>
      <c r="G2187" s="1"/>
      <c r="H2187" s="1"/>
      <c r="I2187" s="1"/>
      <c r="J2187" s="1"/>
    </row>
    <row r="2188" spans="1:10" s="6" customFormat="1">
      <c r="A2188" s="17"/>
      <c r="C2188" s="9"/>
      <c r="D2188" s="10"/>
      <c r="E2188" s="10"/>
      <c r="F2188" s="9"/>
      <c r="G2188" s="1"/>
      <c r="H2188" s="1"/>
      <c r="I2188" s="1"/>
      <c r="J2188" s="1"/>
    </row>
    <row r="2189" spans="1:10" s="6" customFormat="1">
      <c r="A2189" s="17"/>
      <c r="C2189" s="9"/>
      <c r="D2189" s="10"/>
      <c r="E2189" s="10"/>
      <c r="F2189" s="9"/>
      <c r="G2189" s="1"/>
      <c r="H2189" s="1"/>
      <c r="I2189" s="1"/>
      <c r="J2189" s="1"/>
    </row>
    <row r="2190" spans="1:10" s="6" customFormat="1">
      <c r="A2190" s="17"/>
      <c r="C2190" s="9"/>
      <c r="D2190" s="10"/>
      <c r="E2190" s="10"/>
      <c r="F2190" s="9"/>
      <c r="G2190" s="1"/>
      <c r="H2190" s="1"/>
      <c r="I2190" s="1"/>
      <c r="J2190" s="1"/>
    </row>
    <row r="2191" spans="1:10" s="6" customFormat="1">
      <c r="A2191" s="17"/>
      <c r="C2191" s="9"/>
      <c r="D2191" s="10"/>
      <c r="E2191" s="10"/>
      <c r="F2191" s="9"/>
      <c r="G2191" s="1"/>
      <c r="H2191" s="1"/>
      <c r="I2191" s="1"/>
      <c r="J2191" s="1"/>
    </row>
    <row r="2192" spans="1:10" s="6" customFormat="1">
      <c r="A2192" s="17"/>
      <c r="C2192" s="9"/>
      <c r="D2192" s="10"/>
      <c r="E2192" s="10"/>
      <c r="F2192" s="9"/>
      <c r="G2192" s="1"/>
      <c r="H2192" s="1"/>
      <c r="I2192" s="1"/>
      <c r="J2192" s="1"/>
    </row>
    <row r="2193" spans="1:10" s="6" customFormat="1">
      <c r="A2193" s="17"/>
      <c r="C2193" s="9"/>
      <c r="D2193" s="10"/>
      <c r="E2193" s="10"/>
      <c r="F2193" s="9"/>
      <c r="G2193" s="1"/>
      <c r="H2193" s="1"/>
      <c r="I2193" s="1"/>
      <c r="J2193" s="1"/>
    </row>
    <row r="2194" spans="1:10" s="6" customFormat="1">
      <c r="A2194" s="17"/>
      <c r="C2194" s="9"/>
      <c r="D2194" s="10"/>
      <c r="E2194" s="10"/>
      <c r="F2194" s="9"/>
      <c r="G2194" s="1"/>
      <c r="H2194" s="1"/>
      <c r="I2194" s="1"/>
      <c r="J2194" s="1"/>
    </row>
    <row r="2195" spans="1:10" s="6" customFormat="1">
      <c r="A2195" s="17"/>
      <c r="C2195" s="9"/>
      <c r="D2195" s="10"/>
      <c r="E2195" s="10"/>
      <c r="F2195" s="9"/>
      <c r="G2195" s="1"/>
      <c r="H2195" s="1"/>
      <c r="I2195" s="1"/>
      <c r="J2195" s="1"/>
    </row>
    <row r="2196" spans="1:10" s="6" customFormat="1">
      <c r="A2196" s="17"/>
      <c r="C2196" s="9"/>
      <c r="D2196" s="10"/>
      <c r="E2196" s="10"/>
      <c r="F2196" s="9"/>
      <c r="G2196" s="1"/>
      <c r="H2196" s="1"/>
      <c r="I2196" s="1"/>
      <c r="J2196" s="1"/>
    </row>
    <row r="2197" spans="1:10" s="6" customFormat="1">
      <c r="A2197" s="17"/>
      <c r="C2197" s="9"/>
      <c r="D2197" s="10"/>
      <c r="E2197" s="10"/>
      <c r="F2197" s="9"/>
      <c r="G2197" s="1"/>
      <c r="H2197" s="1"/>
      <c r="I2197" s="1"/>
      <c r="J2197" s="1"/>
    </row>
    <row r="2198" spans="1:10" s="6" customFormat="1">
      <c r="A2198" s="17"/>
      <c r="C2198" s="9"/>
      <c r="D2198" s="10"/>
      <c r="E2198" s="10"/>
      <c r="F2198" s="9"/>
      <c r="G2198" s="1"/>
      <c r="H2198" s="1"/>
      <c r="I2198" s="1"/>
      <c r="J2198" s="1"/>
    </row>
    <row r="2199" spans="1:10" s="6" customFormat="1">
      <c r="A2199" s="17"/>
      <c r="C2199" s="9"/>
      <c r="D2199" s="10"/>
      <c r="E2199" s="10"/>
      <c r="F2199" s="9"/>
      <c r="G2199" s="1"/>
      <c r="H2199" s="1"/>
      <c r="I2199" s="1"/>
      <c r="J2199" s="1"/>
    </row>
    <row r="2200" spans="1:10" s="6" customFormat="1">
      <c r="A2200" s="17"/>
      <c r="C2200" s="9"/>
      <c r="D2200" s="10"/>
      <c r="E2200" s="10"/>
      <c r="F2200" s="9"/>
      <c r="G2200" s="1"/>
      <c r="H2200" s="1"/>
      <c r="I2200" s="1"/>
      <c r="J2200" s="1"/>
    </row>
    <row r="2201" spans="1:10" s="6" customFormat="1">
      <c r="A2201" s="17"/>
      <c r="C2201" s="9"/>
      <c r="D2201" s="10"/>
      <c r="E2201" s="10"/>
      <c r="F2201" s="9"/>
      <c r="G2201" s="1"/>
      <c r="H2201" s="1"/>
      <c r="I2201" s="1"/>
      <c r="J2201" s="1"/>
    </row>
    <row r="2202" spans="1:10" s="6" customFormat="1">
      <c r="A2202" s="17"/>
      <c r="C2202" s="9"/>
      <c r="D2202" s="10"/>
      <c r="E2202" s="10"/>
      <c r="F2202" s="9"/>
      <c r="G2202" s="1"/>
      <c r="H2202" s="1"/>
      <c r="I2202" s="1"/>
      <c r="J2202" s="1"/>
    </row>
    <row r="2203" spans="1:10" s="6" customFormat="1">
      <c r="A2203" s="17"/>
      <c r="C2203" s="9"/>
      <c r="D2203" s="10"/>
      <c r="E2203" s="10"/>
      <c r="F2203" s="9"/>
      <c r="G2203" s="1"/>
      <c r="H2203" s="1"/>
      <c r="I2203" s="1"/>
      <c r="J2203" s="1"/>
    </row>
    <row r="2204" spans="1:10" s="6" customFormat="1">
      <c r="A2204" s="17"/>
      <c r="C2204" s="9"/>
      <c r="D2204" s="10"/>
      <c r="E2204" s="10"/>
      <c r="F2204" s="9"/>
      <c r="G2204" s="1"/>
      <c r="H2204" s="1"/>
      <c r="I2204" s="1"/>
      <c r="J2204" s="1"/>
    </row>
    <row r="2205" spans="1:10" s="6" customFormat="1">
      <c r="A2205" s="17"/>
      <c r="C2205" s="9"/>
      <c r="D2205" s="10"/>
      <c r="E2205" s="10"/>
      <c r="F2205" s="9"/>
      <c r="G2205" s="1"/>
      <c r="H2205" s="1"/>
      <c r="I2205" s="1"/>
      <c r="J2205" s="1"/>
    </row>
    <row r="2206" spans="1:10" s="6" customFormat="1">
      <c r="A2206" s="17"/>
      <c r="C2206" s="9"/>
      <c r="D2206" s="10"/>
      <c r="E2206" s="10"/>
      <c r="F2206" s="9"/>
      <c r="G2206" s="1"/>
      <c r="H2206" s="1"/>
      <c r="I2206" s="1"/>
      <c r="J2206" s="1"/>
    </row>
    <row r="2207" spans="1:10" s="6" customFormat="1">
      <c r="A2207" s="17"/>
      <c r="C2207" s="9"/>
      <c r="D2207" s="10"/>
      <c r="E2207" s="10"/>
      <c r="F2207" s="9"/>
      <c r="G2207" s="1"/>
      <c r="H2207" s="1"/>
      <c r="I2207" s="1"/>
      <c r="J2207" s="1"/>
    </row>
    <row r="2208" spans="1:10" s="6" customFormat="1">
      <c r="A2208" s="17"/>
      <c r="C2208" s="9"/>
      <c r="D2208" s="10"/>
      <c r="E2208" s="10"/>
      <c r="F2208" s="9"/>
      <c r="G2208" s="1"/>
      <c r="H2208" s="1"/>
      <c r="I2208" s="1"/>
      <c r="J2208" s="1"/>
    </row>
    <row r="2209" spans="1:10" s="6" customFormat="1">
      <c r="A2209" s="17"/>
      <c r="C2209" s="9"/>
      <c r="D2209" s="10"/>
      <c r="E2209" s="10"/>
      <c r="F2209" s="9"/>
      <c r="G2209" s="1"/>
      <c r="H2209" s="1"/>
      <c r="I2209" s="1"/>
      <c r="J2209" s="1"/>
    </row>
    <row r="2210" spans="1:10" s="6" customFormat="1">
      <c r="A2210" s="17"/>
      <c r="C2210" s="9"/>
      <c r="D2210" s="10"/>
      <c r="E2210" s="10"/>
      <c r="F2210" s="9"/>
      <c r="G2210" s="1"/>
      <c r="H2210" s="1"/>
      <c r="I2210" s="1"/>
      <c r="J2210" s="1"/>
    </row>
    <row r="2211" spans="1:10" s="6" customFormat="1">
      <c r="A2211" s="17"/>
      <c r="C2211" s="9"/>
      <c r="D2211" s="10"/>
      <c r="E2211" s="10"/>
      <c r="F2211" s="9"/>
      <c r="G2211" s="1"/>
      <c r="H2211" s="1"/>
      <c r="I2211" s="1"/>
      <c r="J2211" s="1"/>
    </row>
    <row r="2212" spans="1:10" s="6" customFormat="1">
      <c r="A2212" s="17"/>
      <c r="C2212" s="9"/>
      <c r="D2212" s="10"/>
      <c r="E2212" s="10"/>
      <c r="F2212" s="9"/>
      <c r="G2212" s="1"/>
      <c r="H2212" s="1"/>
      <c r="I2212" s="1"/>
      <c r="J2212" s="1"/>
    </row>
    <row r="2213" spans="1:10" s="6" customFormat="1">
      <c r="A2213" s="17"/>
      <c r="C2213" s="9"/>
      <c r="D2213" s="10"/>
      <c r="E2213" s="10"/>
      <c r="F2213" s="9"/>
      <c r="G2213" s="1"/>
      <c r="H2213" s="1"/>
      <c r="I2213" s="1"/>
      <c r="J2213" s="1"/>
    </row>
    <row r="2214" spans="1:10" s="6" customFormat="1">
      <c r="A2214" s="17"/>
      <c r="C2214" s="9"/>
      <c r="D2214" s="10"/>
      <c r="E2214" s="10"/>
      <c r="F2214" s="9"/>
      <c r="G2214" s="1"/>
      <c r="H2214" s="1"/>
      <c r="I2214" s="1"/>
      <c r="J2214" s="1"/>
    </row>
    <row r="2215" spans="1:10" s="6" customFormat="1">
      <c r="A2215" s="17"/>
      <c r="C2215" s="9"/>
      <c r="D2215" s="10"/>
      <c r="E2215" s="10"/>
      <c r="F2215" s="9"/>
      <c r="G2215" s="1"/>
      <c r="H2215" s="1"/>
      <c r="I2215" s="1"/>
      <c r="J2215" s="1"/>
    </row>
    <row r="2216" spans="1:10" s="6" customFormat="1">
      <c r="A2216" s="17"/>
      <c r="C2216" s="9"/>
      <c r="D2216" s="10"/>
      <c r="E2216" s="10"/>
      <c r="F2216" s="9"/>
      <c r="G2216" s="1"/>
      <c r="H2216" s="1"/>
      <c r="I2216" s="1"/>
      <c r="J2216" s="1"/>
    </row>
    <row r="2217" spans="1:10" s="6" customFormat="1">
      <c r="A2217" s="17"/>
      <c r="C2217" s="9"/>
      <c r="D2217" s="10"/>
      <c r="E2217" s="10"/>
      <c r="F2217" s="9"/>
      <c r="G2217" s="1"/>
      <c r="H2217" s="1"/>
      <c r="I2217" s="1"/>
      <c r="J2217" s="1"/>
    </row>
    <row r="2218" spans="1:10" s="6" customFormat="1">
      <c r="A2218" s="17"/>
      <c r="C2218" s="9"/>
      <c r="D2218" s="10"/>
      <c r="E2218" s="10"/>
      <c r="F2218" s="9"/>
      <c r="G2218" s="1"/>
      <c r="H2218" s="1"/>
      <c r="I2218" s="1"/>
      <c r="J2218" s="1"/>
    </row>
    <row r="2219" spans="1:10" s="6" customFormat="1">
      <c r="A2219" s="17"/>
      <c r="C2219" s="9"/>
      <c r="D2219" s="10"/>
      <c r="E2219" s="10"/>
      <c r="F2219" s="9"/>
      <c r="G2219" s="1"/>
      <c r="H2219" s="1"/>
      <c r="I2219" s="1"/>
      <c r="J2219" s="1"/>
    </row>
    <row r="2220" spans="1:10" s="6" customFormat="1">
      <c r="A2220" s="17"/>
      <c r="C2220" s="9"/>
      <c r="D2220" s="10"/>
      <c r="E2220" s="10"/>
      <c r="F2220" s="9"/>
      <c r="G2220" s="1"/>
      <c r="H2220" s="1"/>
      <c r="I2220" s="1"/>
      <c r="J2220" s="1"/>
    </row>
    <row r="2221" spans="1:10" s="6" customFormat="1">
      <c r="A2221" s="17"/>
      <c r="C2221" s="9"/>
      <c r="D2221" s="10"/>
      <c r="E2221" s="10"/>
      <c r="F2221" s="9"/>
      <c r="G2221" s="1"/>
      <c r="H2221" s="1"/>
      <c r="I2221" s="1"/>
      <c r="J2221" s="1"/>
    </row>
    <row r="2222" spans="1:10" s="6" customFormat="1">
      <c r="A2222" s="17"/>
      <c r="C2222" s="9"/>
      <c r="D2222" s="10"/>
      <c r="E2222" s="10"/>
      <c r="F2222" s="9"/>
      <c r="G2222" s="1"/>
      <c r="H2222" s="1"/>
      <c r="I2222" s="1"/>
      <c r="J2222" s="1"/>
    </row>
    <row r="2223" spans="1:10" s="6" customFormat="1">
      <c r="A2223" s="17"/>
      <c r="C2223" s="9"/>
      <c r="D2223" s="10"/>
      <c r="E2223" s="10"/>
      <c r="F2223" s="9"/>
      <c r="G2223" s="1"/>
      <c r="H2223" s="1"/>
      <c r="I2223" s="1"/>
      <c r="J2223" s="1"/>
    </row>
    <row r="2224" spans="1:10" s="6" customFormat="1">
      <c r="A2224" s="17"/>
      <c r="C2224" s="9"/>
      <c r="D2224" s="10"/>
      <c r="E2224" s="10"/>
      <c r="F2224" s="9"/>
      <c r="G2224" s="1"/>
      <c r="H2224" s="1"/>
      <c r="I2224" s="1"/>
      <c r="J2224" s="1"/>
    </row>
    <row r="2225" spans="1:10" s="6" customFormat="1">
      <c r="A2225" s="17"/>
      <c r="C2225" s="9"/>
      <c r="D2225" s="10"/>
      <c r="E2225" s="10"/>
      <c r="F2225" s="9"/>
      <c r="G2225" s="1"/>
      <c r="H2225" s="1"/>
      <c r="I2225" s="1"/>
      <c r="J2225" s="1"/>
    </row>
    <row r="2226" spans="1:10" s="6" customFormat="1">
      <c r="A2226" s="17"/>
      <c r="C2226" s="9"/>
      <c r="D2226" s="10"/>
      <c r="E2226" s="10"/>
      <c r="F2226" s="9"/>
      <c r="G2226" s="1"/>
      <c r="H2226" s="1"/>
      <c r="I2226" s="1"/>
      <c r="J2226" s="1"/>
    </row>
    <row r="2227" spans="1:10" s="6" customFormat="1">
      <c r="A2227" s="17"/>
      <c r="C2227" s="9"/>
      <c r="D2227" s="10"/>
      <c r="E2227" s="10"/>
      <c r="F2227" s="9"/>
      <c r="G2227" s="1"/>
      <c r="H2227" s="1"/>
      <c r="I2227" s="1"/>
      <c r="J2227" s="1"/>
    </row>
    <row r="2228" spans="1:10" s="6" customFormat="1">
      <c r="A2228" s="17"/>
      <c r="C2228" s="9"/>
      <c r="D2228" s="10"/>
      <c r="E2228" s="10"/>
      <c r="F2228" s="9"/>
      <c r="G2228" s="1"/>
      <c r="H2228" s="1"/>
      <c r="I2228" s="1"/>
      <c r="J2228" s="1"/>
    </row>
    <row r="2229" spans="1:10" s="6" customFormat="1">
      <c r="A2229" s="17"/>
      <c r="C2229" s="9"/>
      <c r="D2229" s="10"/>
      <c r="E2229" s="10"/>
      <c r="F2229" s="9"/>
      <c r="G2229" s="1"/>
      <c r="H2229" s="1"/>
      <c r="I2229" s="1"/>
      <c r="J2229" s="1"/>
    </row>
    <row r="2230" spans="1:10" s="6" customFormat="1">
      <c r="A2230" s="17"/>
      <c r="C2230" s="9"/>
      <c r="D2230" s="10"/>
      <c r="E2230" s="10"/>
      <c r="F2230" s="9"/>
      <c r="G2230" s="1"/>
      <c r="H2230" s="1"/>
      <c r="I2230" s="1"/>
      <c r="J2230" s="1"/>
    </row>
    <row r="2231" spans="1:10" s="6" customFormat="1">
      <c r="A2231" s="17"/>
      <c r="C2231" s="9"/>
      <c r="D2231" s="10"/>
      <c r="E2231" s="10"/>
      <c r="F2231" s="9"/>
      <c r="G2231" s="1"/>
      <c r="H2231" s="1"/>
      <c r="I2231" s="1"/>
      <c r="J2231" s="1"/>
    </row>
    <row r="2232" spans="1:10" s="6" customFormat="1">
      <c r="A2232" s="17"/>
      <c r="C2232" s="9"/>
      <c r="D2232" s="10"/>
      <c r="E2232" s="10"/>
      <c r="F2232" s="9"/>
      <c r="G2232" s="1"/>
      <c r="H2232" s="1"/>
      <c r="I2232" s="1"/>
      <c r="J2232" s="1"/>
    </row>
    <row r="2233" spans="1:10" s="6" customFormat="1">
      <c r="A2233" s="17"/>
      <c r="C2233" s="9"/>
      <c r="D2233" s="10"/>
      <c r="E2233" s="10"/>
      <c r="F2233" s="9"/>
      <c r="G2233" s="1"/>
      <c r="H2233" s="1"/>
      <c r="I2233" s="1"/>
      <c r="J2233" s="1"/>
    </row>
    <row r="2234" spans="1:10" s="6" customFormat="1">
      <c r="A2234" s="17"/>
      <c r="C2234" s="9"/>
      <c r="D2234" s="10"/>
      <c r="E2234" s="10"/>
      <c r="F2234" s="9"/>
      <c r="G2234" s="1"/>
      <c r="H2234" s="1"/>
      <c r="I2234" s="1"/>
      <c r="J2234" s="1"/>
    </row>
    <row r="2235" spans="1:10" s="6" customFormat="1">
      <c r="A2235" s="17"/>
      <c r="C2235" s="9"/>
      <c r="D2235" s="10"/>
      <c r="E2235" s="10"/>
      <c r="F2235" s="9"/>
      <c r="G2235" s="1"/>
      <c r="H2235" s="1"/>
      <c r="I2235" s="1"/>
      <c r="J2235" s="1"/>
    </row>
    <row r="2236" spans="1:10" s="6" customFormat="1">
      <c r="A2236" s="17"/>
      <c r="C2236" s="9"/>
      <c r="D2236" s="10"/>
      <c r="E2236" s="10"/>
      <c r="F2236" s="9"/>
      <c r="G2236" s="1"/>
      <c r="H2236" s="1"/>
      <c r="I2236" s="1"/>
      <c r="J2236" s="1"/>
    </row>
    <row r="2237" spans="1:10" s="6" customFormat="1">
      <c r="A2237" s="17"/>
      <c r="C2237" s="9"/>
      <c r="D2237" s="10"/>
      <c r="E2237" s="10"/>
      <c r="F2237" s="9"/>
      <c r="G2237" s="1"/>
      <c r="H2237" s="1"/>
      <c r="I2237" s="1"/>
      <c r="J2237" s="1"/>
    </row>
    <row r="2238" spans="1:10" s="6" customFormat="1">
      <c r="A2238" s="17"/>
      <c r="C2238" s="9"/>
      <c r="D2238" s="10"/>
      <c r="E2238" s="10"/>
      <c r="F2238" s="9"/>
      <c r="G2238" s="1"/>
      <c r="H2238" s="1"/>
      <c r="I2238" s="1"/>
      <c r="J2238" s="1"/>
    </row>
    <row r="2239" spans="1:10" s="6" customFormat="1">
      <c r="A2239" s="17"/>
      <c r="C2239" s="9"/>
      <c r="D2239" s="10"/>
      <c r="E2239" s="10"/>
      <c r="F2239" s="9"/>
      <c r="G2239" s="1"/>
      <c r="H2239" s="1"/>
      <c r="I2239" s="1"/>
      <c r="J2239" s="1"/>
    </row>
    <row r="2240" spans="1:10" s="6" customFormat="1">
      <c r="A2240" s="17"/>
      <c r="C2240" s="9"/>
      <c r="D2240" s="10"/>
      <c r="E2240" s="10"/>
      <c r="F2240" s="9"/>
      <c r="G2240" s="1"/>
      <c r="H2240" s="1"/>
      <c r="I2240" s="1"/>
      <c r="J2240" s="1"/>
    </row>
    <row r="2241" spans="1:10" s="6" customFormat="1">
      <c r="A2241" s="17"/>
      <c r="C2241" s="9"/>
      <c r="D2241" s="10"/>
      <c r="E2241" s="10"/>
      <c r="F2241" s="9"/>
      <c r="G2241" s="1"/>
      <c r="H2241" s="1"/>
      <c r="I2241" s="1"/>
      <c r="J2241" s="1"/>
    </row>
    <row r="2242" spans="1:10" s="6" customFormat="1">
      <c r="A2242" s="17"/>
      <c r="C2242" s="9"/>
      <c r="D2242" s="10"/>
      <c r="E2242" s="10"/>
      <c r="F2242" s="9"/>
      <c r="G2242" s="1"/>
      <c r="H2242" s="1"/>
      <c r="I2242" s="1"/>
      <c r="J2242" s="1"/>
    </row>
    <row r="2243" spans="1:10" s="6" customFormat="1">
      <c r="A2243" s="17"/>
      <c r="C2243" s="9"/>
      <c r="D2243" s="10"/>
      <c r="E2243" s="10"/>
      <c r="F2243" s="9"/>
      <c r="G2243" s="1"/>
      <c r="H2243" s="1"/>
      <c r="I2243" s="1"/>
      <c r="J2243" s="1"/>
    </row>
    <row r="2244" spans="1:10" s="6" customFormat="1">
      <c r="A2244" s="17"/>
      <c r="C2244" s="9"/>
      <c r="D2244" s="10"/>
      <c r="E2244" s="10"/>
      <c r="F2244" s="9"/>
      <c r="G2244" s="1"/>
      <c r="H2244" s="1"/>
      <c r="I2244" s="1"/>
      <c r="J2244" s="1"/>
    </row>
    <row r="2245" spans="1:10" s="6" customFormat="1">
      <c r="A2245" s="17"/>
      <c r="C2245" s="9"/>
      <c r="D2245" s="10"/>
      <c r="E2245" s="10"/>
      <c r="F2245" s="9"/>
      <c r="G2245" s="1"/>
      <c r="H2245" s="1"/>
      <c r="I2245" s="1"/>
      <c r="J2245" s="1"/>
    </row>
    <row r="2246" spans="1:10" s="6" customFormat="1">
      <c r="A2246" s="17"/>
      <c r="C2246" s="9"/>
      <c r="D2246" s="10"/>
      <c r="E2246" s="10"/>
      <c r="F2246" s="9"/>
      <c r="G2246" s="1"/>
      <c r="H2246" s="1"/>
      <c r="I2246" s="1"/>
      <c r="J2246" s="1"/>
    </row>
    <row r="2247" spans="1:10" s="6" customFormat="1">
      <c r="A2247" s="17"/>
      <c r="C2247" s="9"/>
      <c r="D2247" s="10"/>
      <c r="E2247" s="10"/>
      <c r="F2247" s="9"/>
      <c r="G2247" s="1"/>
      <c r="H2247" s="1"/>
      <c r="I2247" s="1"/>
      <c r="J2247" s="1"/>
    </row>
    <row r="2248" spans="1:10" s="6" customFormat="1">
      <c r="A2248" s="17"/>
      <c r="C2248" s="9"/>
      <c r="D2248" s="10"/>
      <c r="E2248" s="10"/>
      <c r="F2248" s="9"/>
      <c r="G2248" s="1"/>
      <c r="H2248" s="1"/>
      <c r="I2248" s="1"/>
      <c r="J2248" s="1"/>
    </row>
    <row r="2249" spans="1:10" s="6" customFormat="1">
      <c r="A2249" s="17"/>
      <c r="C2249" s="9"/>
      <c r="D2249" s="10"/>
      <c r="E2249" s="10"/>
      <c r="F2249" s="9"/>
      <c r="G2249" s="1"/>
      <c r="H2249" s="1"/>
      <c r="I2249" s="1"/>
      <c r="J2249" s="1"/>
    </row>
    <row r="2250" spans="1:10" s="6" customFormat="1">
      <c r="A2250" s="17"/>
      <c r="C2250" s="9"/>
      <c r="D2250" s="10"/>
      <c r="E2250" s="10"/>
      <c r="F2250" s="9"/>
      <c r="G2250" s="1"/>
      <c r="H2250" s="1"/>
      <c r="I2250" s="1"/>
      <c r="J2250" s="1"/>
    </row>
    <row r="2251" spans="1:10" s="6" customFormat="1">
      <c r="A2251" s="17"/>
      <c r="C2251" s="9"/>
      <c r="D2251" s="10"/>
      <c r="E2251" s="10"/>
      <c r="F2251" s="9"/>
      <c r="G2251" s="1"/>
      <c r="H2251" s="1"/>
      <c r="I2251" s="1"/>
      <c r="J2251" s="1"/>
    </row>
    <row r="2252" spans="1:10" s="6" customFormat="1">
      <c r="A2252" s="17"/>
      <c r="C2252" s="9"/>
      <c r="D2252" s="10"/>
      <c r="E2252" s="10"/>
      <c r="F2252" s="9"/>
      <c r="G2252" s="1"/>
      <c r="H2252" s="1"/>
      <c r="I2252" s="1"/>
      <c r="J2252" s="1"/>
    </row>
    <row r="2253" spans="1:10" s="6" customFormat="1">
      <c r="A2253" s="17"/>
      <c r="C2253" s="9"/>
      <c r="D2253" s="10"/>
      <c r="E2253" s="10"/>
      <c r="F2253" s="9"/>
      <c r="G2253" s="1"/>
      <c r="H2253" s="1"/>
      <c r="I2253" s="1"/>
      <c r="J2253" s="1"/>
    </row>
    <row r="2254" spans="1:10" s="6" customFormat="1">
      <c r="A2254" s="17"/>
      <c r="C2254" s="9"/>
      <c r="D2254" s="10"/>
      <c r="E2254" s="10"/>
      <c r="F2254" s="9"/>
      <c r="G2254" s="1"/>
      <c r="H2254" s="1"/>
      <c r="I2254" s="1"/>
      <c r="J2254" s="1"/>
    </row>
    <row r="2255" spans="1:10" s="6" customFormat="1">
      <c r="A2255" s="17"/>
      <c r="C2255" s="9"/>
      <c r="D2255" s="10"/>
      <c r="E2255" s="10"/>
      <c r="F2255" s="9"/>
      <c r="G2255" s="1"/>
      <c r="H2255" s="1"/>
      <c r="I2255" s="1"/>
      <c r="J2255" s="1"/>
    </row>
    <row r="2256" spans="1:10" s="6" customFormat="1">
      <c r="A2256" s="17"/>
      <c r="C2256" s="9"/>
      <c r="D2256" s="10"/>
      <c r="E2256" s="10"/>
      <c r="F2256" s="9"/>
      <c r="G2256" s="1"/>
      <c r="H2256" s="1"/>
      <c r="I2256" s="1"/>
      <c r="J2256" s="1"/>
    </row>
    <row r="2257" spans="1:10" s="6" customFormat="1">
      <c r="A2257" s="17"/>
      <c r="C2257" s="9"/>
      <c r="D2257" s="10"/>
      <c r="E2257" s="10"/>
      <c r="F2257" s="9"/>
      <c r="G2257" s="1"/>
      <c r="H2257" s="1"/>
      <c r="I2257" s="1"/>
      <c r="J2257" s="1"/>
    </row>
    <row r="2258" spans="1:10" s="6" customFormat="1">
      <c r="A2258" s="17"/>
      <c r="C2258" s="9"/>
      <c r="D2258" s="10"/>
      <c r="E2258" s="10"/>
      <c r="F2258" s="9"/>
      <c r="G2258" s="1"/>
      <c r="H2258" s="1"/>
      <c r="I2258" s="1"/>
      <c r="J2258" s="1"/>
    </row>
    <row r="2259" spans="1:10" s="6" customFormat="1">
      <c r="A2259" s="17"/>
      <c r="C2259" s="9"/>
      <c r="D2259" s="10"/>
      <c r="E2259" s="10"/>
      <c r="F2259" s="9"/>
      <c r="G2259" s="1"/>
      <c r="H2259" s="1"/>
      <c r="I2259" s="1"/>
      <c r="J2259" s="1"/>
    </row>
    <row r="2260" spans="1:10" s="6" customFormat="1">
      <c r="A2260" s="17"/>
      <c r="C2260" s="9"/>
      <c r="D2260" s="10"/>
      <c r="E2260" s="10"/>
      <c r="F2260" s="9"/>
      <c r="G2260" s="1"/>
      <c r="H2260" s="1"/>
      <c r="I2260" s="1"/>
      <c r="J2260" s="1"/>
    </row>
    <row r="2261" spans="1:10" s="6" customFormat="1">
      <c r="A2261" s="17"/>
      <c r="C2261" s="9"/>
      <c r="D2261" s="10"/>
      <c r="E2261" s="10"/>
      <c r="F2261" s="9"/>
      <c r="G2261" s="1"/>
      <c r="H2261" s="1"/>
      <c r="I2261" s="1"/>
      <c r="J2261" s="1"/>
    </row>
    <row r="2262" spans="1:10" s="6" customFormat="1">
      <c r="A2262" s="17"/>
      <c r="C2262" s="9"/>
      <c r="D2262" s="10"/>
      <c r="E2262" s="10"/>
      <c r="F2262" s="9"/>
      <c r="G2262" s="1"/>
      <c r="H2262" s="1"/>
      <c r="I2262" s="1"/>
      <c r="J2262" s="1"/>
    </row>
    <row r="2263" spans="1:10" s="6" customFormat="1">
      <c r="A2263" s="17"/>
      <c r="C2263" s="9"/>
      <c r="D2263" s="10"/>
      <c r="E2263" s="10"/>
      <c r="F2263" s="9"/>
      <c r="G2263" s="1"/>
      <c r="H2263" s="1"/>
      <c r="I2263" s="1"/>
      <c r="J2263" s="1"/>
    </row>
    <row r="2264" spans="1:10" s="6" customFormat="1">
      <c r="A2264" s="17"/>
      <c r="C2264" s="9"/>
      <c r="D2264" s="10"/>
      <c r="E2264" s="10"/>
      <c r="F2264" s="9"/>
      <c r="G2264" s="1"/>
      <c r="H2264" s="1"/>
      <c r="I2264" s="1"/>
      <c r="J2264" s="1"/>
    </row>
    <row r="2265" spans="1:10" s="6" customFormat="1">
      <c r="A2265" s="17"/>
      <c r="C2265" s="9"/>
      <c r="D2265" s="10"/>
      <c r="E2265" s="10"/>
      <c r="F2265" s="9"/>
      <c r="G2265" s="1"/>
      <c r="H2265" s="1"/>
      <c r="I2265" s="1"/>
      <c r="J2265" s="1"/>
    </row>
    <row r="2266" spans="1:10" s="6" customFormat="1">
      <c r="A2266" s="17"/>
      <c r="C2266" s="9"/>
      <c r="D2266" s="10"/>
      <c r="E2266" s="10"/>
      <c r="F2266" s="9"/>
      <c r="G2266" s="1"/>
      <c r="H2266" s="1"/>
      <c r="I2266" s="1"/>
      <c r="J2266" s="1"/>
    </row>
    <row r="2267" spans="1:10" s="6" customFormat="1">
      <c r="A2267" s="17"/>
      <c r="C2267" s="9"/>
      <c r="D2267" s="10"/>
      <c r="E2267" s="10"/>
      <c r="F2267" s="9"/>
      <c r="G2267" s="1"/>
      <c r="H2267" s="1"/>
      <c r="I2267" s="1"/>
      <c r="J2267" s="1"/>
    </row>
    <row r="2268" spans="1:10" s="6" customFormat="1">
      <c r="A2268" s="17"/>
      <c r="C2268" s="9"/>
      <c r="D2268" s="10"/>
      <c r="E2268" s="10"/>
      <c r="F2268" s="9"/>
      <c r="G2268" s="1"/>
      <c r="H2268" s="1"/>
      <c r="I2268" s="1"/>
      <c r="J2268" s="1"/>
    </row>
    <row r="2269" spans="1:10" s="6" customFormat="1">
      <c r="A2269" s="17"/>
      <c r="C2269" s="9"/>
      <c r="D2269" s="10"/>
      <c r="E2269" s="10"/>
      <c r="F2269" s="9"/>
      <c r="G2269" s="1"/>
      <c r="H2269" s="1"/>
      <c r="I2269" s="1"/>
      <c r="J2269" s="1"/>
    </row>
    <row r="2270" spans="1:10" s="6" customFormat="1">
      <c r="A2270" s="17"/>
      <c r="C2270" s="9"/>
      <c r="D2270" s="10"/>
      <c r="E2270" s="10"/>
      <c r="F2270" s="9"/>
      <c r="G2270" s="1"/>
      <c r="H2270" s="1"/>
      <c r="I2270" s="1"/>
      <c r="J2270" s="1"/>
    </row>
    <row r="2271" spans="1:10" s="6" customFormat="1">
      <c r="A2271" s="17"/>
      <c r="C2271" s="9"/>
      <c r="D2271" s="10"/>
      <c r="E2271" s="10"/>
      <c r="F2271" s="9"/>
      <c r="G2271" s="1"/>
      <c r="H2271" s="1"/>
      <c r="I2271" s="1"/>
      <c r="J2271" s="1"/>
    </row>
    <row r="2272" spans="1:10" s="6" customFormat="1">
      <c r="A2272" s="17"/>
      <c r="C2272" s="9"/>
      <c r="D2272" s="10"/>
      <c r="E2272" s="10"/>
      <c r="F2272" s="9"/>
      <c r="G2272" s="1"/>
      <c r="H2272" s="1"/>
      <c r="I2272" s="1"/>
      <c r="J2272" s="1"/>
    </row>
    <row r="2273" spans="1:10" s="6" customFormat="1">
      <c r="A2273" s="17"/>
      <c r="C2273" s="9"/>
      <c r="D2273" s="10"/>
      <c r="E2273" s="10"/>
      <c r="F2273" s="9"/>
      <c r="G2273" s="1"/>
      <c r="H2273" s="1"/>
      <c r="I2273" s="1"/>
      <c r="J2273" s="1"/>
    </row>
    <row r="2274" spans="1:10" s="6" customFormat="1">
      <c r="A2274" s="17"/>
      <c r="C2274" s="9"/>
      <c r="D2274" s="10"/>
      <c r="E2274" s="10"/>
      <c r="F2274" s="9"/>
      <c r="G2274" s="1"/>
      <c r="H2274" s="1"/>
      <c r="I2274" s="1"/>
      <c r="J2274" s="1"/>
    </row>
    <row r="2275" spans="1:10" s="6" customFormat="1">
      <c r="A2275" s="17"/>
      <c r="C2275" s="9"/>
      <c r="D2275" s="10"/>
      <c r="E2275" s="10"/>
      <c r="F2275" s="9"/>
      <c r="G2275" s="1"/>
      <c r="H2275" s="1"/>
      <c r="I2275" s="1"/>
      <c r="J2275" s="1"/>
    </row>
    <row r="2276" spans="1:10" s="6" customFormat="1">
      <c r="A2276" s="17"/>
      <c r="C2276" s="9"/>
      <c r="D2276" s="10"/>
      <c r="E2276" s="10"/>
      <c r="F2276" s="9"/>
      <c r="G2276" s="1"/>
      <c r="H2276" s="1"/>
      <c r="I2276" s="1"/>
      <c r="J2276" s="1"/>
    </row>
    <row r="2277" spans="1:10" s="6" customFormat="1">
      <c r="A2277" s="17"/>
      <c r="C2277" s="9"/>
      <c r="D2277" s="10"/>
      <c r="E2277" s="10"/>
      <c r="F2277" s="9"/>
      <c r="G2277" s="1"/>
      <c r="H2277" s="1"/>
      <c r="I2277" s="1"/>
      <c r="J2277" s="1"/>
    </row>
    <row r="2278" spans="1:10" s="6" customFormat="1">
      <c r="A2278" s="17"/>
      <c r="C2278" s="9"/>
      <c r="D2278" s="10"/>
      <c r="E2278" s="10"/>
      <c r="F2278" s="9"/>
      <c r="G2278" s="1"/>
      <c r="H2278" s="1"/>
      <c r="I2278" s="1"/>
      <c r="J2278" s="1"/>
    </row>
    <row r="2279" spans="1:10" s="6" customFormat="1">
      <c r="A2279" s="17"/>
      <c r="C2279" s="9"/>
      <c r="D2279" s="10"/>
      <c r="E2279" s="10"/>
      <c r="F2279" s="9"/>
      <c r="G2279" s="1"/>
      <c r="H2279" s="1"/>
      <c r="I2279" s="1"/>
      <c r="J2279" s="1"/>
    </row>
    <row r="2280" spans="1:10" s="6" customFormat="1">
      <c r="A2280" s="17"/>
      <c r="C2280" s="9"/>
      <c r="D2280" s="10"/>
      <c r="E2280" s="10"/>
      <c r="F2280" s="9"/>
      <c r="G2280" s="1"/>
      <c r="H2280" s="1"/>
      <c r="I2280" s="1"/>
      <c r="J2280" s="1"/>
    </row>
    <row r="2281" spans="1:10" s="6" customFormat="1">
      <c r="A2281" s="17"/>
      <c r="C2281" s="9"/>
      <c r="D2281" s="10"/>
      <c r="E2281" s="10"/>
      <c r="F2281" s="9"/>
      <c r="G2281" s="1"/>
      <c r="H2281" s="1"/>
      <c r="I2281" s="1"/>
      <c r="J2281" s="1"/>
    </row>
    <row r="2282" spans="1:10" s="6" customFormat="1">
      <c r="A2282" s="17"/>
      <c r="C2282" s="9"/>
      <c r="D2282" s="10"/>
      <c r="E2282" s="10"/>
      <c r="F2282" s="9"/>
      <c r="G2282" s="1"/>
      <c r="H2282" s="1"/>
      <c r="I2282" s="1"/>
      <c r="J2282" s="1"/>
    </row>
    <row r="2283" spans="1:10" s="6" customFormat="1">
      <c r="A2283" s="17"/>
      <c r="C2283" s="9"/>
      <c r="D2283" s="10"/>
      <c r="E2283" s="10"/>
      <c r="F2283" s="9"/>
      <c r="G2283" s="1"/>
      <c r="H2283" s="1"/>
      <c r="I2283" s="1"/>
      <c r="J2283" s="1"/>
    </row>
    <row r="2284" spans="1:10" s="6" customFormat="1">
      <c r="A2284" s="17"/>
      <c r="C2284" s="9"/>
      <c r="D2284" s="10"/>
      <c r="E2284" s="10"/>
      <c r="F2284" s="9"/>
      <c r="G2284" s="1"/>
      <c r="H2284" s="1"/>
      <c r="I2284" s="1"/>
      <c r="J2284" s="1"/>
    </row>
    <row r="2285" spans="1:10" s="6" customFormat="1">
      <c r="A2285" s="17"/>
      <c r="C2285" s="9"/>
      <c r="D2285" s="10"/>
      <c r="E2285" s="10"/>
      <c r="F2285" s="9"/>
      <c r="G2285" s="1"/>
      <c r="H2285" s="1"/>
      <c r="I2285" s="1"/>
      <c r="J2285" s="1"/>
    </row>
    <row r="2286" spans="1:10" s="6" customFormat="1">
      <c r="A2286" s="17"/>
      <c r="C2286" s="9"/>
      <c r="D2286" s="10"/>
      <c r="E2286" s="10"/>
      <c r="F2286" s="9"/>
      <c r="G2286" s="1"/>
      <c r="H2286" s="1"/>
      <c r="I2286" s="1"/>
      <c r="J2286" s="1"/>
    </row>
    <row r="2287" spans="1:10" s="6" customFormat="1">
      <c r="A2287" s="17"/>
      <c r="C2287" s="9"/>
      <c r="D2287" s="10"/>
      <c r="E2287" s="10"/>
      <c r="F2287" s="9"/>
      <c r="G2287" s="1"/>
      <c r="H2287" s="1"/>
      <c r="I2287" s="1"/>
      <c r="J2287" s="1"/>
    </row>
    <row r="2288" spans="1:10" s="6" customFormat="1">
      <c r="A2288" s="17"/>
      <c r="C2288" s="9"/>
      <c r="D2288" s="10"/>
      <c r="E2288" s="10"/>
      <c r="F2288" s="9"/>
      <c r="G2288" s="1"/>
      <c r="H2288" s="1"/>
      <c r="I2288" s="1"/>
      <c r="J2288" s="1"/>
    </row>
    <row r="2289" spans="1:10" s="6" customFormat="1">
      <c r="A2289" s="17"/>
      <c r="C2289" s="9"/>
      <c r="D2289" s="10"/>
      <c r="E2289" s="10"/>
      <c r="F2289" s="9"/>
      <c r="G2289" s="1"/>
      <c r="H2289" s="1"/>
      <c r="I2289" s="1"/>
      <c r="J2289" s="1"/>
    </row>
    <row r="2290" spans="1:10" s="6" customFormat="1">
      <c r="A2290" s="17"/>
      <c r="C2290" s="9"/>
      <c r="D2290" s="10"/>
      <c r="E2290" s="10"/>
      <c r="F2290" s="9"/>
      <c r="G2290" s="1"/>
      <c r="H2290" s="1"/>
      <c r="I2290" s="1"/>
      <c r="J2290" s="1"/>
    </row>
    <row r="2291" spans="1:10" s="6" customFormat="1">
      <c r="A2291" s="17"/>
      <c r="C2291" s="9"/>
      <c r="D2291" s="10"/>
      <c r="E2291" s="10"/>
      <c r="F2291" s="9"/>
      <c r="G2291" s="1"/>
      <c r="H2291" s="1"/>
      <c r="I2291" s="1"/>
      <c r="J2291" s="1"/>
    </row>
    <row r="2292" spans="1:10" s="6" customFormat="1">
      <c r="A2292" s="17"/>
      <c r="C2292" s="9"/>
      <c r="D2292" s="10"/>
      <c r="E2292" s="10"/>
      <c r="F2292" s="9"/>
      <c r="G2292" s="1"/>
      <c r="H2292" s="1"/>
      <c r="I2292" s="1"/>
      <c r="J2292" s="1"/>
    </row>
    <row r="2293" spans="1:10" s="6" customFormat="1">
      <c r="A2293" s="17"/>
      <c r="C2293" s="9"/>
      <c r="D2293" s="10"/>
      <c r="E2293" s="10"/>
      <c r="F2293" s="9"/>
      <c r="G2293" s="1"/>
      <c r="H2293" s="1"/>
      <c r="I2293" s="1"/>
      <c r="J2293" s="1"/>
    </row>
    <row r="2294" spans="1:10" s="6" customFormat="1">
      <c r="A2294" s="17"/>
      <c r="C2294" s="9"/>
      <c r="D2294" s="10"/>
      <c r="E2294" s="10"/>
      <c r="F2294" s="9"/>
      <c r="G2294" s="1"/>
      <c r="H2294" s="1"/>
      <c r="I2294" s="1"/>
      <c r="J2294" s="1"/>
    </row>
    <row r="2295" spans="1:10" s="6" customFormat="1">
      <c r="A2295" s="17"/>
      <c r="C2295" s="9"/>
      <c r="D2295" s="10"/>
      <c r="E2295" s="10"/>
      <c r="F2295" s="9"/>
      <c r="G2295" s="1"/>
      <c r="H2295" s="1"/>
      <c r="I2295" s="1"/>
      <c r="J2295" s="1"/>
    </row>
    <row r="2296" spans="1:10" s="6" customFormat="1">
      <c r="A2296" s="17"/>
      <c r="C2296" s="9"/>
      <c r="D2296" s="10"/>
      <c r="E2296" s="10"/>
      <c r="F2296" s="9"/>
      <c r="G2296" s="1"/>
      <c r="H2296" s="1"/>
      <c r="I2296" s="1"/>
      <c r="J2296" s="1"/>
    </row>
    <row r="2297" spans="1:10" s="6" customFormat="1">
      <c r="A2297" s="17"/>
      <c r="C2297" s="9"/>
      <c r="D2297" s="10"/>
      <c r="E2297" s="10"/>
      <c r="F2297" s="9"/>
      <c r="G2297" s="1"/>
      <c r="H2297" s="1"/>
      <c r="I2297" s="1"/>
      <c r="J2297" s="1"/>
    </row>
    <row r="2298" spans="1:10" s="6" customFormat="1">
      <c r="A2298" s="17"/>
      <c r="C2298" s="9"/>
      <c r="D2298" s="10"/>
      <c r="E2298" s="10"/>
      <c r="F2298" s="9"/>
      <c r="G2298" s="1"/>
      <c r="H2298" s="1"/>
      <c r="I2298" s="1"/>
      <c r="J2298" s="1"/>
    </row>
    <row r="2299" spans="1:10" s="6" customFormat="1">
      <c r="A2299" s="17"/>
      <c r="C2299" s="9"/>
      <c r="D2299" s="10"/>
      <c r="E2299" s="10"/>
      <c r="F2299" s="9"/>
      <c r="G2299" s="1"/>
      <c r="H2299" s="1"/>
      <c r="I2299" s="1"/>
      <c r="J2299" s="1"/>
    </row>
    <row r="2300" spans="1:10" s="6" customFormat="1">
      <c r="A2300" s="17"/>
      <c r="C2300" s="9"/>
      <c r="D2300" s="10"/>
      <c r="E2300" s="10"/>
      <c r="F2300" s="9"/>
      <c r="G2300" s="1"/>
      <c r="H2300" s="1"/>
      <c r="I2300" s="1"/>
      <c r="J2300" s="1"/>
    </row>
    <row r="2301" spans="1:10" s="6" customFormat="1">
      <c r="A2301" s="17"/>
      <c r="C2301" s="9"/>
      <c r="D2301" s="10"/>
      <c r="E2301" s="10"/>
      <c r="F2301" s="9"/>
      <c r="G2301" s="1"/>
      <c r="H2301" s="1"/>
      <c r="I2301" s="1"/>
      <c r="J2301" s="1"/>
    </row>
    <row r="2302" spans="1:10" s="6" customFormat="1">
      <c r="A2302" s="17"/>
      <c r="C2302" s="9"/>
      <c r="D2302" s="10"/>
      <c r="E2302" s="10"/>
      <c r="F2302" s="9"/>
      <c r="G2302" s="1"/>
      <c r="H2302" s="1"/>
      <c r="I2302" s="1"/>
      <c r="J2302" s="1"/>
    </row>
    <row r="2303" spans="1:10" s="6" customFormat="1">
      <c r="A2303" s="17"/>
      <c r="C2303" s="9"/>
      <c r="D2303" s="10"/>
      <c r="E2303" s="10"/>
      <c r="F2303" s="9"/>
      <c r="G2303" s="1"/>
      <c r="H2303" s="1"/>
      <c r="I2303" s="1"/>
      <c r="J2303" s="1"/>
    </row>
    <row r="2304" spans="1:10" s="6" customFormat="1">
      <c r="A2304" s="17"/>
      <c r="C2304" s="9"/>
      <c r="D2304" s="10"/>
      <c r="E2304" s="10"/>
      <c r="F2304" s="9"/>
      <c r="G2304" s="1"/>
      <c r="H2304" s="1"/>
      <c r="I2304" s="1"/>
      <c r="J2304" s="1"/>
    </row>
    <row r="2305" spans="1:10" s="6" customFormat="1">
      <c r="A2305" s="17"/>
      <c r="C2305" s="9"/>
      <c r="D2305" s="10"/>
      <c r="E2305" s="10"/>
      <c r="F2305" s="9"/>
      <c r="G2305" s="1"/>
      <c r="H2305" s="1"/>
      <c r="I2305" s="1"/>
      <c r="J2305" s="1"/>
    </row>
    <row r="2306" spans="1:10" s="6" customFormat="1">
      <c r="A2306" s="17"/>
      <c r="C2306" s="9"/>
      <c r="D2306" s="10"/>
      <c r="E2306" s="10"/>
      <c r="F2306" s="9"/>
      <c r="G2306" s="1"/>
      <c r="H2306" s="1"/>
      <c r="I2306" s="1"/>
      <c r="J2306" s="1"/>
    </row>
    <row r="2307" spans="1:10" s="6" customFormat="1">
      <c r="A2307" s="17"/>
      <c r="C2307" s="9"/>
      <c r="D2307" s="10"/>
      <c r="E2307" s="10"/>
      <c r="F2307" s="9"/>
      <c r="G2307" s="1"/>
      <c r="H2307" s="1"/>
      <c r="I2307" s="1"/>
      <c r="J2307" s="1"/>
    </row>
    <row r="2308" spans="1:10" s="6" customFormat="1">
      <c r="A2308" s="17"/>
      <c r="C2308" s="9"/>
      <c r="D2308" s="10"/>
      <c r="E2308" s="10"/>
      <c r="F2308" s="9"/>
      <c r="G2308" s="1"/>
      <c r="H2308" s="1"/>
      <c r="I2308" s="1"/>
      <c r="J2308" s="1"/>
    </row>
    <row r="2309" spans="1:10" s="6" customFormat="1">
      <c r="A2309" s="17"/>
      <c r="C2309" s="9"/>
      <c r="D2309" s="10"/>
      <c r="E2309" s="10"/>
      <c r="F2309" s="9"/>
      <c r="G2309" s="1"/>
      <c r="H2309" s="1"/>
      <c r="I2309" s="1"/>
      <c r="J2309" s="1"/>
    </row>
    <row r="2310" spans="1:10" s="6" customFormat="1">
      <c r="A2310" s="17"/>
      <c r="C2310" s="9"/>
      <c r="D2310" s="10"/>
      <c r="E2310" s="10"/>
      <c r="F2310" s="9"/>
      <c r="G2310" s="1"/>
      <c r="H2310" s="1"/>
      <c r="I2310" s="1"/>
      <c r="J2310" s="1"/>
    </row>
    <row r="2311" spans="1:10" s="6" customFormat="1">
      <c r="A2311" s="17"/>
      <c r="C2311" s="9"/>
      <c r="D2311" s="10"/>
      <c r="E2311" s="10"/>
      <c r="F2311" s="9"/>
      <c r="G2311" s="1"/>
      <c r="H2311" s="1"/>
      <c r="I2311" s="1"/>
      <c r="J2311" s="1"/>
    </row>
    <row r="2312" spans="1:10" s="6" customFormat="1">
      <c r="A2312" s="17"/>
      <c r="C2312" s="9"/>
      <c r="D2312" s="10"/>
      <c r="E2312" s="10"/>
      <c r="F2312" s="9"/>
      <c r="G2312" s="1"/>
      <c r="H2312" s="1"/>
      <c r="I2312" s="1"/>
      <c r="J2312" s="1"/>
    </row>
    <row r="2313" spans="1:10" s="6" customFormat="1">
      <c r="A2313" s="17"/>
      <c r="C2313" s="9"/>
      <c r="D2313" s="10"/>
      <c r="E2313" s="10"/>
      <c r="F2313" s="9"/>
      <c r="G2313" s="1"/>
      <c r="H2313" s="1"/>
      <c r="I2313" s="1"/>
      <c r="J2313" s="1"/>
    </row>
    <row r="2314" spans="1:10" s="6" customFormat="1">
      <c r="A2314" s="17"/>
      <c r="C2314" s="9"/>
      <c r="D2314" s="10"/>
      <c r="E2314" s="10"/>
      <c r="F2314" s="9"/>
      <c r="G2314" s="1"/>
      <c r="H2314" s="1"/>
      <c r="I2314" s="1"/>
      <c r="J2314" s="1"/>
    </row>
    <row r="2315" spans="1:10" s="6" customFormat="1">
      <c r="A2315" s="17"/>
      <c r="C2315" s="9"/>
      <c r="D2315" s="10"/>
      <c r="E2315" s="10"/>
      <c r="F2315" s="9"/>
      <c r="G2315" s="1"/>
      <c r="H2315" s="1"/>
      <c r="I2315" s="1"/>
      <c r="J2315" s="1"/>
    </row>
    <row r="2316" spans="1:10" s="6" customFormat="1">
      <c r="A2316" s="17"/>
      <c r="C2316" s="9"/>
      <c r="D2316" s="10"/>
      <c r="E2316" s="10"/>
      <c r="F2316" s="9"/>
      <c r="G2316" s="1"/>
      <c r="H2316" s="1"/>
      <c r="I2316" s="1"/>
      <c r="J2316" s="1"/>
    </row>
    <row r="2317" spans="1:10" s="6" customFormat="1">
      <c r="A2317" s="17"/>
      <c r="C2317" s="9"/>
      <c r="D2317" s="10"/>
      <c r="E2317" s="10"/>
      <c r="F2317" s="9"/>
      <c r="G2317" s="1"/>
      <c r="H2317" s="1"/>
      <c r="I2317" s="1"/>
      <c r="J2317" s="1"/>
    </row>
    <row r="2318" spans="1:10" s="6" customFormat="1">
      <c r="A2318" s="17"/>
      <c r="C2318" s="9"/>
      <c r="D2318" s="10"/>
      <c r="E2318" s="10"/>
      <c r="F2318" s="9"/>
      <c r="G2318" s="1"/>
      <c r="H2318" s="1"/>
      <c r="I2318" s="1"/>
      <c r="J2318" s="1"/>
    </row>
    <row r="2319" spans="1:10" s="6" customFormat="1">
      <c r="A2319" s="17"/>
      <c r="C2319" s="9"/>
      <c r="D2319" s="10"/>
      <c r="E2319" s="10"/>
      <c r="F2319" s="9"/>
      <c r="G2319" s="1"/>
      <c r="H2319" s="1"/>
      <c r="I2319" s="1"/>
      <c r="J2319" s="1"/>
    </row>
    <row r="2320" spans="1:10" s="6" customFormat="1">
      <c r="A2320" s="17"/>
      <c r="C2320" s="9"/>
      <c r="D2320" s="10"/>
      <c r="E2320" s="10"/>
      <c r="F2320" s="9"/>
      <c r="G2320" s="1"/>
      <c r="H2320" s="1"/>
      <c r="I2320" s="1"/>
      <c r="J2320" s="1"/>
    </row>
    <row r="2321" spans="1:10" s="6" customFormat="1">
      <c r="A2321" s="17"/>
      <c r="C2321" s="9"/>
      <c r="D2321" s="10"/>
      <c r="E2321" s="10"/>
      <c r="F2321" s="9"/>
      <c r="G2321" s="1"/>
      <c r="H2321" s="1"/>
      <c r="I2321" s="1"/>
      <c r="J2321" s="1"/>
    </row>
    <row r="2322" spans="1:10" s="6" customFormat="1">
      <c r="A2322" s="17"/>
      <c r="C2322" s="9"/>
      <c r="D2322" s="10"/>
      <c r="E2322" s="10"/>
      <c r="F2322" s="9"/>
      <c r="G2322" s="1"/>
      <c r="H2322" s="1"/>
      <c r="I2322" s="1"/>
      <c r="J2322" s="1"/>
    </row>
    <row r="2323" spans="1:10" s="6" customFormat="1">
      <c r="A2323" s="17"/>
      <c r="C2323" s="9"/>
      <c r="D2323" s="10"/>
      <c r="E2323" s="10"/>
      <c r="F2323" s="9"/>
      <c r="G2323" s="1"/>
      <c r="H2323" s="1"/>
      <c r="I2323" s="1"/>
      <c r="J2323" s="1"/>
    </row>
    <row r="2324" spans="1:10" s="6" customFormat="1">
      <c r="A2324" s="17"/>
      <c r="C2324" s="9"/>
      <c r="D2324" s="10"/>
      <c r="E2324" s="10"/>
      <c r="F2324" s="9"/>
      <c r="G2324" s="1"/>
      <c r="H2324" s="1"/>
      <c r="I2324" s="1"/>
      <c r="J2324" s="1"/>
    </row>
    <row r="2325" spans="1:10" s="6" customFormat="1">
      <c r="A2325" s="17"/>
      <c r="C2325" s="9"/>
      <c r="D2325" s="10"/>
      <c r="E2325" s="10"/>
      <c r="F2325" s="9"/>
      <c r="G2325" s="1"/>
      <c r="H2325" s="1"/>
      <c r="I2325" s="1"/>
      <c r="J2325" s="1"/>
    </row>
    <row r="2326" spans="1:10" s="6" customFormat="1">
      <c r="A2326" s="17"/>
      <c r="C2326" s="9"/>
      <c r="D2326" s="10"/>
      <c r="E2326" s="10"/>
      <c r="F2326" s="9"/>
      <c r="G2326" s="1"/>
      <c r="H2326" s="1"/>
      <c r="I2326" s="1"/>
      <c r="J2326" s="1"/>
    </row>
    <row r="2327" spans="1:10" s="6" customFormat="1">
      <c r="A2327" s="17"/>
      <c r="C2327" s="9"/>
      <c r="D2327" s="10"/>
      <c r="E2327" s="10"/>
      <c r="F2327" s="9"/>
      <c r="G2327" s="1"/>
      <c r="H2327" s="1"/>
      <c r="I2327" s="1"/>
      <c r="J2327" s="1"/>
    </row>
    <row r="2328" spans="1:10" s="6" customFormat="1">
      <c r="A2328" s="17"/>
      <c r="C2328" s="9"/>
      <c r="D2328" s="10"/>
      <c r="E2328" s="10"/>
      <c r="F2328" s="9"/>
      <c r="G2328" s="1"/>
      <c r="H2328" s="1"/>
      <c r="I2328" s="1"/>
      <c r="J2328" s="1"/>
    </row>
    <row r="2329" spans="1:10" s="6" customFormat="1">
      <c r="A2329" s="17"/>
      <c r="C2329" s="9"/>
      <c r="D2329" s="10"/>
      <c r="E2329" s="10"/>
      <c r="F2329" s="9"/>
      <c r="G2329" s="1"/>
      <c r="H2329" s="1"/>
      <c r="I2329" s="1"/>
      <c r="J2329" s="1"/>
    </row>
    <row r="2330" spans="1:10" s="6" customFormat="1">
      <c r="A2330" s="17"/>
      <c r="C2330" s="9"/>
      <c r="D2330" s="10"/>
      <c r="E2330" s="10"/>
      <c r="F2330" s="9"/>
      <c r="G2330" s="1"/>
      <c r="H2330" s="1"/>
      <c r="I2330" s="1"/>
      <c r="J2330" s="1"/>
    </row>
    <row r="2331" spans="1:10" s="6" customFormat="1">
      <c r="A2331" s="17"/>
      <c r="C2331" s="9"/>
      <c r="D2331" s="10"/>
      <c r="E2331" s="10"/>
      <c r="F2331" s="9"/>
      <c r="G2331" s="1"/>
      <c r="H2331" s="1"/>
      <c r="I2331" s="1"/>
      <c r="J2331" s="1"/>
    </row>
    <row r="2332" spans="1:10" s="6" customFormat="1">
      <c r="A2332" s="17"/>
      <c r="C2332" s="9"/>
      <c r="D2332" s="10"/>
      <c r="E2332" s="10"/>
      <c r="F2332" s="9"/>
      <c r="G2332" s="1"/>
      <c r="H2332" s="1"/>
      <c r="I2332" s="1"/>
      <c r="J2332" s="1"/>
    </row>
    <row r="2333" spans="1:10" s="6" customFormat="1">
      <c r="A2333" s="17"/>
      <c r="C2333" s="9"/>
      <c r="D2333" s="10"/>
      <c r="E2333" s="10"/>
      <c r="F2333" s="9"/>
      <c r="G2333" s="1"/>
      <c r="H2333" s="1"/>
      <c r="I2333" s="1"/>
      <c r="J2333" s="1"/>
    </row>
    <row r="2334" spans="1:10" s="6" customFormat="1">
      <c r="A2334" s="17"/>
      <c r="C2334" s="9"/>
      <c r="D2334" s="10"/>
      <c r="E2334" s="10"/>
      <c r="F2334" s="9"/>
      <c r="G2334" s="1"/>
      <c r="H2334" s="1"/>
      <c r="I2334" s="1"/>
      <c r="J2334" s="1"/>
    </row>
    <row r="2335" spans="1:10" s="6" customFormat="1">
      <c r="A2335" s="17"/>
      <c r="C2335" s="9"/>
      <c r="D2335" s="10"/>
      <c r="E2335" s="10"/>
      <c r="F2335" s="9"/>
      <c r="G2335" s="1"/>
      <c r="H2335" s="1"/>
      <c r="I2335" s="1"/>
      <c r="J2335" s="1"/>
    </row>
    <row r="2336" spans="1:10" s="6" customFormat="1">
      <c r="A2336" s="17"/>
      <c r="C2336" s="9"/>
      <c r="D2336" s="10"/>
      <c r="E2336" s="10"/>
      <c r="F2336" s="9"/>
      <c r="G2336" s="1"/>
      <c r="H2336" s="1"/>
      <c r="I2336" s="1"/>
      <c r="J2336" s="1"/>
    </row>
    <row r="2337" spans="1:10" s="6" customFormat="1">
      <c r="A2337" s="17"/>
      <c r="C2337" s="9"/>
      <c r="D2337" s="10"/>
      <c r="E2337" s="10"/>
      <c r="F2337" s="9"/>
      <c r="G2337" s="1"/>
      <c r="H2337" s="1"/>
      <c r="I2337" s="1"/>
      <c r="J2337" s="1"/>
    </row>
    <row r="2338" spans="1:10" s="6" customFormat="1">
      <c r="A2338" s="17"/>
      <c r="C2338" s="9"/>
      <c r="D2338" s="10"/>
      <c r="E2338" s="10"/>
      <c r="F2338" s="9"/>
      <c r="G2338" s="1"/>
      <c r="H2338" s="1"/>
      <c r="I2338" s="1"/>
      <c r="J2338" s="1"/>
    </row>
    <row r="2339" spans="1:10" s="6" customFormat="1">
      <c r="A2339" s="17"/>
      <c r="C2339" s="9"/>
      <c r="D2339" s="10"/>
      <c r="E2339" s="10"/>
      <c r="F2339" s="9"/>
      <c r="G2339" s="1"/>
      <c r="H2339" s="1"/>
      <c r="I2339" s="1"/>
      <c r="J2339" s="1"/>
    </row>
    <row r="2340" spans="1:10" s="6" customFormat="1">
      <c r="A2340" s="17"/>
      <c r="C2340" s="9"/>
      <c r="D2340" s="10"/>
      <c r="E2340" s="10"/>
      <c r="F2340" s="9"/>
      <c r="G2340" s="1"/>
      <c r="H2340" s="1"/>
      <c r="I2340" s="1"/>
      <c r="J2340" s="1"/>
    </row>
    <row r="2341" spans="1:10" s="6" customFormat="1">
      <c r="A2341" s="17"/>
      <c r="C2341" s="9"/>
      <c r="D2341" s="10"/>
      <c r="E2341" s="10"/>
      <c r="F2341" s="9"/>
      <c r="G2341" s="1"/>
      <c r="H2341" s="1"/>
      <c r="I2341" s="1"/>
      <c r="J2341" s="1"/>
    </row>
    <row r="2342" spans="1:10" s="6" customFormat="1">
      <c r="A2342" s="17"/>
      <c r="C2342" s="9"/>
      <c r="D2342" s="10"/>
      <c r="E2342" s="10"/>
      <c r="F2342" s="9"/>
      <c r="G2342" s="1"/>
      <c r="H2342" s="1"/>
      <c r="I2342" s="1"/>
      <c r="J2342" s="1"/>
    </row>
    <row r="2343" spans="1:10" s="6" customFormat="1">
      <c r="A2343" s="17"/>
      <c r="C2343" s="9"/>
      <c r="D2343" s="10"/>
      <c r="E2343" s="10"/>
      <c r="F2343" s="9"/>
      <c r="G2343" s="1"/>
      <c r="H2343" s="1"/>
      <c r="I2343" s="1"/>
      <c r="J2343" s="1"/>
    </row>
    <row r="2344" spans="1:10" s="6" customFormat="1">
      <c r="A2344" s="17"/>
      <c r="C2344" s="9"/>
      <c r="D2344" s="10"/>
      <c r="E2344" s="10"/>
      <c r="F2344" s="9"/>
      <c r="G2344" s="1"/>
      <c r="H2344" s="1"/>
      <c r="I2344" s="1"/>
      <c r="J2344" s="1"/>
    </row>
    <row r="2345" spans="1:10" s="6" customFormat="1">
      <c r="A2345" s="17"/>
      <c r="C2345" s="9"/>
      <c r="D2345" s="10"/>
      <c r="E2345" s="10"/>
      <c r="F2345" s="9"/>
      <c r="G2345" s="1"/>
      <c r="H2345" s="1"/>
      <c r="I2345" s="1"/>
      <c r="J2345" s="1"/>
    </row>
    <row r="2346" spans="1:10" s="6" customFormat="1">
      <c r="A2346" s="17"/>
      <c r="C2346" s="9"/>
      <c r="D2346" s="10"/>
      <c r="E2346" s="10"/>
      <c r="F2346" s="9"/>
      <c r="G2346" s="1"/>
      <c r="H2346" s="1"/>
      <c r="I2346" s="1"/>
      <c r="J2346" s="1"/>
    </row>
    <row r="2347" spans="1:10" s="6" customFormat="1">
      <c r="A2347" s="17"/>
      <c r="C2347" s="9"/>
      <c r="D2347" s="10"/>
      <c r="E2347" s="10"/>
      <c r="F2347" s="9"/>
      <c r="G2347" s="1"/>
      <c r="H2347" s="1"/>
      <c r="I2347" s="1"/>
      <c r="J2347" s="1"/>
    </row>
    <row r="2348" spans="1:10" s="6" customFormat="1">
      <c r="A2348" s="17"/>
      <c r="C2348" s="9"/>
      <c r="D2348" s="10"/>
      <c r="E2348" s="10"/>
      <c r="F2348" s="9"/>
      <c r="G2348" s="1"/>
      <c r="H2348" s="1"/>
      <c r="I2348" s="1"/>
      <c r="J2348" s="1"/>
    </row>
    <row r="2349" spans="1:10" s="6" customFormat="1">
      <c r="A2349" s="17"/>
      <c r="C2349" s="9"/>
      <c r="D2349" s="10"/>
      <c r="E2349" s="10"/>
      <c r="F2349" s="9"/>
      <c r="G2349" s="1"/>
      <c r="H2349" s="1"/>
      <c r="I2349" s="1"/>
      <c r="J2349" s="1"/>
    </row>
    <row r="2350" spans="1:10" s="6" customFormat="1">
      <c r="A2350" s="17"/>
      <c r="C2350" s="9"/>
      <c r="D2350" s="10"/>
      <c r="E2350" s="10"/>
      <c r="F2350" s="9"/>
      <c r="G2350" s="1"/>
      <c r="H2350" s="1"/>
      <c r="I2350" s="1"/>
      <c r="J2350" s="1"/>
    </row>
    <row r="2351" spans="1:10" s="6" customFormat="1">
      <c r="A2351" s="17"/>
      <c r="C2351" s="9"/>
      <c r="D2351" s="10"/>
      <c r="E2351" s="10"/>
      <c r="F2351" s="9"/>
      <c r="G2351" s="1"/>
      <c r="H2351" s="1"/>
      <c r="I2351" s="1"/>
      <c r="J2351" s="1"/>
    </row>
    <row r="2352" spans="1:10" s="6" customFormat="1">
      <c r="A2352" s="17"/>
      <c r="C2352" s="9"/>
      <c r="D2352" s="10"/>
      <c r="E2352" s="10"/>
      <c r="F2352" s="9"/>
      <c r="G2352" s="1"/>
      <c r="H2352" s="1"/>
      <c r="I2352" s="1"/>
      <c r="J2352" s="1"/>
    </row>
    <row r="2353" spans="1:10" s="6" customFormat="1">
      <c r="A2353" s="17"/>
      <c r="C2353" s="9"/>
      <c r="D2353" s="10"/>
      <c r="E2353" s="10"/>
      <c r="F2353" s="9"/>
      <c r="G2353" s="1"/>
      <c r="H2353" s="1"/>
      <c r="I2353" s="1"/>
      <c r="J2353" s="1"/>
    </row>
    <row r="2354" spans="1:10" s="6" customFormat="1">
      <c r="A2354" s="17"/>
      <c r="C2354" s="9"/>
      <c r="D2354" s="10"/>
      <c r="E2354" s="10"/>
      <c r="F2354" s="9"/>
      <c r="G2354" s="1"/>
      <c r="H2354" s="1"/>
      <c r="I2354" s="1"/>
      <c r="J2354" s="1"/>
    </row>
    <row r="2355" spans="1:10" s="6" customFormat="1">
      <c r="A2355" s="17"/>
      <c r="C2355" s="9"/>
      <c r="D2355" s="10"/>
      <c r="E2355" s="10"/>
      <c r="F2355" s="9"/>
      <c r="G2355" s="1"/>
      <c r="H2355" s="1"/>
      <c r="I2355" s="1"/>
      <c r="J2355" s="1"/>
    </row>
    <row r="2356" spans="1:10" s="6" customFormat="1">
      <c r="A2356" s="17"/>
      <c r="C2356" s="9"/>
      <c r="D2356" s="10"/>
      <c r="E2356" s="10"/>
      <c r="F2356" s="9"/>
      <c r="G2356" s="1"/>
      <c r="H2356" s="1"/>
      <c r="I2356" s="1"/>
      <c r="J2356" s="1"/>
    </row>
    <row r="2357" spans="1:10" s="6" customFormat="1">
      <c r="A2357" s="17"/>
      <c r="C2357" s="9"/>
      <c r="D2357" s="10"/>
      <c r="E2357" s="10"/>
      <c r="F2357" s="9"/>
      <c r="G2357" s="1"/>
      <c r="H2357" s="1"/>
      <c r="I2357" s="1"/>
      <c r="J2357" s="1"/>
    </row>
    <row r="2358" spans="1:10" s="6" customFormat="1">
      <c r="A2358" s="17"/>
      <c r="C2358" s="9"/>
      <c r="D2358" s="10"/>
      <c r="E2358" s="10"/>
      <c r="F2358" s="9"/>
      <c r="G2358" s="1"/>
      <c r="H2358" s="1"/>
      <c r="I2358" s="1"/>
      <c r="J2358" s="1"/>
    </row>
    <row r="2359" spans="1:10" s="6" customFormat="1">
      <c r="A2359" s="17"/>
      <c r="C2359" s="9"/>
      <c r="D2359" s="10"/>
      <c r="E2359" s="10"/>
      <c r="F2359" s="9"/>
      <c r="G2359" s="1"/>
      <c r="H2359" s="1"/>
      <c r="I2359" s="1"/>
      <c r="J2359" s="1"/>
    </row>
    <row r="2360" spans="1:10" s="6" customFormat="1">
      <c r="A2360" s="17"/>
      <c r="C2360" s="9"/>
      <c r="D2360" s="10"/>
      <c r="E2360" s="10"/>
      <c r="F2360" s="9"/>
      <c r="G2360" s="1"/>
      <c r="H2360" s="1"/>
      <c r="I2360" s="1"/>
      <c r="J2360" s="1"/>
    </row>
    <row r="2361" spans="1:10" s="6" customFormat="1">
      <c r="A2361" s="17"/>
      <c r="C2361" s="9"/>
      <c r="D2361" s="10"/>
      <c r="E2361" s="10"/>
      <c r="F2361" s="9"/>
      <c r="G2361" s="1"/>
      <c r="H2361" s="1"/>
      <c r="I2361" s="1"/>
      <c r="J2361" s="1"/>
    </row>
    <row r="2362" spans="1:10" s="6" customFormat="1">
      <c r="A2362" s="17"/>
      <c r="C2362" s="9"/>
      <c r="D2362" s="10"/>
      <c r="E2362" s="10"/>
      <c r="F2362" s="9"/>
      <c r="G2362" s="1"/>
      <c r="H2362" s="1"/>
      <c r="I2362" s="1"/>
      <c r="J2362" s="1"/>
    </row>
    <row r="2363" spans="1:10" s="6" customFormat="1">
      <c r="A2363" s="17"/>
      <c r="C2363" s="9"/>
      <c r="D2363" s="10"/>
      <c r="E2363" s="10"/>
      <c r="F2363" s="9"/>
      <c r="G2363" s="1"/>
      <c r="H2363" s="1"/>
      <c r="I2363" s="1"/>
      <c r="J2363" s="1"/>
    </row>
    <row r="2364" spans="1:10" s="6" customFormat="1">
      <c r="A2364" s="17"/>
      <c r="C2364" s="9"/>
      <c r="D2364" s="10"/>
      <c r="E2364" s="10"/>
      <c r="F2364" s="9"/>
      <c r="G2364" s="1"/>
      <c r="H2364" s="1"/>
      <c r="I2364" s="1"/>
      <c r="J2364" s="1"/>
    </row>
    <row r="2365" spans="1:10" s="6" customFormat="1">
      <c r="A2365" s="17"/>
      <c r="C2365" s="9"/>
      <c r="D2365" s="10"/>
      <c r="E2365" s="10"/>
      <c r="F2365" s="9"/>
      <c r="G2365" s="1"/>
      <c r="H2365" s="1"/>
      <c r="I2365" s="1"/>
      <c r="J2365" s="1"/>
    </row>
    <row r="2366" spans="1:10" s="6" customFormat="1">
      <c r="A2366" s="17"/>
      <c r="C2366" s="9"/>
      <c r="D2366" s="10"/>
      <c r="E2366" s="10"/>
      <c r="F2366" s="9"/>
      <c r="G2366" s="1"/>
      <c r="H2366" s="1"/>
      <c r="I2366" s="1"/>
      <c r="J2366" s="1"/>
    </row>
    <row r="2367" spans="1:10" s="6" customFormat="1">
      <c r="A2367" s="17"/>
      <c r="C2367" s="9"/>
      <c r="D2367" s="10"/>
      <c r="E2367" s="10"/>
      <c r="F2367" s="9"/>
      <c r="G2367" s="1"/>
      <c r="H2367" s="1"/>
      <c r="I2367" s="1"/>
      <c r="J2367" s="1"/>
    </row>
    <row r="2368" spans="1:10" s="6" customFormat="1">
      <c r="A2368" s="17"/>
      <c r="C2368" s="9"/>
      <c r="D2368" s="10"/>
      <c r="E2368" s="10"/>
      <c r="F2368" s="9"/>
      <c r="G2368" s="1"/>
      <c r="H2368" s="1"/>
      <c r="I2368" s="1"/>
      <c r="J2368" s="1"/>
    </row>
    <row r="2369" spans="1:10" s="6" customFormat="1">
      <c r="A2369" s="17"/>
      <c r="C2369" s="9"/>
      <c r="D2369" s="10"/>
      <c r="E2369" s="10"/>
      <c r="F2369" s="9"/>
      <c r="G2369" s="1"/>
      <c r="H2369" s="1"/>
      <c r="I2369" s="1"/>
      <c r="J2369" s="1"/>
    </row>
    <row r="2370" spans="1:10" s="6" customFormat="1">
      <c r="A2370" s="17"/>
      <c r="C2370" s="9"/>
      <c r="D2370" s="10"/>
      <c r="E2370" s="10"/>
      <c r="F2370" s="9"/>
      <c r="G2370" s="1"/>
      <c r="H2370" s="1"/>
      <c r="I2370" s="1"/>
      <c r="J2370" s="1"/>
    </row>
    <row r="2371" spans="1:10" s="6" customFormat="1">
      <c r="A2371" s="17"/>
      <c r="C2371" s="9"/>
      <c r="D2371" s="10"/>
      <c r="E2371" s="10"/>
      <c r="F2371" s="9"/>
      <c r="G2371" s="1"/>
      <c r="H2371" s="1"/>
      <c r="I2371" s="1"/>
      <c r="J2371" s="1"/>
    </row>
    <row r="2372" spans="1:10" s="6" customFormat="1">
      <c r="A2372" s="17"/>
      <c r="C2372" s="9"/>
      <c r="D2372" s="10"/>
      <c r="E2372" s="10"/>
      <c r="F2372" s="9"/>
      <c r="G2372" s="1"/>
      <c r="H2372" s="1"/>
      <c r="I2372" s="1"/>
      <c r="J2372" s="1"/>
    </row>
    <row r="2373" spans="1:10" s="6" customFormat="1">
      <c r="A2373" s="17"/>
      <c r="C2373" s="9"/>
      <c r="D2373" s="10"/>
      <c r="E2373" s="10"/>
      <c r="F2373" s="9"/>
      <c r="G2373" s="1"/>
      <c r="H2373" s="1"/>
      <c r="I2373" s="1"/>
      <c r="J2373" s="1"/>
    </row>
    <row r="2374" spans="1:10" s="6" customFormat="1">
      <c r="A2374" s="17"/>
      <c r="C2374" s="9"/>
      <c r="D2374" s="10"/>
      <c r="E2374" s="10"/>
      <c r="F2374" s="9"/>
      <c r="G2374" s="1"/>
      <c r="H2374" s="1"/>
      <c r="I2374" s="1"/>
      <c r="J2374" s="1"/>
    </row>
    <row r="2375" spans="1:10" s="6" customFormat="1">
      <c r="A2375" s="17"/>
      <c r="C2375" s="9"/>
      <c r="D2375" s="10"/>
      <c r="E2375" s="10"/>
      <c r="F2375" s="9"/>
      <c r="G2375" s="1"/>
      <c r="H2375" s="1"/>
      <c r="I2375" s="1"/>
      <c r="J2375" s="1"/>
    </row>
    <row r="2376" spans="1:10" s="6" customFormat="1">
      <c r="A2376" s="17"/>
      <c r="C2376" s="9"/>
      <c r="D2376" s="10"/>
      <c r="E2376" s="10"/>
      <c r="F2376" s="9"/>
      <c r="G2376" s="1"/>
      <c r="H2376" s="1"/>
      <c r="I2376" s="1"/>
      <c r="J2376" s="1"/>
    </row>
    <row r="2377" spans="1:10" s="6" customFormat="1">
      <c r="A2377" s="17"/>
      <c r="C2377" s="9"/>
      <c r="D2377" s="10"/>
      <c r="E2377" s="10"/>
      <c r="F2377" s="9"/>
      <c r="G2377" s="1"/>
      <c r="H2377" s="1"/>
      <c r="I2377" s="1"/>
      <c r="J2377" s="1"/>
    </row>
    <row r="2378" spans="1:10" s="6" customFormat="1">
      <c r="A2378" s="17"/>
      <c r="C2378" s="9"/>
      <c r="D2378" s="10"/>
      <c r="E2378" s="10"/>
      <c r="F2378" s="9"/>
      <c r="G2378" s="1"/>
      <c r="H2378" s="1"/>
      <c r="I2378" s="1"/>
      <c r="J2378" s="1"/>
    </row>
    <row r="2379" spans="1:10" s="6" customFormat="1">
      <c r="A2379" s="17"/>
      <c r="C2379" s="9"/>
      <c r="D2379" s="10"/>
      <c r="E2379" s="10"/>
      <c r="F2379" s="9"/>
      <c r="G2379" s="1"/>
      <c r="H2379" s="1"/>
      <c r="I2379" s="1"/>
      <c r="J2379" s="1"/>
    </row>
    <row r="2380" spans="1:10" s="6" customFormat="1">
      <c r="A2380" s="17"/>
      <c r="C2380" s="9"/>
      <c r="D2380" s="10"/>
      <c r="E2380" s="10"/>
      <c r="F2380" s="9"/>
      <c r="G2380" s="1"/>
      <c r="H2380" s="1"/>
      <c r="I2380" s="1"/>
      <c r="J2380" s="1"/>
    </row>
    <row r="2381" spans="1:10" s="6" customFormat="1">
      <c r="A2381" s="17"/>
      <c r="C2381" s="9"/>
      <c r="D2381" s="10"/>
      <c r="E2381" s="10"/>
      <c r="F2381" s="9"/>
      <c r="G2381" s="1"/>
      <c r="H2381" s="1"/>
      <c r="I2381" s="1"/>
      <c r="J2381" s="1"/>
    </row>
    <row r="2382" spans="1:10" s="6" customFormat="1">
      <c r="A2382" s="17"/>
      <c r="C2382" s="9"/>
      <c r="D2382" s="10"/>
      <c r="E2382" s="10"/>
      <c r="F2382" s="9"/>
      <c r="G2382" s="1"/>
      <c r="H2382" s="1"/>
      <c r="I2382" s="1"/>
      <c r="J2382" s="1"/>
    </row>
    <row r="2383" spans="1:10" s="6" customFormat="1">
      <c r="A2383" s="17"/>
      <c r="C2383" s="9"/>
      <c r="D2383" s="10"/>
      <c r="E2383" s="10"/>
      <c r="F2383" s="9"/>
      <c r="G2383" s="1"/>
      <c r="H2383" s="1"/>
      <c r="I2383" s="1"/>
      <c r="J2383" s="1"/>
    </row>
    <row r="2384" spans="1:10" s="6" customFormat="1">
      <c r="A2384" s="17"/>
      <c r="C2384" s="9"/>
      <c r="D2384" s="10"/>
      <c r="E2384" s="10"/>
      <c r="F2384" s="9"/>
      <c r="G2384" s="1"/>
      <c r="H2384" s="1"/>
      <c r="I2384" s="1"/>
      <c r="J2384" s="1"/>
    </row>
    <row r="2385" spans="1:10" s="6" customFormat="1">
      <c r="A2385" s="17"/>
      <c r="C2385" s="9"/>
      <c r="D2385" s="10"/>
      <c r="E2385" s="10"/>
      <c r="F2385" s="9"/>
      <c r="G2385" s="1"/>
      <c r="H2385" s="1"/>
      <c r="I2385" s="1"/>
      <c r="J2385" s="1"/>
    </row>
    <row r="2386" spans="1:10" s="6" customFormat="1">
      <c r="A2386" s="17"/>
      <c r="C2386" s="9"/>
      <c r="D2386" s="10"/>
      <c r="E2386" s="10"/>
      <c r="F2386" s="9"/>
      <c r="G2386" s="1"/>
      <c r="H2386" s="1"/>
      <c r="I2386" s="1"/>
      <c r="J2386" s="1"/>
    </row>
    <row r="2387" spans="1:10" s="6" customFormat="1">
      <c r="A2387" s="17"/>
      <c r="C2387" s="9"/>
      <c r="D2387" s="10"/>
      <c r="E2387" s="10"/>
      <c r="F2387" s="9"/>
      <c r="G2387" s="1"/>
      <c r="H2387" s="1"/>
      <c r="I2387" s="1"/>
      <c r="J2387" s="1"/>
    </row>
    <row r="2388" spans="1:10" s="6" customFormat="1">
      <c r="A2388" s="17"/>
      <c r="C2388" s="9"/>
      <c r="D2388" s="10"/>
      <c r="E2388" s="10"/>
      <c r="F2388" s="9"/>
      <c r="G2388" s="1"/>
      <c r="H2388" s="1"/>
      <c r="I2388" s="1"/>
      <c r="J2388" s="1"/>
    </row>
    <row r="2389" spans="1:10" s="6" customFormat="1">
      <c r="A2389" s="17"/>
      <c r="C2389" s="9"/>
      <c r="D2389" s="10"/>
      <c r="E2389" s="10"/>
      <c r="F2389" s="9"/>
      <c r="G2389" s="1"/>
      <c r="H2389" s="1"/>
      <c r="I2389" s="1"/>
      <c r="J2389" s="1"/>
    </row>
    <row r="2390" spans="1:10" s="6" customFormat="1">
      <c r="A2390" s="17"/>
      <c r="C2390" s="9"/>
      <c r="D2390" s="10"/>
      <c r="E2390" s="10"/>
      <c r="F2390" s="9"/>
      <c r="G2390" s="1"/>
      <c r="H2390" s="1"/>
      <c r="I2390" s="1"/>
      <c r="J2390" s="1"/>
    </row>
    <row r="2391" spans="1:10" s="6" customFormat="1">
      <c r="A2391" s="17"/>
      <c r="C2391" s="9"/>
      <c r="D2391" s="10"/>
      <c r="E2391" s="10"/>
      <c r="F2391" s="9"/>
      <c r="G2391" s="1"/>
      <c r="H2391" s="1"/>
      <c r="I2391" s="1"/>
      <c r="J2391" s="1"/>
    </row>
    <row r="2392" spans="1:10" s="6" customFormat="1">
      <c r="A2392" s="17"/>
      <c r="C2392" s="9"/>
      <c r="D2392" s="10"/>
      <c r="E2392" s="10"/>
      <c r="F2392" s="9"/>
      <c r="G2392" s="1"/>
      <c r="H2392" s="1"/>
      <c r="I2392" s="1"/>
      <c r="J2392" s="1"/>
    </row>
    <row r="2393" spans="1:10" s="6" customFormat="1">
      <c r="A2393" s="17"/>
      <c r="C2393" s="9"/>
      <c r="D2393" s="10"/>
      <c r="E2393" s="10"/>
      <c r="F2393" s="9"/>
      <c r="G2393" s="1"/>
      <c r="H2393" s="1"/>
      <c r="I2393" s="1"/>
      <c r="J2393" s="1"/>
    </row>
    <row r="2394" spans="1:10" s="6" customFormat="1">
      <c r="A2394" s="17"/>
      <c r="C2394" s="9"/>
      <c r="D2394" s="10"/>
      <c r="E2394" s="10"/>
      <c r="F2394" s="9"/>
      <c r="G2394" s="1"/>
      <c r="H2394" s="1"/>
      <c r="I2394" s="1"/>
      <c r="J2394" s="1"/>
    </row>
    <row r="2395" spans="1:10" s="6" customFormat="1">
      <c r="A2395" s="17"/>
      <c r="C2395" s="9"/>
      <c r="D2395" s="10"/>
      <c r="E2395" s="10"/>
      <c r="F2395" s="9"/>
      <c r="G2395" s="1"/>
      <c r="H2395" s="1"/>
      <c r="I2395" s="1"/>
      <c r="J2395" s="1"/>
    </row>
    <row r="2396" spans="1:10" s="6" customFormat="1">
      <c r="A2396" s="17"/>
      <c r="C2396" s="9"/>
      <c r="D2396" s="10"/>
      <c r="E2396" s="10"/>
      <c r="F2396" s="9"/>
      <c r="G2396" s="1"/>
      <c r="H2396" s="1"/>
      <c r="I2396" s="1"/>
      <c r="J2396" s="1"/>
    </row>
    <row r="2397" spans="1:10" s="6" customFormat="1">
      <c r="A2397" s="17"/>
      <c r="C2397" s="9"/>
      <c r="D2397" s="10"/>
      <c r="E2397" s="10"/>
      <c r="F2397" s="9"/>
      <c r="G2397" s="1"/>
      <c r="H2397" s="1"/>
      <c r="I2397" s="1"/>
      <c r="J2397" s="1"/>
    </row>
    <row r="2398" spans="1:10" s="6" customFormat="1">
      <c r="A2398" s="17"/>
      <c r="C2398" s="9"/>
      <c r="D2398" s="10"/>
      <c r="E2398" s="10"/>
      <c r="F2398" s="9"/>
      <c r="G2398" s="1"/>
      <c r="H2398" s="1"/>
      <c r="I2398" s="1"/>
      <c r="J2398" s="1"/>
    </row>
    <row r="2399" spans="1:10" s="6" customFormat="1">
      <c r="A2399" s="17"/>
      <c r="C2399" s="9"/>
      <c r="D2399" s="10"/>
      <c r="E2399" s="10"/>
      <c r="F2399" s="9"/>
      <c r="G2399" s="1"/>
      <c r="H2399" s="1"/>
      <c r="I2399" s="1"/>
      <c r="J2399" s="1"/>
    </row>
    <row r="2400" spans="1:10" s="6" customFormat="1">
      <c r="A2400" s="17"/>
      <c r="C2400" s="9"/>
      <c r="D2400" s="10"/>
      <c r="E2400" s="10"/>
      <c r="F2400" s="9"/>
      <c r="G2400" s="1"/>
      <c r="H2400" s="1"/>
      <c r="I2400" s="1"/>
      <c r="J2400" s="1"/>
    </row>
    <row r="2401" spans="1:10" s="6" customFormat="1">
      <c r="A2401" s="17"/>
      <c r="C2401" s="9"/>
      <c r="D2401" s="10"/>
      <c r="E2401" s="10"/>
      <c r="F2401" s="9"/>
      <c r="G2401" s="1"/>
      <c r="H2401" s="1"/>
      <c r="I2401" s="1"/>
      <c r="J2401" s="1"/>
    </row>
    <row r="2402" spans="1:10" s="6" customFormat="1">
      <c r="A2402" s="17"/>
      <c r="C2402" s="9"/>
      <c r="D2402" s="10"/>
      <c r="E2402" s="10"/>
      <c r="F2402" s="9"/>
      <c r="G2402" s="1"/>
      <c r="H2402" s="1"/>
      <c r="I2402" s="1"/>
      <c r="J2402" s="1"/>
    </row>
    <row r="2403" spans="1:10" s="6" customFormat="1">
      <c r="A2403" s="17"/>
      <c r="C2403" s="9"/>
      <c r="D2403" s="10"/>
      <c r="E2403" s="10"/>
      <c r="F2403" s="9"/>
      <c r="G2403" s="1"/>
      <c r="H2403" s="1"/>
      <c r="I2403" s="1"/>
      <c r="J2403" s="1"/>
    </row>
    <row r="2404" spans="1:10" s="6" customFormat="1">
      <c r="A2404" s="17"/>
      <c r="C2404" s="9"/>
      <c r="D2404" s="10"/>
      <c r="E2404" s="10"/>
      <c r="F2404" s="9"/>
      <c r="G2404" s="1"/>
      <c r="H2404" s="1"/>
      <c r="I2404" s="1"/>
      <c r="J2404" s="1"/>
    </row>
    <row r="2405" spans="1:10" s="6" customFormat="1">
      <c r="A2405" s="17"/>
      <c r="C2405" s="9"/>
      <c r="D2405" s="10"/>
      <c r="E2405" s="10"/>
      <c r="F2405" s="9"/>
      <c r="G2405" s="1"/>
      <c r="H2405" s="1"/>
      <c r="I2405" s="1"/>
      <c r="J2405" s="1"/>
    </row>
    <row r="2406" spans="1:10" s="6" customFormat="1">
      <c r="A2406" s="17"/>
      <c r="C2406" s="9"/>
      <c r="D2406" s="10"/>
      <c r="E2406" s="10"/>
      <c r="F2406" s="9"/>
      <c r="G2406" s="1"/>
      <c r="H2406" s="1"/>
      <c r="I2406" s="1"/>
      <c r="J2406" s="1"/>
    </row>
    <row r="2407" spans="1:10" s="6" customFormat="1">
      <c r="A2407" s="17"/>
      <c r="C2407" s="9"/>
      <c r="D2407" s="10"/>
      <c r="E2407" s="10"/>
      <c r="F2407" s="9"/>
      <c r="G2407" s="1"/>
      <c r="H2407" s="1"/>
      <c r="I2407" s="1"/>
      <c r="J2407" s="1"/>
    </row>
    <row r="2408" spans="1:10" s="6" customFormat="1">
      <c r="A2408" s="17"/>
      <c r="C2408" s="9"/>
      <c r="D2408" s="10"/>
      <c r="E2408" s="10"/>
      <c r="F2408" s="9"/>
      <c r="G2408" s="1"/>
      <c r="H2408" s="1"/>
      <c r="I2408" s="1"/>
      <c r="J2408" s="1"/>
    </row>
    <row r="2409" spans="1:10" s="6" customFormat="1">
      <c r="A2409" s="17"/>
      <c r="C2409" s="9"/>
      <c r="D2409" s="10"/>
      <c r="E2409" s="10"/>
      <c r="F2409" s="9"/>
      <c r="G2409" s="1"/>
      <c r="H2409" s="1"/>
      <c r="I2409" s="1"/>
      <c r="J2409" s="1"/>
    </row>
    <row r="2410" spans="1:10" s="6" customFormat="1">
      <c r="A2410" s="17"/>
      <c r="C2410" s="9"/>
      <c r="D2410" s="10"/>
      <c r="E2410" s="10"/>
      <c r="F2410" s="9"/>
      <c r="G2410" s="1"/>
      <c r="H2410" s="1"/>
      <c r="I2410" s="1"/>
      <c r="J2410" s="1"/>
    </row>
    <row r="2411" spans="1:10" s="6" customFormat="1">
      <c r="A2411" s="17"/>
      <c r="C2411" s="9"/>
      <c r="D2411" s="10"/>
      <c r="E2411" s="10"/>
      <c r="F2411" s="9"/>
      <c r="G2411" s="1"/>
      <c r="H2411" s="1"/>
      <c r="I2411" s="1"/>
      <c r="J2411" s="1"/>
    </row>
    <row r="2412" spans="1:10" s="6" customFormat="1">
      <c r="A2412" s="17"/>
      <c r="C2412" s="9"/>
      <c r="D2412" s="10"/>
      <c r="E2412" s="10"/>
      <c r="F2412" s="9"/>
      <c r="G2412" s="1"/>
      <c r="H2412" s="1"/>
      <c r="I2412" s="1"/>
      <c r="J2412" s="1"/>
    </row>
    <row r="2413" spans="1:10" s="6" customFormat="1">
      <c r="A2413" s="17"/>
      <c r="C2413" s="9"/>
      <c r="D2413" s="10"/>
      <c r="E2413" s="10"/>
      <c r="F2413" s="9"/>
      <c r="G2413" s="1"/>
      <c r="H2413" s="1"/>
      <c r="I2413" s="1"/>
      <c r="J2413" s="1"/>
    </row>
    <row r="2414" spans="1:10" s="6" customFormat="1">
      <c r="A2414" s="17"/>
      <c r="C2414" s="9"/>
      <c r="D2414" s="10"/>
      <c r="E2414" s="10"/>
      <c r="F2414" s="9"/>
      <c r="G2414" s="1"/>
      <c r="H2414" s="1"/>
      <c r="I2414" s="1"/>
      <c r="J2414" s="1"/>
    </row>
    <row r="2415" spans="1:10" s="6" customFormat="1">
      <c r="A2415" s="17"/>
      <c r="C2415" s="9"/>
      <c r="D2415" s="10"/>
      <c r="E2415" s="10"/>
      <c r="F2415" s="9"/>
      <c r="G2415" s="1"/>
      <c r="H2415" s="1"/>
      <c r="I2415" s="1"/>
      <c r="J2415" s="1"/>
    </row>
    <row r="2416" spans="1:10" s="6" customFormat="1">
      <c r="A2416" s="17"/>
      <c r="C2416" s="9"/>
      <c r="D2416" s="10"/>
      <c r="E2416" s="10"/>
      <c r="F2416" s="9"/>
      <c r="G2416" s="1"/>
      <c r="H2416" s="1"/>
      <c r="I2416" s="1"/>
      <c r="J2416" s="1"/>
    </row>
    <row r="2417" spans="1:10" s="6" customFormat="1">
      <c r="A2417" s="17"/>
      <c r="C2417" s="9"/>
      <c r="D2417" s="10"/>
      <c r="E2417" s="10"/>
      <c r="F2417" s="9"/>
      <c r="G2417" s="1"/>
      <c r="H2417" s="1"/>
      <c r="I2417" s="1"/>
      <c r="J2417" s="1"/>
    </row>
    <row r="2418" spans="1:10" s="6" customFormat="1">
      <c r="A2418" s="17"/>
      <c r="C2418" s="9"/>
      <c r="D2418" s="10"/>
      <c r="E2418" s="10"/>
      <c r="F2418" s="9"/>
      <c r="G2418" s="1"/>
      <c r="H2418" s="1"/>
      <c r="I2418" s="1"/>
      <c r="J2418" s="1"/>
    </row>
    <row r="2419" spans="1:10" s="6" customFormat="1">
      <c r="A2419" s="17"/>
      <c r="C2419" s="9"/>
      <c r="D2419" s="10"/>
      <c r="E2419" s="10"/>
      <c r="F2419" s="9"/>
      <c r="G2419" s="1"/>
      <c r="H2419" s="1"/>
      <c r="I2419" s="1"/>
      <c r="J2419" s="1"/>
    </row>
    <row r="2420" spans="1:10" s="6" customFormat="1">
      <c r="A2420" s="17"/>
      <c r="C2420" s="9"/>
      <c r="D2420" s="10"/>
      <c r="E2420" s="10"/>
      <c r="F2420" s="9"/>
      <c r="G2420" s="1"/>
      <c r="H2420" s="1"/>
      <c r="I2420" s="1"/>
      <c r="J2420" s="1"/>
    </row>
    <row r="2421" spans="1:10" s="6" customFormat="1">
      <c r="A2421" s="17"/>
      <c r="C2421" s="9"/>
      <c r="D2421" s="10"/>
      <c r="E2421" s="10"/>
      <c r="F2421" s="9"/>
      <c r="G2421" s="1"/>
      <c r="H2421" s="1"/>
      <c r="I2421" s="1"/>
      <c r="J2421" s="1"/>
    </row>
    <row r="2422" spans="1:10" s="6" customFormat="1">
      <c r="A2422" s="17"/>
      <c r="C2422" s="9"/>
      <c r="D2422" s="10"/>
      <c r="E2422" s="10"/>
      <c r="F2422" s="9"/>
      <c r="G2422" s="1"/>
      <c r="H2422" s="1"/>
      <c r="I2422" s="1"/>
      <c r="J2422" s="1"/>
    </row>
    <row r="2423" spans="1:10" s="6" customFormat="1">
      <c r="A2423" s="17"/>
      <c r="C2423" s="9"/>
      <c r="D2423" s="10"/>
      <c r="E2423" s="10"/>
      <c r="F2423" s="9"/>
      <c r="G2423" s="1"/>
      <c r="H2423" s="1"/>
      <c r="I2423" s="1"/>
      <c r="J2423" s="1"/>
    </row>
    <row r="2424" spans="1:10" s="6" customFormat="1">
      <c r="A2424" s="17"/>
      <c r="C2424" s="9"/>
      <c r="D2424" s="10"/>
      <c r="E2424" s="10"/>
      <c r="F2424" s="9"/>
      <c r="G2424" s="1"/>
      <c r="H2424" s="1"/>
      <c r="I2424" s="1"/>
      <c r="J2424" s="1"/>
    </row>
    <row r="2425" spans="1:10" s="6" customFormat="1">
      <c r="A2425" s="17"/>
      <c r="C2425" s="9"/>
      <c r="D2425" s="10"/>
      <c r="E2425" s="10"/>
      <c r="F2425" s="9"/>
      <c r="G2425" s="1"/>
      <c r="H2425" s="1"/>
      <c r="I2425" s="1"/>
      <c r="J2425" s="1"/>
    </row>
    <row r="2426" spans="1:10" s="6" customFormat="1">
      <c r="A2426" s="17"/>
      <c r="C2426" s="9"/>
      <c r="D2426" s="10"/>
      <c r="E2426" s="10"/>
      <c r="F2426" s="9"/>
      <c r="G2426" s="1"/>
      <c r="H2426" s="1"/>
      <c r="I2426" s="1"/>
      <c r="J2426" s="1"/>
    </row>
    <row r="2427" spans="1:10" s="6" customFormat="1">
      <c r="A2427" s="17"/>
      <c r="C2427" s="9"/>
      <c r="D2427" s="10"/>
      <c r="E2427" s="10"/>
      <c r="F2427" s="9"/>
      <c r="G2427" s="1"/>
      <c r="H2427" s="1"/>
      <c r="I2427" s="1"/>
      <c r="J2427" s="1"/>
    </row>
    <row r="2428" spans="1:10" s="6" customFormat="1">
      <c r="A2428" s="17"/>
      <c r="C2428" s="9"/>
      <c r="D2428" s="10"/>
      <c r="E2428" s="10"/>
      <c r="F2428" s="9"/>
      <c r="G2428" s="1"/>
      <c r="H2428" s="1"/>
      <c r="I2428" s="1"/>
      <c r="J2428" s="1"/>
    </row>
    <row r="2429" spans="1:10" s="6" customFormat="1">
      <c r="A2429" s="17"/>
      <c r="C2429" s="9"/>
      <c r="D2429" s="10"/>
      <c r="E2429" s="10"/>
      <c r="F2429" s="9"/>
      <c r="G2429" s="1"/>
      <c r="H2429" s="1"/>
      <c r="I2429" s="1"/>
      <c r="J2429" s="1"/>
    </row>
    <row r="2430" spans="1:10" s="6" customFormat="1">
      <c r="A2430" s="17"/>
      <c r="C2430" s="9"/>
      <c r="D2430" s="10"/>
      <c r="E2430" s="10"/>
      <c r="F2430" s="9"/>
      <c r="G2430" s="1"/>
      <c r="H2430" s="1"/>
      <c r="I2430" s="1"/>
      <c r="J2430" s="1"/>
    </row>
    <row r="2431" spans="1:10" s="6" customFormat="1">
      <c r="A2431" s="17"/>
      <c r="C2431" s="9"/>
      <c r="D2431" s="10"/>
      <c r="E2431" s="10"/>
      <c r="F2431" s="9"/>
      <c r="G2431" s="1"/>
      <c r="H2431" s="1"/>
      <c r="I2431" s="1"/>
      <c r="J2431" s="1"/>
    </row>
    <row r="2432" spans="1:10" s="6" customFormat="1">
      <c r="A2432" s="17"/>
      <c r="C2432" s="9"/>
      <c r="D2432" s="10"/>
      <c r="E2432" s="10"/>
      <c r="F2432" s="9"/>
      <c r="G2432" s="1"/>
      <c r="H2432" s="1"/>
      <c r="I2432" s="1"/>
      <c r="J2432" s="1"/>
    </row>
    <row r="2433" spans="1:10" s="6" customFormat="1">
      <c r="A2433" s="17"/>
      <c r="C2433" s="9"/>
      <c r="D2433" s="10"/>
      <c r="E2433" s="10"/>
      <c r="F2433" s="9"/>
      <c r="G2433" s="1"/>
      <c r="H2433" s="1"/>
      <c r="I2433" s="1"/>
      <c r="J2433" s="1"/>
    </row>
    <row r="2434" spans="1:10" s="6" customFormat="1">
      <c r="A2434" s="17"/>
      <c r="C2434" s="9"/>
      <c r="D2434" s="10"/>
      <c r="E2434" s="10"/>
      <c r="F2434" s="9"/>
      <c r="G2434" s="1"/>
      <c r="H2434" s="1"/>
      <c r="I2434" s="1"/>
      <c r="J2434" s="1"/>
    </row>
    <row r="2435" spans="1:10" s="6" customFormat="1">
      <c r="A2435" s="17"/>
      <c r="C2435" s="9"/>
      <c r="D2435" s="10"/>
      <c r="E2435" s="10"/>
      <c r="F2435" s="9"/>
      <c r="G2435" s="1"/>
      <c r="H2435" s="1"/>
      <c r="I2435" s="1"/>
      <c r="J2435" s="1"/>
    </row>
    <row r="2436" spans="1:10" s="6" customFormat="1">
      <c r="A2436" s="17"/>
      <c r="C2436" s="9"/>
      <c r="D2436" s="10"/>
      <c r="E2436" s="10"/>
      <c r="F2436" s="9"/>
      <c r="G2436" s="1"/>
      <c r="H2436" s="1"/>
      <c r="I2436" s="1"/>
      <c r="J2436" s="1"/>
    </row>
    <row r="2437" spans="1:10" s="6" customFormat="1">
      <c r="A2437" s="17"/>
      <c r="C2437" s="9"/>
      <c r="D2437" s="10"/>
      <c r="E2437" s="10"/>
      <c r="F2437" s="9"/>
      <c r="G2437" s="1"/>
      <c r="H2437" s="1"/>
      <c r="I2437" s="1"/>
      <c r="J2437" s="1"/>
    </row>
    <row r="2438" spans="1:10" s="6" customFormat="1">
      <c r="A2438" s="17"/>
      <c r="C2438" s="9"/>
      <c r="D2438" s="10"/>
      <c r="E2438" s="10"/>
      <c r="F2438" s="9"/>
      <c r="G2438" s="1"/>
      <c r="H2438" s="1"/>
      <c r="I2438" s="1"/>
      <c r="J2438" s="1"/>
    </row>
    <row r="2439" spans="1:10" s="6" customFormat="1">
      <c r="A2439" s="17"/>
      <c r="C2439" s="9"/>
      <c r="D2439" s="10"/>
      <c r="E2439" s="10"/>
      <c r="F2439" s="9"/>
      <c r="G2439" s="1"/>
      <c r="H2439" s="1"/>
      <c r="I2439" s="1"/>
      <c r="J2439" s="1"/>
    </row>
    <row r="2440" spans="1:10" s="6" customFormat="1">
      <c r="A2440" s="17"/>
      <c r="C2440" s="9"/>
      <c r="D2440" s="10"/>
      <c r="E2440" s="10"/>
      <c r="F2440" s="9"/>
      <c r="G2440" s="1"/>
      <c r="H2440" s="1"/>
      <c r="I2440" s="1"/>
      <c r="J2440" s="1"/>
    </row>
    <row r="2441" spans="1:10" s="6" customFormat="1">
      <c r="A2441" s="17"/>
      <c r="C2441" s="9"/>
      <c r="D2441" s="10"/>
      <c r="E2441" s="10"/>
      <c r="F2441" s="9"/>
      <c r="G2441" s="1"/>
      <c r="H2441" s="1"/>
      <c r="I2441" s="1"/>
      <c r="J2441" s="1"/>
    </row>
    <row r="2442" spans="1:10" s="6" customFormat="1">
      <c r="A2442" s="17"/>
      <c r="C2442" s="9"/>
      <c r="D2442" s="10"/>
      <c r="E2442" s="10"/>
      <c r="F2442" s="9"/>
      <c r="G2442" s="1"/>
      <c r="H2442" s="1"/>
      <c r="I2442" s="1"/>
      <c r="J2442" s="1"/>
    </row>
    <row r="2443" spans="1:10" s="6" customFormat="1">
      <c r="A2443" s="17"/>
      <c r="C2443" s="9"/>
      <c r="D2443" s="10"/>
      <c r="E2443" s="10"/>
      <c r="F2443" s="9"/>
      <c r="G2443" s="1"/>
      <c r="H2443" s="1"/>
      <c r="I2443" s="1"/>
      <c r="J2443" s="1"/>
    </row>
    <row r="2444" spans="1:10" s="6" customFormat="1">
      <c r="A2444" s="17"/>
      <c r="C2444" s="9"/>
      <c r="D2444" s="10"/>
      <c r="E2444" s="10"/>
      <c r="F2444" s="9"/>
      <c r="G2444" s="1"/>
      <c r="H2444" s="1"/>
      <c r="I2444" s="1"/>
      <c r="J2444" s="1"/>
    </row>
    <row r="2445" spans="1:10" s="6" customFormat="1">
      <c r="A2445" s="17"/>
      <c r="C2445" s="9"/>
      <c r="D2445" s="10"/>
      <c r="E2445" s="10"/>
      <c r="F2445" s="9"/>
      <c r="G2445" s="1"/>
      <c r="H2445" s="1"/>
      <c r="I2445" s="1"/>
      <c r="J2445" s="1"/>
    </row>
    <row r="2446" spans="1:10" s="6" customFormat="1">
      <c r="A2446" s="17"/>
      <c r="C2446" s="9"/>
      <c r="D2446" s="10"/>
      <c r="E2446" s="10"/>
      <c r="F2446" s="9"/>
      <c r="G2446" s="1"/>
      <c r="H2446" s="1"/>
      <c r="I2446" s="1"/>
      <c r="J2446" s="1"/>
    </row>
    <row r="2447" spans="1:10" s="6" customFormat="1">
      <c r="A2447" s="17"/>
      <c r="C2447" s="9"/>
      <c r="D2447" s="10"/>
      <c r="E2447" s="10"/>
      <c r="F2447" s="9"/>
      <c r="G2447" s="1"/>
      <c r="H2447" s="1"/>
      <c r="I2447" s="1"/>
      <c r="J2447" s="1"/>
    </row>
    <row r="2448" spans="1:10" s="6" customFormat="1">
      <c r="A2448" s="17"/>
      <c r="C2448" s="9"/>
      <c r="D2448" s="10"/>
      <c r="E2448" s="10"/>
      <c r="F2448" s="9"/>
      <c r="G2448" s="1"/>
      <c r="H2448" s="1"/>
      <c r="I2448" s="1"/>
      <c r="J2448" s="1"/>
    </row>
    <row r="2449" spans="1:10" s="6" customFormat="1">
      <c r="A2449" s="17"/>
      <c r="C2449" s="9"/>
      <c r="D2449" s="10"/>
      <c r="E2449" s="10"/>
      <c r="F2449" s="9"/>
      <c r="G2449" s="1"/>
      <c r="H2449" s="1"/>
      <c r="I2449" s="1"/>
      <c r="J2449" s="1"/>
    </row>
    <row r="2450" spans="1:10" s="6" customFormat="1">
      <c r="A2450" s="17"/>
      <c r="C2450" s="9"/>
      <c r="D2450" s="10"/>
      <c r="E2450" s="10"/>
      <c r="F2450" s="9"/>
      <c r="G2450" s="1"/>
      <c r="H2450" s="1"/>
      <c r="I2450" s="1"/>
      <c r="J2450" s="1"/>
    </row>
    <row r="2451" spans="1:10" s="6" customFormat="1">
      <c r="A2451" s="17"/>
      <c r="C2451" s="9"/>
      <c r="D2451" s="10"/>
      <c r="E2451" s="10"/>
      <c r="F2451" s="9"/>
      <c r="G2451" s="1"/>
      <c r="H2451" s="1"/>
      <c r="I2451" s="1"/>
      <c r="J2451" s="1"/>
    </row>
    <row r="2452" spans="1:10" s="6" customFormat="1">
      <c r="A2452" s="17"/>
      <c r="C2452" s="9"/>
      <c r="D2452" s="10"/>
      <c r="E2452" s="10"/>
      <c r="F2452" s="9"/>
      <c r="G2452" s="1"/>
      <c r="H2452" s="1"/>
      <c r="I2452" s="1"/>
      <c r="J2452" s="1"/>
    </row>
    <row r="2453" spans="1:10" s="6" customFormat="1">
      <c r="A2453" s="17"/>
      <c r="C2453" s="9"/>
      <c r="D2453" s="10"/>
      <c r="E2453" s="10"/>
      <c r="F2453" s="9"/>
      <c r="G2453" s="1"/>
      <c r="H2453" s="1"/>
      <c r="I2453" s="1"/>
      <c r="J2453" s="1"/>
    </row>
    <row r="2454" spans="1:10" s="6" customFormat="1">
      <c r="A2454" s="17"/>
      <c r="C2454" s="9"/>
      <c r="D2454" s="10"/>
      <c r="E2454" s="10"/>
      <c r="F2454" s="9"/>
      <c r="G2454" s="1"/>
      <c r="H2454" s="1"/>
      <c r="I2454" s="1"/>
      <c r="J2454" s="1"/>
    </row>
    <row r="2455" spans="1:10" s="6" customFormat="1">
      <c r="A2455" s="17"/>
      <c r="C2455" s="9"/>
      <c r="D2455" s="10"/>
      <c r="E2455" s="10"/>
      <c r="F2455" s="9"/>
      <c r="G2455" s="1"/>
      <c r="H2455" s="1"/>
      <c r="I2455" s="1"/>
      <c r="J2455" s="1"/>
    </row>
    <row r="2456" spans="1:10" s="6" customFormat="1">
      <c r="A2456" s="17"/>
      <c r="C2456" s="9"/>
      <c r="D2456" s="10"/>
      <c r="E2456" s="10"/>
      <c r="F2456" s="9"/>
      <c r="G2456" s="1"/>
      <c r="H2456" s="1"/>
      <c r="I2456" s="1"/>
      <c r="J2456" s="1"/>
    </row>
    <row r="2457" spans="1:10" s="6" customFormat="1">
      <c r="A2457" s="17"/>
      <c r="C2457" s="9"/>
      <c r="D2457" s="10"/>
      <c r="E2457" s="10"/>
      <c r="F2457" s="9"/>
      <c r="G2457" s="1"/>
      <c r="H2457" s="1"/>
      <c r="I2457" s="1"/>
      <c r="J2457" s="1"/>
    </row>
    <row r="2458" spans="1:10" s="6" customFormat="1">
      <c r="A2458" s="17"/>
      <c r="C2458" s="9"/>
      <c r="D2458" s="10"/>
      <c r="E2458" s="10"/>
      <c r="F2458" s="9"/>
      <c r="G2458" s="1"/>
      <c r="H2458" s="1"/>
      <c r="I2458" s="1"/>
      <c r="J2458" s="1"/>
    </row>
    <row r="2459" spans="1:10" s="6" customFormat="1">
      <c r="A2459" s="17"/>
      <c r="C2459" s="9"/>
      <c r="D2459" s="10"/>
      <c r="E2459" s="10"/>
      <c r="F2459" s="9"/>
      <c r="G2459" s="1"/>
      <c r="H2459" s="1"/>
      <c r="I2459" s="1"/>
      <c r="J2459" s="1"/>
    </row>
    <row r="2460" spans="1:10" s="6" customFormat="1">
      <c r="A2460" s="17"/>
      <c r="C2460" s="9"/>
      <c r="D2460" s="10"/>
      <c r="E2460" s="10"/>
      <c r="F2460" s="9"/>
      <c r="G2460" s="1"/>
      <c r="H2460" s="1"/>
      <c r="I2460" s="1"/>
      <c r="J2460" s="1"/>
    </row>
    <row r="2461" spans="1:10" s="6" customFormat="1">
      <c r="A2461" s="17"/>
      <c r="C2461" s="9"/>
      <c r="D2461" s="10"/>
      <c r="E2461" s="10"/>
      <c r="F2461" s="9"/>
      <c r="G2461" s="1"/>
      <c r="H2461" s="1"/>
      <c r="I2461" s="1"/>
      <c r="J2461" s="1"/>
    </row>
    <row r="2462" spans="1:10" s="6" customFormat="1">
      <c r="A2462" s="17"/>
      <c r="C2462" s="9"/>
      <c r="D2462" s="10"/>
      <c r="E2462" s="10"/>
      <c r="F2462" s="9"/>
      <c r="G2462" s="1"/>
      <c r="H2462" s="1"/>
      <c r="I2462" s="1"/>
      <c r="J2462" s="1"/>
    </row>
    <row r="2463" spans="1:10" s="6" customFormat="1">
      <c r="A2463" s="17"/>
      <c r="C2463" s="9"/>
      <c r="D2463" s="10"/>
      <c r="E2463" s="10"/>
      <c r="F2463" s="9"/>
      <c r="G2463" s="1"/>
      <c r="H2463" s="1"/>
      <c r="I2463" s="1"/>
      <c r="J2463" s="1"/>
    </row>
    <row r="2464" spans="1:10" s="6" customFormat="1">
      <c r="A2464" s="17"/>
      <c r="C2464" s="9"/>
      <c r="D2464" s="10"/>
      <c r="E2464" s="10"/>
      <c r="F2464" s="9"/>
      <c r="G2464" s="1"/>
      <c r="H2464" s="1"/>
      <c r="I2464" s="1"/>
      <c r="J2464" s="1"/>
    </row>
    <row r="2465" spans="1:10" s="6" customFormat="1">
      <c r="A2465" s="17"/>
      <c r="C2465" s="9"/>
      <c r="D2465" s="10"/>
      <c r="E2465" s="10"/>
      <c r="F2465" s="9"/>
      <c r="G2465" s="1"/>
      <c r="H2465" s="1"/>
      <c r="I2465" s="1"/>
      <c r="J2465" s="1"/>
    </row>
    <row r="2466" spans="1:10" s="6" customFormat="1">
      <c r="A2466" s="17"/>
      <c r="C2466" s="9"/>
      <c r="D2466" s="10"/>
      <c r="E2466" s="10"/>
      <c r="F2466" s="9"/>
      <c r="G2466" s="1"/>
      <c r="H2466" s="1"/>
      <c r="I2466" s="1"/>
      <c r="J2466" s="1"/>
    </row>
    <row r="2467" spans="1:10" s="6" customFormat="1">
      <c r="A2467" s="17"/>
      <c r="C2467" s="9"/>
      <c r="D2467" s="10"/>
      <c r="E2467" s="10"/>
      <c r="F2467" s="9"/>
      <c r="G2467" s="1"/>
      <c r="H2467" s="1"/>
      <c r="I2467" s="1"/>
      <c r="J2467" s="1"/>
    </row>
    <row r="2468" spans="1:10" s="6" customFormat="1">
      <c r="A2468" s="17"/>
      <c r="C2468" s="9"/>
      <c r="D2468" s="10"/>
      <c r="E2468" s="10"/>
      <c r="F2468" s="9"/>
      <c r="G2468" s="1"/>
      <c r="H2468" s="1"/>
      <c r="I2468" s="1"/>
      <c r="J2468" s="1"/>
    </row>
    <row r="2469" spans="1:10" s="6" customFormat="1">
      <c r="A2469" s="17"/>
      <c r="C2469" s="9"/>
      <c r="D2469" s="10"/>
      <c r="E2469" s="10"/>
      <c r="F2469" s="9"/>
      <c r="G2469" s="1"/>
      <c r="H2469" s="1"/>
      <c r="I2469" s="1"/>
      <c r="J2469" s="1"/>
    </row>
    <row r="2470" spans="1:10" s="6" customFormat="1">
      <c r="A2470" s="17"/>
      <c r="C2470" s="9"/>
      <c r="D2470" s="10"/>
      <c r="E2470" s="10"/>
      <c r="F2470" s="9"/>
      <c r="G2470" s="1"/>
      <c r="H2470" s="1"/>
      <c r="I2470" s="1"/>
      <c r="J2470" s="1"/>
    </row>
    <row r="2471" spans="1:10" s="6" customFormat="1">
      <c r="A2471" s="17"/>
      <c r="C2471" s="9"/>
      <c r="D2471" s="10"/>
      <c r="E2471" s="10"/>
      <c r="F2471" s="9"/>
      <c r="G2471" s="1"/>
      <c r="H2471" s="1"/>
      <c r="I2471" s="1"/>
      <c r="J2471" s="1"/>
    </row>
    <row r="2472" spans="1:10" s="6" customFormat="1">
      <c r="A2472" s="17"/>
      <c r="C2472" s="9"/>
      <c r="D2472" s="10"/>
      <c r="E2472" s="10"/>
      <c r="F2472" s="9"/>
      <c r="G2472" s="1"/>
      <c r="H2472" s="1"/>
      <c r="I2472" s="1"/>
      <c r="J2472" s="1"/>
    </row>
    <row r="2473" spans="1:10" s="6" customFormat="1">
      <c r="A2473" s="17"/>
      <c r="C2473" s="9"/>
      <c r="D2473" s="10"/>
      <c r="E2473" s="10"/>
      <c r="F2473" s="9"/>
      <c r="G2473" s="1"/>
      <c r="H2473" s="1"/>
      <c r="I2473" s="1"/>
      <c r="J2473" s="1"/>
    </row>
    <row r="2474" spans="1:10" s="6" customFormat="1">
      <c r="A2474" s="17"/>
      <c r="C2474" s="9"/>
      <c r="D2474" s="10"/>
      <c r="E2474" s="10"/>
      <c r="F2474" s="9"/>
      <c r="G2474" s="1"/>
      <c r="H2474" s="1"/>
      <c r="I2474" s="1"/>
      <c r="J2474" s="1"/>
    </row>
    <row r="2475" spans="1:10" s="6" customFormat="1">
      <c r="A2475" s="17"/>
      <c r="C2475" s="9"/>
      <c r="D2475" s="10"/>
      <c r="E2475" s="10"/>
      <c r="F2475" s="9"/>
      <c r="G2475" s="1"/>
      <c r="H2475" s="1"/>
      <c r="I2475" s="1"/>
      <c r="J2475" s="1"/>
    </row>
    <row r="2476" spans="1:10" s="6" customFormat="1">
      <c r="A2476" s="17"/>
      <c r="C2476" s="9"/>
      <c r="D2476" s="10"/>
      <c r="E2476" s="10"/>
      <c r="F2476" s="9"/>
      <c r="G2476" s="1"/>
      <c r="H2476" s="1"/>
      <c r="I2476" s="1"/>
      <c r="J2476" s="1"/>
    </row>
    <row r="2477" spans="1:10" s="6" customFormat="1">
      <c r="A2477" s="17"/>
      <c r="C2477" s="9"/>
      <c r="D2477" s="10"/>
      <c r="E2477" s="10"/>
      <c r="F2477" s="9"/>
      <c r="G2477" s="1"/>
      <c r="H2477" s="1"/>
      <c r="I2477" s="1"/>
      <c r="J2477" s="1"/>
    </row>
    <row r="2478" spans="1:10" s="6" customFormat="1">
      <c r="A2478" s="17"/>
      <c r="C2478" s="9"/>
      <c r="D2478" s="10"/>
      <c r="E2478" s="10"/>
      <c r="F2478" s="9"/>
      <c r="G2478" s="1"/>
      <c r="H2478" s="1"/>
      <c r="I2478" s="1"/>
      <c r="J2478" s="1"/>
    </row>
    <row r="2479" spans="1:10" s="6" customFormat="1">
      <c r="A2479" s="17"/>
      <c r="C2479" s="9"/>
      <c r="D2479" s="10"/>
      <c r="E2479" s="10"/>
      <c r="F2479" s="9"/>
      <c r="G2479" s="1"/>
      <c r="H2479" s="1"/>
      <c r="I2479" s="1"/>
      <c r="J2479" s="1"/>
    </row>
    <row r="2480" spans="1:10" s="6" customFormat="1">
      <c r="A2480" s="17"/>
      <c r="C2480" s="9"/>
      <c r="D2480" s="10"/>
      <c r="E2480" s="10"/>
      <c r="F2480" s="9"/>
      <c r="G2480" s="1"/>
      <c r="H2480" s="1"/>
      <c r="I2480" s="1"/>
      <c r="J2480" s="1"/>
    </row>
    <row r="2481" spans="1:10" s="6" customFormat="1">
      <c r="A2481" s="17"/>
      <c r="C2481" s="9"/>
      <c r="D2481" s="10"/>
      <c r="E2481" s="10"/>
      <c r="F2481" s="9"/>
      <c r="G2481" s="1"/>
      <c r="H2481" s="1"/>
      <c r="I2481" s="1"/>
      <c r="J2481" s="1"/>
    </row>
    <row r="2482" spans="1:10" s="6" customFormat="1">
      <c r="A2482" s="17"/>
      <c r="C2482" s="9"/>
      <c r="D2482" s="10"/>
      <c r="E2482" s="10"/>
      <c r="F2482" s="9"/>
      <c r="G2482" s="1"/>
      <c r="H2482" s="1"/>
      <c r="I2482" s="1"/>
      <c r="J2482" s="1"/>
    </row>
    <row r="2483" spans="1:10" s="6" customFormat="1">
      <c r="A2483" s="17"/>
      <c r="C2483" s="9"/>
      <c r="D2483" s="10"/>
      <c r="E2483" s="10"/>
      <c r="F2483" s="9"/>
      <c r="G2483" s="1"/>
      <c r="H2483" s="1"/>
      <c r="I2483" s="1"/>
      <c r="J2483" s="1"/>
    </row>
    <row r="2484" spans="1:10" s="6" customFormat="1">
      <c r="A2484" s="17"/>
      <c r="C2484" s="9"/>
      <c r="D2484" s="10"/>
      <c r="E2484" s="10"/>
      <c r="F2484" s="9"/>
      <c r="G2484" s="1"/>
      <c r="H2484" s="1"/>
      <c r="I2484" s="1"/>
      <c r="J2484" s="1"/>
    </row>
    <row r="2485" spans="1:10" s="6" customFormat="1">
      <c r="A2485" s="17"/>
      <c r="C2485" s="9"/>
      <c r="D2485" s="10"/>
      <c r="E2485" s="10"/>
      <c r="F2485" s="9"/>
      <c r="G2485" s="1"/>
      <c r="H2485" s="1"/>
      <c r="I2485" s="1"/>
      <c r="J2485" s="1"/>
    </row>
    <row r="2486" spans="1:10" s="6" customFormat="1">
      <c r="A2486" s="17"/>
      <c r="C2486" s="9"/>
      <c r="D2486" s="10"/>
      <c r="E2486" s="10"/>
      <c r="F2486" s="9"/>
      <c r="G2486" s="1"/>
      <c r="H2486" s="1"/>
      <c r="I2486" s="1"/>
      <c r="J2486" s="1"/>
    </row>
    <row r="2487" spans="1:10" s="6" customFormat="1">
      <c r="A2487" s="17"/>
      <c r="C2487" s="9"/>
      <c r="D2487" s="10"/>
      <c r="E2487" s="10"/>
      <c r="F2487" s="9"/>
      <c r="G2487" s="1"/>
      <c r="H2487" s="1"/>
      <c r="I2487" s="1"/>
      <c r="J2487" s="1"/>
    </row>
    <row r="2488" spans="1:10" s="6" customFormat="1">
      <c r="A2488" s="17"/>
      <c r="C2488" s="9"/>
      <c r="D2488" s="10"/>
      <c r="E2488" s="10"/>
      <c r="F2488" s="9"/>
      <c r="G2488" s="1"/>
      <c r="H2488" s="1"/>
      <c r="I2488" s="1"/>
      <c r="J2488" s="1"/>
    </row>
    <row r="2489" spans="1:10" s="6" customFormat="1">
      <c r="A2489" s="17"/>
      <c r="C2489" s="9"/>
      <c r="D2489" s="10"/>
      <c r="E2489" s="10"/>
      <c r="F2489" s="9"/>
      <c r="G2489" s="1"/>
      <c r="H2489" s="1"/>
      <c r="I2489" s="1"/>
      <c r="J2489" s="1"/>
    </row>
    <row r="2490" spans="1:10" s="6" customFormat="1">
      <c r="A2490" s="17"/>
      <c r="C2490" s="9"/>
      <c r="D2490" s="10"/>
      <c r="E2490" s="10"/>
      <c r="F2490" s="9"/>
      <c r="G2490" s="1"/>
      <c r="H2490" s="1"/>
      <c r="I2490" s="1"/>
      <c r="J2490" s="1"/>
    </row>
    <row r="2491" spans="1:10" s="6" customFormat="1">
      <c r="A2491" s="17"/>
      <c r="C2491" s="9"/>
      <c r="D2491" s="10"/>
      <c r="E2491" s="10"/>
      <c r="F2491" s="9"/>
      <c r="G2491" s="1"/>
      <c r="H2491" s="1"/>
      <c r="I2491" s="1"/>
      <c r="J2491" s="1"/>
    </row>
    <row r="2492" spans="1:10" s="6" customFormat="1">
      <c r="A2492" s="17"/>
      <c r="C2492" s="9"/>
      <c r="D2492" s="10"/>
      <c r="E2492" s="10"/>
      <c r="F2492" s="9"/>
      <c r="G2492" s="1"/>
      <c r="H2492" s="1"/>
      <c r="I2492" s="1"/>
      <c r="J2492" s="1"/>
    </row>
    <row r="2493" spans="1:10" s="6" customFormat="1">
      <c r="A2493" s="17"/>
      <c r="C2493" s="9"/>
      <c r="D2493" s="10"/>
      <c r="E2493" s="10"/>
      <c r="F2493" s="9"/>
      <c r="G2493" s="1"/>
      <c r="H2493" s="1"/>
      <c r="I2493" s="1"/>
      <c r="J2493" s="1"/>
    </row>
    <row r="2494" spans="1:10" s="6" customFormat="1">
      <c r="A2494" s="17"/>
      <c r="C2494" s="9"/>
      <c r="D2494" s="10"/>
      <c r="E2494" s="10"/>
      <c r="F2494" s="9"/>
      <c r="G2494" s="1"/>
      <c r="H2494" s="1"/>
      <c r="I2494" s="1"/>
      <c r="J2494" s="1"/>
    </row>
    <row r="2495" spans="1:10" s="6" customFormat="1">
      <c r="A2495" s="17"/>
      <c r="C2495" s="9"/>
      <c r="D2495" s="10"/>
      <c r="E2495" s="10"/>
      <c r="F2495" s="9"/>
      <c r="G2495" s="1"/>
      <c r="H2495" s="1"/>
      <c r="I2495" s="1"/>
      <c r="J2495" s="1"/>
    </row>
    <row r="2496" spans="1:10" s="6" customFormat="1">
      <c r="A2496" s="17"/>
      <c r="C2496" s="9"/>
      <c r="D2496" s="10"/>
      <c r="E2496" s="10"/>
      <c r="F2496" s="9"/>
      <c r="G2496" s="1"/>
      <c r="H2496" s="1"/>
      <c r="I2496" s="1"/>
      <c r="J2496" s="1"/>
    </row>
    <row r="2497" spans="1:10" s="6" customFormat="1">
      <c r="A2497" s="17"/>
      <c r="C2497" s="9"/>
      <c r="D2497" s="10"/>
      <c r="E2497" s="10"/>
      <c r="F2497" s="9"/>
      <c r="G2497" s="1"/>
      <c r="H2497" s="1"/>
      <c r="I2497" s="1"/>
      <c r="J2497" s="1"/>
    </row>
    <row r="2498" spans="1:10" s="6" customFormat="1">
      <c r="A2498" s="17"/>
      <c r="C2498" s="9"/>
      <c r="D2498" s="10"/>
      <c r="E2498" s="10"/>
      <c r="F2498" s="9"/>
      <c r="G2498" s="1"/>
      <c r="H2498" s="1"/>
      <c r="I2498" s="1"/>
      <c r="J2498" s="1"/>
    </row>
    <row r="2499" spans="1:10" s="6" customFormat="1">
      <c r="A2499" s="17"/>
      <c r="C2499" s="9"/>
      <c r="D2499" s="10"/>
      <c r="E2499" s="10"/>
      <c r="F2499" s="9"/>
      <c r="G2499" s="1"/>
      <c r="H2499" s="1"/>
      <c r="I2499" s="1"/>
      <c r="J2499" s="1"/>
    </row>
    <row r="2500" spans="1:10" s="6" customFormat="1">
      <c r="A2500" s="17"/>
      <c r="C2500" s="9"/>
      <c r="D2500" s="10"/>
      <c r="E2500" s="10"/>
      <c r="F2500" s="9"/>
      <c r="G2500" s="1"/>
      <c r="H2500" s="1"/>
      <c r="I2500" s="1"/>
      <c r="J2500" s="1"/>
    </row>
    <row r="2501" spans="1:10" s="6" customFormat="1">
      <c r="A2501" s="17"/>
      <c r="C2501" s="9"/>
      <c r="D2501" s="10"/>
      <c r="E2501" s="10"/>
      <c r="F2501" s="9"/>
      <c r="G2501" s="1"/>
      <c r="H2501" s="1"/>
      <c r="I2501" s="1"/>
      <c r="J2501" s="1"/>
    </row>
    <row r="2502" spans="1:10" s="6" customFormat="1">
      <c r="A2502" s="17"/>
      <c r="C2502" s="9"/>
      <c r="D2502" s="10"/>
      <c r="E2502" s="10"/>
      <c r="F2502" s="9"/>
      <c r="G2502" s="1"/>
      <c r="H2502" s="1"/>
      <c r="I2502" s="1"/>
      <c r="J2502" s="1"/>
    </row>
    <row r="2503" spans="1:10" s="6" customFormat="1">
      <c r="A2503" s="17"/>
      <c r="C2503" s="9"/>
      <c r="D2503" s="10"/>
      <c r="E2503" s="10"/>
      <c r="F2503" s="9"/>
      <c r="G2503" s="1"/>
      <c r="H2503" s="1"/>
      <c r="I2503" s="1"/>
      <c r="J2503" s="1"/>
    </row>
    <row r="2504" spans="1:10" s="6" customFormat="1">
      <c r="A2504" s="17"/>
      <c r="C2504" s="9"/>
      <c r="D2504" s="10"/>
      <c r="E2504" s="10"/>
      <c r="F2504" s="9"/>
      <c r="G2504" s="1"/>
      <c r="H2504" s="1"/>
      <c r="I2504" s="1"/>
      <c r="J2504" s="1"/>
    </row>
    <row r="2505" spans="1:10" s="6" customFormat="1">
      <c r="A2505" s="17"/>
      <c r="C2505" s="9"/>
      <c r="D2505" s="10"/>
      <c r="E2505" s="10"/>
      <c r="F2505" s="9"/>
      <c r="G2505" s="1"/>
      <c r="H2505" s="1"/>
      <c r="I2505" s="1"/>
      <c r="J2505" s="1"/>
    </row>
    <row r="2506" spans="1:10" s="6" customFormat="1">
      <c r="A2506" s="17"/>
      <c r="C2506" s="9"/>
      <c r="D2506" s="10"/>
      <c r="E2506" s="10"/>
      <c r="F2506" s="9"/>
      <c r="G2506" s="1"/>
      <c r="H2506" s="1"/>
      <c r="I2506" s="1"/>
      <c r="J2506" s="1"/>
    </row>
    <row r="2507" spans="1:10" s="6" customFormat="1">
      <c r="A2507" s="17"/>
      <c r="C2507" s="9"/>
      <c r="D2507" s="10"/>
      <c r="E2507" s="10"/>
      <c r="F2507" s="9"/>
      <c r="G2507" s="1"/>
      <c r="H2507" s="1"/>
      <c r="I2507" s="1"/>
      <c r="J2507" s="1"/>
    </row>
    <row r="2508" spans="1:10" s="6" customFormat="1">
      <c r="A2508" s="17"/>
      <c r="C2508" s="9"/>
      <c r="D2508" s="10"/>
      <c r="E2508" s="10"/>
      <c r="F2508" s="9"/>
      <c r="G2508" s="1"/>
      <c r="H2508" s="1"/>
      <c r="I2508" s="1"/>
      <c r="J2508" s="1"/>
    </row>
    <row r="2509" spans="1:10" s="6" customFormat="1">
      <c r="A2509" s="17"/>
      <c r="C2509" s="9"/>
      <c r="D2509" s="10"/>
      <c r="E2509" s="10"/>
      <c r="F2509" s="9"/>
      <c r="G2509" s="1"/>
      <c r="H2509" s="1"/>
      <c r="I2509" s="1"/>
      <c r="J2509" s="1"/>
    </row>
    <row r="2510" spans="1:10" s="6" customFormat="1">
      <c r="A2510" s="17"/>
      <c r="C2510" s="9"/>
      <c r="D2510" s="10"/>
      <c r="E2510" s="10"/>
      <c r="F2510" s="9"/>
      <c r="G2510" s="1"/>
      <c r="H2510" s="1"/>
      <c r="I2510" s="1"/>
      <c r="J2510" s="1"/>
    </row>
    <row r="2511" spans="1:10" s="6" customFormat="1">
      <c r="A2511" s="17"/>
      <c r="C2511" s="9"/>
      <c r="D2511" s="10"/>
      <c r="E2511" s="10"/>
      <c r="F2511" s="9"/>
      <c r="G2511" s="1"/>
      <c r="H2511" s="1"/>
      <c r="I2511" s="1"/>
      <c r="J2511" s="1"/>
    </row>
    <row r="2512" spans="1:10" s="6" customFormat="1">
      <c r="A2512" s="17"/>
      <c r="C2512" s="9"/>
      <c r="D2512" s="10"/>
      <c r="E2512" s="10"/>
      <c r="F2512" s="9"/>
      <c r="G2512" s="1"/>
      <c r="H2512" s="1"/>
      <c r="I2512" s="1"/>
      <c r="J2512" s="1"/>
    </row>
    <row r="2513" spans="1:10" s="6" customFormat="1">
      <c r="A2513" s="17"/>
      <c r="C2513" s="9"/>
      <c r="D2513" s="10"/>
      <c r="E2513" s="10"/>
      <c r="F2513" s="9"/>
      <c r="G2513" s="1"/>
      <c r="H2513" s="1"/>
      <c r="I2513" s="1"/>
      <c r="J2513" s="1"/>
    </row>
    <row r="2514" spans="1:10" s="6" customFormat="1">
      <c r="A2514" s="17"/>
      <c r="C2514" s="9"/>
      <c r="D2514" s="10"/>
      <c r="E2514" s="10"/>
      <c r="F2514" s="9"/>
      <c r="G2514" s="1"/>
      <c r="H2514" s="1"/>
      <c r="I2514" s="1"/>
      <c r="J2514" s="1"/>
    </row>
    <row r="2515" spans="1:10" s="6" customFormat="1">
      <c r="A2515" s="17"/>
      <c r="C2515" s="9"/>
      <c r="D2515" s="10"/>
      <c r="E2515" s="10"/>
      <c r="F2515" s="9"/>
      <c r="G2515" s="1"/>
      <c r="H2515" s="1"/>
      <c r="I2515" s="1"/>
      <c r="J2515" s="1"/>
    </row>
    <row r="2516" spans="1:10" s="6" customFormat="1">
      <c r="A2516" s="17"/>
      <c r="C2516" s="9"/>
      <c r="D2516" s="10"/>
      <c r="E2516" s="10"/>
      <c r="F2516" s="9"/>
      <c r="G2516" s="1"/>
      <c r="H2516" s="1"/>
      <c r="I2516" s="1"/>
      <c r="J2516" s="1"/>
    </row>
    <row r="2517" spans="1:10" s="6" customFormat="1">
      <c r="A2517" s="17"/>
      <c r="C2517" s="9"/>
      <c r="D2517" s="10"/>
      <c r="E2517" s="10"/>
      <c r="F2517" s="9"/>
      <c r="G2517" s="1"/>
      <c r="H2517" s="1"/>
      <c r="I2517" s="1"/>
      <c r="J2517" s="1"/>
    </row>
    <row r="2518" spans="1:10" s="6" customFormat="1">
      <c r="A2518" s="17"/>
      <c r="C2518" s="9"/>
      <c r="D2518" s="10"/>
      <c r="E2518" s="10"/>
      <c r="F2518" s="9"/>
      <c r="G2518" s="1"/>
      <c r="H2518" s="1"/>
      <c r="I2518" s="1"/>
      <c r="J2518" s="1"/>
    </row>
    <row r="2519" spans="1:10" s="6" customFormat="1">
      <c r="A2519" s="17"/>
      <c r="C2519" s="9"/>
      <c r="D2519" s="10"/>
      <c r="E2519" s="10"/>
      <c r="F2519" s="9"/>
      <c r="G2519" s="1"/>
      <c r="H2519" s="1"/>
      <c r="I2519" s="1"/>
      <c r="J2519" s="1"/>
    </row>
    <row r="2520" spans="1:10" s="6" customFormat="1">
      <c r="A2520" s="17"/>
      <c r="C2520" s="9"/>
      <c r="D2520" s="10"/>
      <c r="E2520" s="10"/>
      <c r="F2520" s="9"/>
      <c r="G2520" s="1"/>
      <c r="H2520" s="1"/>
      <c r="I2520" s="1"/>
      <c r="J2520" s="1"/>
    </row>
    <row r="2521" spans="1:10" s="6" customFormat="1">
      <c r="A2521" s="17"/>
      <c r="C2521" s="9"/>
      <c r="D2521" s="10"/>
      <c r="E2521" s="10"/>
      <c r="F2521" s="9"/>
      <c r="G2521" s="1"/>
      <c r="H2521" s="1"/>
      <c r="I2521" s="1"/>
      <c r="J2521" s="1"/>
    </row>
    <row r="2522" spans="1:10" s="6" customFormat="1">
      <c r="A2522" s="17"/>
      <c r="C2522" s="9"/>
      <c r="D2522" s="10"/>
      <c r="E2522" s="10"/>
      <c r="F2522" s="9"/>
      <c r="G2522" s="1"/>
      <c r="H2522" s="1"/>
      <c r="I2522" s="1"/>
      <c r="J2522" s="1"/>
    </row>
    <row r="2523" spans="1:10" s="6" customFormat="1">
      <c r="A2523" s="17"/>
      <c r="C2523" s="9"/>
      <c r="D2523" s="10"/>
      <c r="E2523" s="10"/>
      <c r="F2523" s="9"/>
      <c r="G2523" s="1"/>
      <c r="H2523" s="1"/>
      <c r="I2523" s="1"/>
      <c r="J2523" s="1"/>
    </row>
    <row r="2524" spans="1:10" s="6" customFormat="1">
      <c r="A2524" s="17"/>
      <c r="C2524" s="9"/>
      <c r="D2524" s="10"/>
      <c r="E2524" s="10"/>
      <c r="F2524" s="9"/>
      <c r="G2524" s="1"/>
      <c r="H2524" s="1"/>
      <c r="I2524" s="1"/>
      <c r="J2524" s="1"/>
    </row>
    <row r="2525" spans="1:10" s="6" customFormat="1">
      <c r="A2525" s="17"/>
      <c r="C2525" s="9"/>
      <c r="D2525" s="10"/>
      <c r="E2525" s="10"/>
      <c r="F2525" s="9"/>
      <c r="G2525" s="1"/>
      <c r="H2525" s="1"/>
      <c r="I2525" s="1"/>
      <c r="J2525" s="1"/>
    </row>
    <row r="2526" spans="1:10" s="6" customFormat="1">
      <c r="A2526" s="17"/>
      <c r="C2526" s="9"/>
      <c r="D2526" s="10"/>
      <c r="E2526" s="10"/>
      <c r="F2526" s="9"/>
      <c r="G2526" s="1"/>
      <c r="H2526" s="1"/>
      <c r="I2526" s="1"/>
      <c r="J2526" s="1"/>
    </row>
    <row r="2527" spans="1:10" s="6" customFormat="1">
      <c r="A2527" s="17"/>
      <c r="C2527" s="9"/>
      <c r="D2527" s="10"/>
      <c r="E2527" s="10"/>
      <c r="F2527" s="9"/>
      <c r="G2527" s="1"/>
      <c r="H2527" s="1"/>
      <c r="I2527" s="1"/>
      <c r="J2527" s="1"/>
    </row>
    <row r="2528" spans="1:10" s="6" customFormat="1">
      <c r="A2528" s="17"/>
      <c r="C2528" s="9"/>
      <c r="D2528" s="10"/>
      <c r="E2528" s="10"/>
      <c r="F2528" s="9"/>
      <c r="G2528" s="1"/>
      <c r="H2528" s="1"/>
      <c r="I2528" s="1"/>
      <c r="J2528" s="1"/>
    </row>
    <row r="2529" spans="1:10" s="6" customFormat="1">
      <c r="A2529" s="17"/>
      <c r="C2529" s="9"/>
      <c r="D2529" s="10"/>
      <c r="E2529" s="10"/>
      <c r="F2529" s="9"/>
      <c r="G2529" s="1"/>
      <c r="H2529" s="1"/>
      <c r="I2529" s="1"/>
      <c r="J2529" s="1"/>
    </row>
    <row r="2530" spans="1:10" s="6" customFormat="1">
      <c r="A2530" s="17"/>
      <c r="C2530" s="9"/>
      <c r="D2530" s="10"/>
      <c r="E2530" s="10"/>
      <c r="F2530" s="9"/>
      <c r="G2530" s="1"/>
      <c r="H2530" s="1"/>
      <c r="I2530" s="1"/>
      <c r="J2530" s="1"/>
    </row>
    <row r="2531" spans="1:10" s="6" customFormat="1">
      <c r="A2531" s="17"/>
      <c r="C2531" s="9"/>
      <c r="D2531" s="10"/>
      <c r="E2531" s="10"/>
      <c r="F2531" s="9"/>
      <c r="G2531" s="1"/>
      <c r="H2531" s="1"/>
      <c r="I2531" s="1"/>
      <c r="J2531" s="1"/>
    </row>
    <row r="2532" spans="1:10" s="6" customFormat="1">
      <c r="A2532" s="17"/>
      <c r="C2532" s="9"/>
      <c r="D2532" s="10"/>
      <c r="E2532" s="10"/>
      <c r="F2532" s="9"/>
      <c r="G2532" s="1"/>
      <c r="H2532" s="1"/>
      <c r="I2532" s="1"/>
      <c r="J2532" s="1"/>
    </row>
    <row r="2533" spans="1:10" s="6" customFormat="1">
      <c r="A2533" s="17"/>
      <c r="C2533" s="9"/>
      <c r="D2533" s="10"/>
      <c r="E2533" s="10"/>
      <c r="F2533" s="9"/>
      <c r="G2533" s="1"/>
      <c r="H2533" s="1"/>
      <c r="I2533" s="1"/>
      <c r="J2533" s="1"/>
    </row>
    <row r="2534" spans="1:10" s="6" customFormat="1">
      <c r="A2534" s="17"/>
      <c r="C2534" s="9"/>
      <c r="D2534" s="10"/>
      <c r="E2534" s="10"/>
      <c r="F2534" s="9"/>
      <c r="G2534" s="1"/>
      <c r="H2534" s="1"/>
      <c r="I2534" s="1"/>
      <c r="J2534" s="1"/>
    </row>
    <row r="2535" spans="1:10" s="6" customFormat="1">
      <c r="A2535" s="17"/>
      <c r="C2535" s="9"/>
      <c r="D2535" s="10"/>
      <c r="E2535" s="10"/>
      <c r="F2535" s="9"/>
      <c r="G2535" s="1"/>
      <c r="H2535" s="1"/>
      <c r="I2535" s="1"/>
      <c r="J2535" s="1"/>
    </row>
    <row r="2536" spans="1:10" s="6" customFormat="1">
      <c r="A2536" s="17"/>
      <c r="C2536" s="9"/>
      <c r="D2536" s="10"/>
      <c r="E2536" s="10"/>
      <c r="F2536" s="9"/>
      <c r="G2536" s="1"/>
      <c r="H2536" s="1"/>
      <c r="I2536" s="1"/>
      <c r="J2536" s="1"/>
    </row>
    <row r="2537" spans="1:10" s="6" customFormat="1">
      <c r="A2537" s="17"/>
      <c r="C2537" s="9"/>
      <c r="D2537" s="10"/>
      <c r="E2537" s="10"/>
      <c r="F2537" s="9"/>
      <c r="G2537" s="1"/>
      <c r="H2537" s="1"/>
      <c r="I2537" s="1"/>
      <c r="J2537" s="1"/>
    </row>
    <row r="2538" spans="1:10" s="6" customFormat="1">
      <c r="A2538" s="17"/>
      <c r="C2538" s="9"/>
      <c r="D2538" s="10"/>
      <c r="E2538" s="10"/>
      <c r="F2538" s="9"/>
      <c r="G2538" s="1"/>
      <c r="H2538" s="1"/>
      <c r="I2538" s="1"/>
      <c r="J2538" s="1"/>
    </row>
    <row r="2539" spans="1:10" s="6" customFormat="1">
      <c r="A2539" s="17"/>
      <c r="C2539" s="9"/>
      <c r="D2539" s="10"/>
      <c r="E2539" s="10"/>
      <c r="F2539" s="9"/>
      <c r="G2539" s="1"/>
      <c r="H2539" s="1"/>
      <c r="I2539" s="1"/>
      <c r="J2539" s="1"/>
    </row>
    <row r="2540" spans="1:10" s="6" customFormat="1">
      <c r="A2540" s="17"/>
      <c r="C2540" s="9"/>
      <c r="D2540" s="10"/>
      <c r="E2540" s="10"/>
      <c r="F2540" s="9"/>
      <c r="G2540" s="1"/>
      <c r="H2540" s="1"/>
      <c r="I2540" s="1"/>
      <c r="J2540" s="1"/>
    </row>
    <row r="2541" spans="1:10" s="6" customFormat="1">
      <c r="A2541" s="17"/>
      <c r="C2541" s="9"/>
      <c r="D2541" s="10"/>
      <c r="E2541" s="10"/>
      <c r="F2541" s="9"/>
      <c r="G2541" s="1"/>
      <c r="H2541" s="1"/>
      <c r="I2541" s="1"/>
      <c r="J2541" s="1"/>
    </row>
    <row r="2542" spans="1:10" s="6" customFormat="1">
      <c r="A2542" s="17"/>
      <c r="C2542" s="9"/>
      <c r="D2542" s="10"/>
      <c r="E2542" s="10"/>
      <c r="F2542" s="9"/>
      <c r="G2542" s="1"/>
      <c r="H2542" s="1"/>
      <c r="I2542" s="1"/>
      <c r="J2542" s="1"/>
    </row>
    <row r="2543" spans="1:10" s="6" customFormat="1">
      <c r="A2543" s="17"/>
      <c r="C2543" s="9"/>
      <c r="D2543" s="10"/>
      <c r="E2543" s="10"/>
      <c r="F2543" s="9"/>
      <c r="G2543" s="1"/>
      <c r="H2543" s="1"/>
      <c r="I2543" s="1"/>
      <c r="J2543" s="1"/>
    </row>
    <row r="2544" spans="1:10" s="6" customFormat="1">
      <c r="A2544" s="17"/>
      <c r="C2544" s="9"/>
      <c r="D2544" s="10"/>
      <c r="E2544" s="10"/>
      <c r="F2544" s="9"/>
      <c r="G2544" s="1"/>
      <c r="H2544" s="1"/>
      <c r="I2544" s="1"/>
      <c r="J2544" s="1"/>
    </row>
    <row r="2545" spans="1:10" s="6" customFormat="1">
      <c r="A2545" s="17"/>
      <c r="C2545" s="9"/>
      <c r="D2545" s="10"/>
      <c r="E2545" s="10"/>
      <c r="F2545" s="9"/>
      <c r="G2545" s="1"/>
      <c r="H2545" s="1"/>
      <c r="I2545" s="1"/>
      <c r="J2545" s="1"/>
    </row>
    <row r="2546" spans="1:10" s="6" customFormat="1">
      <c r="A2546" s="17"/>
      <c r="C2546" s="9"/>
      <c r="D2546" s="10"/>
      <c r="E2546" s="10"/>
      <c r="F2546" s="9"/>
      <c r="G2546" s="1"/>
      <c r="H2546" s="1"/>
      <c r="I2546" s="1"/>
      <c r="J2546" s="1"/>
    </row>
    <row r="2547" spans="1:10" s="6" customFormat="1">
      <c r="A2547" s="17"/>
      <c r="C2547" s="9"/>
      <c r="D2547" s="10"/>
      <c r="E2547" s="10"/>
      <c r="F2547" s="9"/>
      <c r="G2547" s="1"/>
      <c r="H2547" s="1"/>
      <c r="I2547" s="1"/>
      <c r="J2547" s="1"/>
    </row>
    <row r="2548" spans="1:10" s="6" customFormat="1">
      <c r="A2548" s="17"/>
      <c r="C2548" s="9"/>
      <c r="D2548" s="10"/>
      <c r="E2548" s="10"/>
      <c r="F2548" s="9"/>
      <c r="G2548" s="1"/>
      <c r="H2548" s="1"/>
      <c r="I2548" s="1"/>
      <c r="J2548" s="1"/>
    </row>
    <row r="2549" spans="1:10" s="6" customFormat="1">
      <c r="A2549" s="17"/>
      <c r="C2549" s="9"/>
      <c r="D2549" s="10"/>
      <c r="E2549" s="10"/>
      <c r="F2549" s="9"/>
      <c r="G2549" s="1"/>
      <c r="H2549" s="1"/>
      <c r="I2549" s="1"/>
      <c r="J2549" s="1"/>
    </row>
    <row r="2550" spans="1:10" s="6" customFormat="1">
      <c r="A2550" s="17"/>
      <c r="C2550" s="9"/>
      <c r="D2550" s="10"/>
      <c r="E2550" s="10"/>
      <c r="F2550" s="9"/>
      <c r="G2550" s="1"/>
      <c r="H2550" s="1"/>
      <c r="I2550" s="1"/>
      <c r="J2550" s="1"/>
    </row>
    <row r="2551" spans="1:10" s="6" customFormat="1">
      <c r="A2551" s="17"/>
      <c r="C2551" s="9"/>
      <c r="D2551" s="10"/>
      <c r="E2551" s="10"/>
      <c r="F2551" s="9"/>
      <c r="G2551" s="1"/>
      <c r="H2551" s="1"/>
      <c r="I2551" s="1"/>
      <c r="J2551" s="1"/>
    </row>
    <row r="2552" spans="1:10" s="6" customFormat="1">
      <c r="A2552" s="17"/>
      <c r="C2552" s="9"/>
      <c r="D2552" s="10"/>
      <c r="E2552" s="10"/>
      <c r="F2552" s="9"/>
      <c r="G2552" s="1"/>
      <c r="H2552" s="1"/>
      <c r="I2552" s="1"/>
      <c r="J2552" s="1"/>
    </row>
    <row r="2553" spans="1:10" s="6" customFormat="1">
      <c r="A2553" s="17"/>
      <c r="C2553" s="9"/>
      <c r="D2553" s="10"/>
      <c r="E2553" s="10"/>
      <c r="F2553" s="9"/>
      <c r="G2553" s="1"/>
      <c r="H2553" s="1"/>
      <c r="I2553" s="1"/>
      <c r="J2553" s="1"/>
    </row>
    <row r="2554" spans="1:10" s="6" customFormat="1">
      <c r="A2554" s="17"/>
      <c r="C2554" s="9"/>
      <c r="D2554" s="10"/>
      <c r="E2554" s="10"/>
      <c r="F2554" s="9"/>
      <c r="G2554" s="1"/>
      <c r="H2554" s="1"/>
      <c r="I2554" s="1"/>
      <c r="J2554" s="1"/>
    </row>
    <row r="2555" spans="1:10" s="6" customFormat="1">
      <c r="A2555" s="17"/>
      <c r="C2555" s="9"/>
      <c r="D2555" s="10"/>
      <c r="E2555" s="10"/>
      <c r="F2555" s="9"/>
      <c r="G2555" s="1"/>
      <c r="H2555" s="1"/>
      <c r="I2555" s="1"/>
      <c r="J2555" s="1"/>
    </row>
    <row r="2556" spans="1:10" s="6" customFormat="1">
      <c r="A2556" s="17"/>
      <c r="C2556" s="9"/>
      <c r="D2556" s="10"/>
      <c r="E2556" s="10"/>
      <c r="F2556" s="9"/>
      <c r="G2556" s="1"/>
      <c r="H2556" s="1"/>
      <c r="I2556" s="1"/>
      <c r="J2556" s="1"/>
    </row>
    <row r="2557" spans="1:10" s="6" customFormat="1">
      <c r="A2557" s="17"/>
      <c r="C2557" s="9"/>
      <c r="D2557" s="10"/>
      <c r="E2557" s="10"/>
      <c r="F2557" s="9"/>
      <c r="G2557" s="1"/>
      <c r="H2557" s="1"/>
      <c r="I2557" s="1"/>
      <c r="J2557" s="1"/>
    </row>
    <row r="2558" spans="1:10" s="6" customFormat="1">
      <c r="A2558" s="17"/>
      <c r="C2558" s="9"/>
      <c r="D2558" s="10"/>
      <c r="E2558" s="10"/>
      <c r="F2558" s="9"/>
      <c r="G2558" s="1"/>
      <c r="H2558" s="1"/>
      <c r="I2558" s="1"/>
      <c r="J2558" s="1"/>
    </row>
    <row r="2559" spans="1:10" s="6" customFormat="1">
      <c r="A2559" s="17"/>
      <c r="C2559" s="9"/>
      <c r="D2559" s="10"/>
      <c r="E2559" s="10"/>
      <c r="F2559" s="9"/>
      <c r="G2559" s="1"/>
      <c r="H2559" s="1"/>
      <c r="I2559" s="1"/>
      <c r="J2559" s="1"/>
    </row>
    <row r="2560" spans="1:10" s="6" customFormat="1">
      <c r="A2560" s="17"/>
      <c r="C2560" s="9"/>
      <c r="D2560" s="10"/>
      <c r="E2560" s="10"/>
      <c r="F2560" s="9"/>
      <c r="G2560" s="1"/>
      <c r="H2560" s="1"/>
      <c r="I2560" s="1"/>
      <c r="J2560" s="1"/>
    </row>
    <row r="2561" spans="1:10" s="6" customFormat="1">
      <c r="A2561" s="17"/>
      <c r="C2561" s="9"/>
      <c r="D2561" s="10"/>
      <c r="E2561" s="10"/>
      <c r="F2561" s="9"/>
      <c r="G2561" s="1"/>
      <c r="H2561" s="1"/>
      <c r="I2561" s="1"/>
      <c r="J2561" s="1"/>
    </row>
    <row r="2562" spans="1:10" s="6" customFormat="1">
      <c r="A2562" s="17"/>
      <c r="C2562" s="9"/>
      <c r="D2562" s="10"/>
      <c r="E2562" s="10"/>
      <c r="F2562" s="9"/>
      <c r="G2562" s="1"/>
      <c r="H2562" s="1"/>
      <c r="I2562" s="1"/>
      <c r="J2562" s="1"/>
    </row>
    <row r="2563" spans="1:10" s="6" customFormat="1">
      <c r="A2563" s="17"/>
      <c r="C2563" s="9"/>
      <c r="D2563" s="10"/>
      <c r="E2563" s="10"/>
      <c r="F2563" s="9"/>
      <c r="G2563" s="1"/>
      <c r="H2563" s="1"/>
      <c r="I2563" s="1"/>
      <c r="J2563" s="1"/>
    </row>
    <row r="2564" spans="1:10" s="6" customFormat="1">
      <c r="A2564" s="17"/>
      <c r="C2564" s="9"/>
      <c r="D2564" s="10"/>
      <c r="E2564" s="10"/>
      <c r="F2564" s="9"/>
      <c r="G2564" s="1"/>
      <c r="H2564" s="1"/>
      <c r="I2564" s="1"/>
      <c r="J2564" s="1"/>
    </row>
    <row r="2565" spans="1:10" s="6" customFormat="1">
      <c r="A2565" s="17"/>
      <c r="C2565" s="9"/>
      <c r="D2565" s="10"/>
      <c r="E2565" s="10"/>
      <c r="F2565" s="9"/>
      <c r="G2565" s="1"/>
      <c r="H2565" s="1"/>
      <c r="I2565" s="1"/>
      <c r="J2565" s="1"/>
    </row>
    <row r="2566" spans="1:10" s="6" customFormat="1">
      <c r="A2566" s="17"/>
      <c r="C2566" s="9"/>
      <c r="D2566" s="10"/>
      <c r="E2566" s="10"/>
      <c r="F2566" s="9"/>
      <c r="G2566" s="1"/>
      <c r="H2566" s="1"/>
      <c r="I2566" s="1"/>
      <c r="J2566" s="1"/>
    </row>
    <row r="2567" spans="1:10" s="6" customFormat="1">
      <c r="A2567" s="17"/>
      <c r="C2567" s="9"/>
      <c r="D2567" s="10"/>
      <c r="E2567" s="10"/>
      <c r="F2567" s="9"/>
      <c r="G2567" s="1"/>
      <c r="H2567" s="1"/>
      <c r="I2567" s="1"/>
      <c r="J2567" s="1"/>
    </row>
    <row r="2568" spans="1:10" s="6" customFormat="1">
      <c r="A2568" s="17"/>
      <c r="C2568" s="9"/>
      <c r="D2568" s="10"/>
      <c r="E2568" s="10"/>
      <c r="F2568" s="9"/>
      <c r="G2568" s="1"/>
      <c r="H2568" s="1"/>
      <c r="I2568" s="1"/>
      <c r="J2568" s="1"/>
    </row>
    <row r="2569" spans="1:10" s="6" customFormat="1">
      <c r="A2569" s="17"/>
      <c r="C2569" s="9"/>
      <c r="D2569" s="10"/>
      <c r="E2569" s="10"/>
      <c r="F2569" s="9"/>
      <c r="G2569" s="1"/>
      <c r="H2569" s="1"/>
      <c r="I2569" s="1"/>
      <c r="J2569" s="1"/>
    </row>
    <row r="2570" spans="1:10" s="6" customFormat="1">
      <c r="A2570" s="17"/>
      <c r="C2570" s="9"/>
      <c r="D2570" s="10"/>
      <c r="E2570" s="10"/>
      <c r="F2570" s="9"/>
      <c r="G2570" s="1"/>
      <c r="H2570" s="1"/>
      <c r="I2570" s="1"/>
      <c r="J2570" s="1"/>
    </row>
    <row r="2571" spans="1:10" s="6" customFormat="1">
      <c r="A2571" s="17"/>
      <c r="C2571" s="9"/>
      <c r="D2571" s="10"/>
      <c r="E2571" s="10"/>
      <c r="F2571" s="9"/>
      <c r="G2571" s="1"/>
      <c r="H2571" s="1"/>
      <c r="I2571" s="1"/>
      <c r="J2571" s="1"/>
    </row>
    <row r="2572" spans="1:10" s="6" customFormat="1">
      <c r="A2572" s="17"/>
      <c r="C2572" s="9"/>
      <c r="D2572" s="10"/>
      <c r="E2572" s="10"/>
      <c r="F2572" s="9"/>
      <c r="G2572" s="1"/>
      <c r="H2572" s="1"/>
      <c r="I2572" s="1"/>
      <c r="J2572" s="1"/>
    </row>
    <row r="2573" spans="1:10" s="6" customFormat="1">
      <c r="A2573" s="17"/>
      <c r="C2573" s="9"/>
      <c r="D2573" s="10"/>
      <c r="E2573" s="10"/>
      <c r="F2573" s="9"/>
      <c r="G2573" s="1"/>
      <c r="H2573" s="1"/>
      <c r="I2573" s="1"/>
      <c r="J2573" s="1"/>
    </row>
    <row r="2574" spans="1:10" s="6" customFormat="1">
      <c r="A2574" s="17"/>
      <c r="C2574" s="9"/>
      <c r="D2574" s="10"/>
      <c r="E2574" s="10"/>
      <c r="F2574" s="9"/>
      <c r="G2574" s="1"/>
      <c r="H2574" s="1"/>
      <c r="I2574" s="1"/>
      <c r="J2574" s="1"/>
    </row>
    <row r="2575" spans="1:10" s="6" customFormat="1">
      <c r="A2575" s="17"/>
      <c r="C2575" s="9"/>
      <c r="D2575" s="10"/>
      <c r="E2575" s="10"/>
      <c r="F2575" s="9"/>
      <c r="G2575" s="1"/>
      <c r="H2575" s="1"/>
      <c r="I2575" s="1"/>
      <c r="J2575" s="1"/>
    </row>
    <row r="2576" spans="1:10" s="6" customFormat="1">
      <c r="A2576" s="17"/>
      <c r="C2576" s="9"/>
      <c r="D2576" s="10"/>
      <c r="E2576" s="10"/>
      <c r="F2576" s="9"/>
      <c r="G2576" s="1"/>
      <c r="H2576" s="1"/>
      <c r="I2576" s="1"/>
      <c r="J2576" s="1"/>
    </row>
    <row r="2577" spans="1:10" s="6" customFormat="1">
      <c r="A2577" s="17"/>
      <c r="C2577" s="9"/>
      <c r="D2577" s="10"/>
      <c r="E2577" s="10"/>
      <c r="F2577" s="9"/>
      <c r="G2577" s="1"/>
      <c r="H2577" s="1"/>
      <c r="I2577" s="1"/>
      <c r="J2577" s="1"/>
    </row>
    <row r="2578" spans="1:10" s="6" customFormat="1">
      <c r="A2578" s="17"/>
      <c r="C2578" s="9"/>
      <c r="D2578" s="10"/>
      <c r="E2578" s="10"/>
      <c r="F2578" s="9"/>
      <c r="G2578" s="1"/>
      <c r="H2578" s="1"/>
      <c r="I2578" s="1"/>
      <c r="J2578" s="1"/>
    </row>
    <row r="2579" spans="1:10" s="6" customFormat="1">
      <c r="A2579" s="17"/>
      <c r="C2579" s="9"/>
      <c r="D2579" s="10"/>
      <c r="E2579" s="10"/>
      <c r="F2579" s="9"/>
      <c r="G2579" s="1"/>
      <c r="H2579" s="1"/>
      <c r="I2579" s="1"/>
      <c r="J2579" s="1"/>
    </row>
    <row r="2580" spans="1:10" s="6" customFormat="1">
      <c r="A2580" s="17"/>
      <c r="C2580" s="9"/>
      <c r="D2580" s="10"/>
      <c r="E2580" s="10"/>
      <c r="F2580" s="9"/>
      <c r="G2580" s="1"/>
      <c r="H2580" s="1"/>
      <c r="I2580" s="1"/>
      <c r="J2580" s="1"/>
    </row>
    <row r="2581" spans="1:10" s="6" customFormat="1">
      <c r="A2581" s="17"/>
      <c r="C2581" s="9"/>
      <c r="D2581" s="10"/>
      <c r="E2581" s="10"/>
      <c r="F2581" s="9"/>
      <c r="G2581" s="1"/>
      <c r="H2581" s="1"/>
      <c r="I2581" s="1"/>
      <c r="J2581" s="1"/>
    </row>
    <row r="2582" spans="1:10" s="6" customFormat="1">
      <c r="A2582" s="17"/>
      <c r="C2582" s="9"/>
      <c r="D2582" s="10"/>
      <c r="E2582" s="10"/>
      <c r="F2582" s="9"/>
      <c r="G2582" s="1"/>
      <c r="H2582" s="1"/>
      <c r="I2582" s="1"/>
      <c r="J2582" s="1"/>
    </row>
    <row r="2583" spans="1:10" s="6" customFormat="1">
      <c r="A2583" s="17"/>
      <c r="C2583" s="9"/>
      <c r="D2583" s="10"/>
      <c r="E2583" s="10"/>
      <c r="F2583" s="9"/>
      <c r="G2583" s="1"/>
      <c r="H2583" s="1"/>
      <c r="I2583" s="1"/>
      <c r="J2583" s="1"/>
    </row>
    <row r="2584" spans="1:10" s="6" customFormat="1">
      <c r="A2584" s="17"/>
      <c r="C2584" s="9"/>
      <c r="D2584" s="10"/>
      <c r="E2584" s="10"/>
      <c r="F2584" s="9"/>
      <c r="G2584" s="1"/>
      <c r="H2584" s="1"/>
      <c r="I2584" s="1"/>
      <c r="J2584" s="1"/>
    </row>
    <row r="2585" spans="1:10" s="6" customFormat="1">
      <c r="A2585" s="17"/>
      <c r="C2585" s="9"/>
      <c r="D2585" s="10"/>
      <c r="E2585" s="10"/>
      <c r="F2585" s="9"/>
      <c r="G2585" s="1"/>
      <c r="H2585" s="1"/>
      <c r="I2585" s="1"/>
      <c r="J2585" s="1"/>
    </row>
    <row r="2586" spans="1:10" s="6" customFormat="1">
      <c r="A2586" s="17"/>
      <c r="C2586" s="9"/>
      <c r="D2586" s="10"/>
      <c r="E2586" s="10"/>
      <c r="F2586" s="9"/>
      <c r="G2586" s="1"/>
      <c r="H2586" s="1"/>
      <c r="I2586" s="1"/>
      <c r="J2586" s="1"/>
    </row>
    <row r="2587" spans="1:10" s="6" customFormat="1">
      <c r="A2587" s="17"/>
      <c r="C2587" s="9"/>
      <c r="D2587" s="10"/>
      <c r="E2587" s="10"/>
      <c r="F2587" s="9"/>
      <c r="G2587" s="1"/>
      <c r="H2587" s="1"/>
      <c r="I2587" s="1"/>
      <c r="J2587" s="1"/>
    </row>
    <row r="2588" spans="1:10" s="6" customFormat="1">
      <c r="A2588" s="17"/>
      <c r="C2588" s="9"/>
      <c r="D2588" s="10"/>
      <c r="E2588" s="10"/>
      <c r="F2588" s="9"/>
      <c r="G2588" s="1"/>
      <c r="H2588" s="1"/>
      <c r="I2588" s="1"/>
      <c r="J2588" s="1"/>
    </row>
    <row r="2589" spans="1:10" s="6" customFormat="1">
      <c r="A2589" s="17"/>
      <c r="C2589" s="9"/>
      <c r="D2589" s="10"/>
      <c r="E2589" s="10"/>
      <c r="F2589" s="9"/>
      <c r="G2589" s="1"/>
      <c r="H2589" s="1"/>
      <c r="I2589" s="1"/>
      <c r="J2589" s="1"/>
    </row>
    <row r="2590" spans="1:10" s="6" customFormat="1">
      <c r="A2590" s="17"/>
      <c r="C2590" s="9"/>
      <c r="D2590" s="10"/>
      <c r="E2590" s="10"/>
      <c r="F2590" s="9"/>
      <c r="G2590" s="1"/>
      <c r="H2590" s="1"/>
      <c r="I2590" s="1"/>
      <c r="J2590" s="1"/>
    </row>
    <row r="2591" spans="1:10" s="6" customFormat="1">
      <c r="A2591" s="17"/>
      <c r="C2591" s="9"/>
      <c r="D2591" s="10"/>
      <c r="E2591" s="10"/>
      <c r="F2591" s="9"/>
      <c r="G2591" s="1"/>
      <c r="H2591" s="1"/>
      <c r="I2591" s="1"/>
      <c r="J2591" s="1"/>
    </row>
    <row r="2592" spans="1:10" s="6" customFormat="1">
      <c r="A2592" s="17"/>
      <c r="C2592" s="9"/>
      <c r="D2592" s="10"/>
      <c r="E2592" s="10"/>
      <c r="F2592" s="9"/>
      <c r="G2592" s="1"/>
      <c r="H2592" s="1"/>
      <c r="I2592" s="1"/>
      <c r="J2592" s="1"/>
    </row>
    <row r="2593" spans="1:10" s="6" customFormat="1">
      <c r="A2593" s="17"/>
      <c r="C2593" s="9"/>
      <c r="D2593" s="10"/>
      <c r="E2593" s="10"/>
      <c r="F2593" s="9"/>
      <c r="G2593" s="1"/>
      <c r="H2593" s="1"/>
      <c r="I2593" s="1"/>
      <c r="J2593" s="1"/>
    </row>
    <row r="2594" spans="1:10" s="6" customFormat="1">
      <c r="A2594" s="17"/>
      <c r="C2594" s="9"/>
      <c r="D2594" s="10"/>
      <c r="E2594" s="10"/>
      <c r="F2594" s="9"/>
      <c r="G2594" s="1"/>
      <c r="H2594" s="1"/>
      <c r="I2594" s="1"/>
      <c r="J2594" s="1"/>
    </row>
    <row r="2595" spans="1:10" s="6" customFormat="1">
      <c r="A2595" s="17"/>
      <c r="C2595" s="9"/>
      <c r="D2595" s="10"/>
      <c r="E2595" s="10"/>
      <c r="F2595" s="9"/>
      <c r="G2595" s="1"/>
      <c r="H2595" s="1"/>
      <c r="I2595" s="1"/>
      <c r="J2595" s="1"/>
    </row>
    <row r="2596" spans="1:10" s="6" customFormat="1">
      <c r="A2596" s="17"/>
      <c r="C2596" s="9"/>
      <c r="D2596" s="10"/>
      <c r="E2596" s="10"/>
      <c r="F2596" s="9"/>
      <c r="G2596" s="1"/>
      <c r="H2596" s="1"/>
      <c r="I2596" s="1"/>
      <c r="J2596" s="1"/>
    </row>
    <row r="2597" spans="1:10" s="6" customFormat="1">
      <c r="A2597" s="17"/>
      <c r="C2597" s="9"/>
      <c r="D2597" s="10"/>
      <c r="E2597" s="10"/>
      <c r="F2597" s="9"/>
      <c r="G2597" s="1"/>
      <c r="H2597" s="1"/>
      <c r="I2597" s="1"/>
      <c r="J2597" s="1"/>
    </row>
    <row r="2598" spans="1:10" s="6" customFormat="1">
      <c r="A2598" s="17"/>
      <c r="C2598" s="9"/>
      <c r="D2598" s="10"/>
      <c r="E2598" s="10"/>
      <c r="F2598" s="9"/>
      <c r="G2598" s="1"/>
      <c r="H2598" s="1"/>
      <c r="I2598" s="1"/>
      <c r="J2598" s="1"/>
    </row>
    <row r="2599" spans="1:10" s="6" customFormat="1">
      <c r="A2599" s="17"/>
      <c r="C2599" s="9"/>
      <c r="D2599" s="10"/>
      <c r="E2599" s="10"/>
      <c r="F2599" s="9"/>
      <c r="G2599" s="1"/>
      <c r="H2599" s="1"/>
      <c r="I2599" s="1"/>
      <c r="J2599" s="1"/>
    </row>
    <row r="2600" spans="1:10" s="6" customFormat="1">
      <c r="A2600" s="17"/>
      <c r="C2600" s="9"/>
      <c r="D2600" s="10"/>
      <c r="E2600" s="10"/>
      <c r="F2600" s="9"/>
      <c r="G2600" s="1"/>
      <c r="H2600" s="1"/>
      <c r="I2600" s="1"/>
      <c r="J2600" s="1"/>
    </row>
    <row r="2601" spans="1:10" s="6" customFormat="1">
      <c r="A2601" s="17"/>
      <c r="C2601" s="9"/>
      <c r="D2601" s="10"/>
      <c r="E2601" s="10"/>
      <c r="F2601" s="9"/>
      <c r="G2601" s="1"/>
      <c r="H2601" s="1"/>
      <c r="I2601" s="1"/>
      <c r="J2601" s="1"/>
    </row>
    <row r="2602" spans="1:10" s="6" customFormat="1">
      <c r="A2602" s="17"/>
      <c r="C2602" s="9"/>
      <c r="D2602" s="10"/>
      <c r="E2602" s="10"/>
      <c r="F2602" s="9"/>
      <c r="G2602" s="1"/>
      <c r="H2602" s="1"/>
      <c r="I2602" s="1"/>
      <c r="J2602" s="1"/>
    </row>
    <row r="2603" spans="1:10" s="6" customFormat="1">
      <c r="A2603" s="17"/>
      <c r="C2603" s="9"/>
      <c r="D2603" s="10"/>
      <c r="E2603" s="10"/>
      <c r="F2603" s="9"/>
      <c r="G2603" s="1"/>
      <c r="H2603" s="1"/>
      <c r="I2603" s="1"/>
      <c r="J2603" s="1"/>
    </row>
    <row r="2604" spans="1:10" s="6" customFormat="1">
      <c r="A2604" s="17"/>
      <c r="C2604" s="9"/>
      <c r="D2604" s="10"/>
      <c r="E2604" s="10"/>
      <c r="F2604" s="9"/>
      <c r="G2604" s="1"/>
      <c r="H2604" s="1"/>
      <c r="I2604" s="1"/>
      <c r="J2604" s="1"/>
    </row>
    <row r="2605" spans="1:10" s="6" customFormat="1">
      <c r="A2605" s="17"/>
      <c r="C2605" s="9"/>
      <c r="D2605" s="10"/>
      <c r="E2605" s="10"/>
      <c r="F2605" s="9"/>
      <c r="G2605" s="1"/>
      <c r="H2605" s="1"/>
      <c r="I2605" s="1"/>
      <c r="J2605" s="1"/>
    </row>
    <row r="2606" spans="1:10" s="6" customFormat="1">
      <c r="A2606" s="17"/>
      <c r="C2606" s="9"/>
      <c r="D2606" s="10"/>
      <c r="E2606" s="10"/>
      <c r="F2606" s="9"/>
      <c r="G2606" s="1"/>
      <c r="H2606" s="1"/>
      <c r="I2606" s="1"/>
      <c r="J2606" s="1"/>
    </row>
    <row r="2607" spans="1:10" s="6" customFormat="1">
      <c r="A2607" s="17"/>
      <c r="C2607" s="9"/>
      <c r="D2607" s="10"/>
      <c r="E2607" s="10"/>
      <c r="F2607" s="9"/>
      <c r="G2607" s="1"/>
      <c r="H2607" s="1"/>
      <c r="I2607" s="1"/>
      <c r="J2607" s="1"/>
    </row>
    <row r="2608" spans="1:10" s="6" customFormat="1">
      <c r="A2608" s="17"/>
      <c r="C2608" s="9"/>
      <c r="D2608" s="10"/>
      <c r="E2608" s="10"/>
      <c r="F2608" s="9"/>
      <c r="G2608" s="1"/>
      <c r="H2608" s="1"/>
      <c r="I2608" s="1"/>
      <c r="J2608" s="1"/>
    </row>
    <row r="2609" spans="1:10" s="6" customFormat="1">
      <c r="A2609" s="17"/>
      <c r="C2609" s="9"/>
      <c r="D2609" s="10"/>
      <c r="E2609" s="10"/>
      <c r="F2609" s="9"/>
      <c r="G2609" s="1"/>
      <c r="H2609" s="1"/>
      <c r="I2609" s="1"/>
      <c r="J2609" s="1"/>
    </row>
    <row r="2610" spans="1:10" s="6" customFormat="1">
      <c r="A2610" s="17"/>
      <c r="C2610" s="9"/>
      <c r="D2610" s="10"/>
      <c r="E2610" s="10"/>
      <c r="F2610" s="9"/>
      <c r="G2610" s="1"/>
      <c r="H2610" s="1"/>
      <c r="I2610" s="1"/>
      <c r="J2610" s="1"/>
    </row>
    <row r="2611" spans="1:10" s="6" customFormat="1">
      <c r="A2611" s="17"/>
      <c r="C2611" s="9"/>
      <c r="D2611" s="10"/>
      <c r="E2611" s="10"/>
      <c r="F2611" s="9"/>
      <c r="G2611" s="1"/>
      <c r="H2611" s="1"/>
      <c r="I2611" s="1"/>
      <c r="J2611" s="1"/>
    </row>
    <row r="2612" spans="1:10" s="6" customFormat="1">
      <c r="A2612" s="17"/>
      <c r="C2612" s="9"/>
      <c r="D2612" s="10"/>
      <c r="E2612" s="10"/>
      <c r="F2612" s="9"/>
      <c r="G2612" s="1"/>
      <c r="H2612" s="1"/>
      <c r="I2612" s="1"/>
      <c r="J2612" s="1"/>
    </row>
    <row r="2613" spans="1:10" s="6" customFormat="1">
      <c r="A2613" s="17"/>
      <c r="C2613" s="9"/>
      <c r="D2613" s="10"/>
      <c r="E2613" s="10"/>
      <c r="F2613" s="9"/>
      <c r="G2613" s="1"/>
      <c r="H2613" s="1"/>
      <c r="I2613" s="1"/>
      <c r="J2613" s="1"/>
    </row>
    <row r="2614" spans="1:10" s="6" customFormat="1">
      <c r="A2614" s="17"/>
      <c r="C2614" s="9"/>
      <c r="D2614" s="10"/>
      <c r="E2614" s="10"/>
      <c r="F2614" s="9"/>
      <c r="G2614" s="1"/>
      <c r="H2614" s="1"/>
      <c r="I2614" s="1"/>
      <c r="J2614" s="1"/>
    </row>
    <row r="2615" spans="1:10" s="6" customFormat="1">
      <c r="A2615" s="17"/>
      <c r="C2615" s="9"/>
      <c r="D2615" s="10"/>
      <c r="E2615" s="10"/>
      <c r="F2615" s="9"/>
      <c r="G2615" s="1"/>
      <c r="H2615" s="1"/>
      <c r="I2615" s="1"/>
      <c r="J2615" s="1"/>
    </row>
    <row r="2616" spans="1:10" s="6" customFormat="1">
      <c r="A2616" s="17"/>
      <c r="C2616" s="9"/>
      <c r="D2616" s="10"/>
      <c r="E2616" s="10"/>
      <c r="F2616" s="9"/>
      <c r="G2616" s="1"/>
      <c r="H2616" s="1"/>
      <c r="I2616" s="1"/>
      <c r="J2616" s="1"/>
    </row>
    <row r="2617" spans="1:10" s="6" customFormat="1">
      <c r="A2617" s="17"/>
      <c r="C2617" s="9"/>
      <c r="D2617" s="10"/>
      <c r="E2617" s="10"/>
      <c r="F2617" s="9"/>
      <c r="G2617" s="1"/>
      <c r="H2617" s="1"/>
      <c r="I2617" s="1"/>
      <c r="J2617" s="1"/>
    </row>
    <row r="2618" spans="1:10" s="6" customFormat="1">
      <c r="A2618" s="17"/>
      <c r="C2618" s="9"/>
      <c r="D2618" s="10"/>
      <c r="E2618" s="10"/>
      <c r="F2618" s="9"/>
      <c r="G2618" s="1"/>
      <c r="H2618" s="1"/>
      <c r="I2618" s="1"/>
      <c r="J2618" s="1"/>
    </row>
    <row r="2619" spans="1:10" s="6" customFormat="1">
      <c r="A2619" s="17"/>
      <c r="C2619" s="9"/>
      <c r="D2619" s="10"/>
      <c r="E2619" s="10"/>
      <c r="F2619" s="9"/>
      <c r="G2619" s="1"/>
      <c r="H2619" s="1"/>
      <c r="I2619" s="1"/>
      <c r="J2619" s="1"/>
    </row>
    <row r="2620" spans="1:10" s="6" customFormat="1">
      <c r="A2620" s="17"/>
      <c r="C2620" s="9"/>
      <c r="D2620" s="10"/>
      <c r="E2620" s="10"/>
      <c r="F2620" s="9"/>
      <c r="G2620" s="1"/>
      <c r="H2620" s="1"/>
      <c r="I2620" s="1"/>
      <c r="J2620" s="1"/>
    </row>
    <row r="2621" spans="1:10" s="6" customFormat="1">
      <c r="A2621" s="17"/>
      <c r="C2621" s="9"/>
      <c r="D2621" s="10"/>
      <c r="E2621" s="10"/>
      <c r="F2621" s="9"/>
      <c r="G2621" s="1"/>
      <c r="H2621" s="1"/>
      <c r="I2621" s="1"/>
      <c r="J2621" s="1"/>
    </row>
    <row r="2622" spans="1:10" s="6" customFormat="1">
      <c r="A2622" s="17"/>
      <c r="C2622" s="9"/>
      <c r="D2622" s="10"/>
      <c r="E2622" s="10"/>
      <c r="F2622" s="9"/>
      <c r="G2622" s="1"/>
      <c r="H2622" s="1"/>
      <c r="I2622" s="1"/>
      <c r="J2622" s="1"/>
    </row>
    <row r="2623" spans="1:10" s="6" customFormat="1">
      <c r="A2623" s="17"/>
      <c r="C2623" s="9"/>
      <c r="D2623" s="10"/>
      <c r="E2623" s="10"/>
      <c r="F2623" s="9"/>
      <c r="G2623" s="1"/>
      <c r="H2623" s="1"/>
      <c r="I2623" s="1"/>
      <c r="J2623" s="1"/>
    </row>
    <row r="2624" spans="1:10" s="6" customFormat="1">
      <c r="A2624" s="17"/>
      <c r="C2624" s="9"/>
      <c r="D2624" s="10"/>
      <c r="E2624" s="10"/>
      <c r="F2624" s="9"/>
      <c r="G2624" s="1"/>
      <c r="H2624" s="1"/>
      <c r="I2624" s="1"/>
      <c r="J2624" s="1"/>
    </row>
    <row r="2625" spans="1:10" s="6" customFormat="1">
      <c r="A2625" s="17"/>
      <c r="C2625" s="9"/>
      <c r="D2625" s="10"/>
      <c r="E2625" s="10"/>
      <c r="F2625" s="9"/>
      <c r="G2625" s="1"/>
      <c r="H2625" s="1"/>
      <c r="I2625" s="1"/>
      <c r="J2625" s="1"/>
    </row>
    <row r="2626" spans="1:10" s="6" customFormat="1">
      <c r="A2626" s="17"/>
      <c r="C2626" s="9"/>
      <c r="D2626" s="10"/>
      <c r="E2626" s="10"/>
      <c r="F2626" s="9"/>
      <c r="G2626" s="1"/>
      <c r="H2626" s="1"/>
      <c r="I2626" s="1"/>
      <c r="J2626" s="1"/>
    </row>
    <row r="2627" spans="1:10" s="6" customFormat="1">
      <c r="A2627" s="17"/>
      <c r="C2627" s="9"/>
      <c r="D2627" s="10"/>
      <c r="E2627" s="10"/>
      <c r="F2627" s="9"/>
      <c r="G2627" s="1"/>
      <c r="H2627" s="1"/>
      <c r="I2627" s="1"/>
      <c r="J2627" s="1"/>
    </row>
    <row r="2628" spans="1:10" s="6" customFormat="1">
      <c r="A2628" s="17"/>
      <c r="C2628" s="9"/>
      <c r="D2628" s="10"/>
      <c r="E2628" s="10"/>
      <c r="F2628" s="9"/>
      <c r="G2628" s="1"/>
      <c r="H2628" s="1"/>
      <c r="I2628" s="1"/>
      <c r="J2628" s="1"/>
    </row>
    <row r="2629" spans="1:10" s="6" customFormat="1">
      <c r="A2629" s="17"/>
      <c r="C2629" s="9"/>
      <c r="D2629" s="10"/>
      <c r="E2629" s="10"/>
      <c r="F2629" s="9"/>
      <c r="G2629" s="1"/>
      <c r="H2629" s="1"/>
      <c r="I2629" s="1"/>
      <c r="J2629" s="1"/>
    </row>
    <row r="2630" spans="1:10" s="6" customFormat="1">
      <c r="A2630" s="17"/>
      <c r="C2630" s="9"/>
      <c r="D2630" s="10"/>
      <c r="E2630" s="10"/>
      <c r="F2630" s="9"/>
      <c r="G2630" s="1"/>
      <c r="H2630" s="1"/>
      <c r="I2630" s="1"/>
      <c r="J2630" s="1"/>
    </row>
    <row r="2631" spans="1:10" s="6" customFormat="1">
      <c r="A2631" s="17"/>
      <c r="C2631" s="9"/>
      <c r="D2631" s="10"/>
      <c r="E2631" s="10"/>
      <c r="F2631" s="9"/>
      <c r="G2631" s="1"/>
      <c r="H2631" s="1"/>
      <c r="I2631" s="1"/>
      <c r="J2631" s="1"/>
    </row>
    <row r="2632" spans="1:10" s="6" customFormat="1">
      <c r="A2632" s="17"/>
      <c r="C2632" s="9"/>
      <c r="D2632" s="10"/>
      <c r="E2632" s="10"/>
      <c r="F2632" s="9"/>
      <c r="G2632" s="1"/>
      <c r="H2632" s="1"/>
      <c r="I2632" s="1"/>
      <c r="J2632" s="1"/>
    </row>
    <row r="2633" spans="1:10" s="6" customFormat="1">
      <c r="A2633" s="17"/>
      <c r="C2633" s="9"/>
      <c r="D2633" s="10"/>
      <c r="E2633" s="10"/>
      <c r="F2633" s="9"/>
      <c r="G2633" s="1"/>
      <c r="H2633" s="1"/>
      <c r="I2633" s="1"/>
      <c r="J2633" s="1"/>
    </row>
    <row r="2634" spans="1:10" s="6" customFormat="1">
      <c r="A2634" s="17"/>
      <c r="C2634" s="9"/>
      <c r="D2634" s="10"/>
      <c r="E2634" s="10"/>
      <c r="F2634" s="9"/>
      <c r="G2634" s="1"/>
      <c r="H2634" s="1"/>
      <c r="I2634" s="1"/>
      <c r="J2634" s="1"/>
    </row>
    <row r="2635" spans="1:10" s="6" customFormat="1">
      <c r="A2635" s="17"/>
      <c r="C2635" s="9"/>
      <c r="D2635" s="10"/>
      <c r="E2635" s="10"/>
      <c r="F2635" s="9"/>
      <c r="G2635" s="1"/>
      <c r="H2635" s="1"/>
      <c r="I2635" s="1"/>
      <c r="J2635" s="1"/>
    </row>
    <row r="2636" spans="1:10" s="6" customFormat="1">
      <c r="A2636" s="17"/>
      <c r="C2636" s="9"/>
      <c r="D2636" s="10"/>
      <c r="E2636" s="10"/>
      <c r="F2636" s="9"/>
      <c r="G2636" s="1"/>
      <c r="H2636" s="1"/>
      <c r="I2636" s="1"/>
      <c r="J2636" s="1"/>
    </row>
    <row r="2637" spans="1:10" s="6" customFormat="1">
      <c r="A2637" s="17"/>
      <c r="C2637" s="9"/>
      <c r="D2637" s="10"/>
      <c r="E2637" s="10"/>
      <c r="F2637" s="9"/>
      <c r="G2637" s="1"/>
      <c r="H2637" s="1"/>
      <c r="I2637" s="1"/>
      <c r="J2637" s="1"/>
    </row>
    <row r="2638" spans="1:10" s="6" customFormat="1">
      <c r="A2638" s="17"/>
      <c r="C2638" s="9"/>
      <c r="D2638" s="10"/>
      <c r="E2638" s="10"/>
      <c r="F2638" s="9"/>
      <c r="G2638" s="1"/>
      <c r="H2638" s="1"/>
      <c r="I2638" s="1"/>
      <c r="J2638" s="1"/>
    </row>
    <row r="2639" spans="1:10" s="6" customFormat="1">
      <c r="A2639" s="17"/>
      <c r="C2639" s="9"/>
      <c r="D2639" s="10"/>
      <c r="E2639" s="10"/>
      <c r="F2639" s="9"/>
      <c r="G2639" s="1"/>
      <c r="H2639" s="1"/>
      <c r="I2639" s="1"/>
      <c r="J2639" s="1"/>
    </row>
    <row r="2640" spans="1:10" s="6" customFormat="1">
      <c r="A2640" s="17"/>
      <c r="C2640" s="9"/>
      <c r="D2640" s="10"/>
      <c r="E2640" s="10"/>
      <c r="F2640" s="9"/>
      <c r="G2640" s="1"/>
      <c r="H2640" s="1"/>
      <c r="I2640" s="1"/>
      <c r="J2640" s="1"/>
    </row>
    <row r="2641" spans="1:10" s="6" customFormat="1">
      <c r="A2641" s="17"/>
      <c r="C2641" s="9"/>
      <c r="D2641" s="10"/>
      <c r="E2641" s="10"/>
      <c r="F2641" s="9"/>
      <c r="G2641" s="1"/>
      <c r="H2641" s="1"/>
      <c r="I2641" s="1"/>
      <c r="J2641" s="1"/>
    </row>
    <row r="2642" spans="1:10" s="6" customFormat="1">
      <c r="A2642" s="17"/>
      <c r="C2642" s="9"/>
      <c r="D2642" s="10"/>
      <c r="E2642" s="10"/>
      <c r="F2642" s="9"/>
      <c r="G2642" s="1"/>
      <c r="H2642" s="1"/>
      <c r="I2642" s="1"/>
      <c r="J2642" s="1"/>
    </row>
    <row r="2643" spans="1:10" s="6" customFormat="1">
      <c r="A2643" s="17"/>
      <c r="C2643" s="9"/>
      <c r="D2643" s="10"/>
      <c r="E2643" s="10"/>
      <c r="F2643" s="9"/>
      <c r="G2643" s="1"/>
      <c r="H2643" s="1"/>
      <c r="I2643" s="1"/>
      <c r="J2643" s="1"/>
    </row>
    <row r="2644" spans="1:10" s="6" customFormat="1">
      <c r="A2644" s="17"/>
      <c r="C2644" s="9"/>
      <c r="D2644" s="10"/>
      <c r="E2644" s="10"/>
      <c r="F2644" s="9"/>
      <c r="G2644" s="1"/>
      <c r="H2644" s="1"/>
      <c r="I2644" s="1"/>
      <c r="J2644" s="1"/>
    </row>
    <row r="2645" spans="1:10" s="6" customFormat="1">
      <c r="A2645" s="17"/>
      <c r="C2645" s="9"/>
      <c r="D2645" s="10"/>
      <c r="E2645" s="10"/>
      <c r="F2645" s="9"/>
      <c r="G2645" s="1"/>
      <c r="H2645" s="1"/>
      <c r="I2645" s="1"/>
      <c r="J2645" s="1"/>
    </row>
    <row r="2646" spans="1:10" s="6" customFormat="1">
      <c r="A2646" s="17"/>
      <c r="C2646" s="9"/>
      <c r="D2646" s="10"/>
      <c r="E2646" s="10"/>
      <c r="F2646" s="9"/>
      <c r="G2646" s="1"/>
      <c r="H2646" s="1"/>
      <c r="I2646" s="1"/>
      <c r="J2646" s="1"/>
    </row>
    <row r="2647" spans="1:10" s="6" customFormat="1">
      <c r="A2647" s="17"/>
      <c r="C2647" s="9"/>
      <c r="D2647" s="10"/>
      <c r="E2647" s="10"/>
      <c r="F2647" s="9"/>
      <c r="G2647" s="1"/>
      <c r="H2647" s="1"/>
      <c r="I2647" s="1"/>
      <c r="J2647" s="1"/>
    </row>
    <row r="2648" spans="1:10" s="6" customFormat="1">
      <c r="A2648" s="17"/>
      <c r="C2648" s="9"/>
      <c r="D2648" s="10"/>
      <c r="E2648" s="10"/>
      <c r="F2648" s="9"/>
      <c r="G2648" s="1"/>
      <c r="H2648" s="1"/>
      <c r="I2648" s="1"/>
      <c r="J2648" s="1"/>
    </row>
    <row r="2649" spans="1:10" s="6" customFormat="1">
      <c r="A2649" s="17"/>
      <c r="C2649" s="9"/>
      <c r="D2649" s="10"/>
      <c r="E2649" s="10"/>
      <c r="F2649" s="9"/>
      <c r="G2649" s="1"/>
      <c r="H2649" s="1"/>
      <c r="I2649" s="1"/>
      <c r="J2649" s="1"/>
    </row>
    <row r="2650" spans="1:10" s="6" customFormat="1">
      <c r="A2650" s="17"/>
      <c r="C2650" s="9"/>
      <c r="D2650" s="10"/>
      <c r="E2650" s="10"/>
      <c r="F2650" s="9"/>
      <c r="G2650" s="1"/>
      <c r="H2650" s="1"/>
      <c r="I2650" s="1"/>
      <c r="J2650" s="1"/>
    </row>
    <row r="2651" spans="1:10" s="6" customFormat="1">
      <c r="A2651" s="17"/>
      <c r="C2651" s="9"/>
      <c r="D2651" s="10"/>
      <c r="E2651" s="10"/>
      <c r="F2651" s="9"/>
      <c r="G2651" s="1"/>
      <c r="H2651" s="1"/>
      <c r="I2651" s="1"/>
      <c r="J2651" s="1"/>
    </row>
    <row r="2652" spans="1:10" s="6" customFormat="1">
      <c r="A2652" s="17"/>
      <c r="C2652" s="9"/>
      <c r="D2652" s="10"/>
      <c r="E2652" s="10"/>
      <c r="F2652" s="9"/>
      <c r="G2652" s="1"/>
      <c r="H2652" s="1"/>
      <c r="I2652" s="1"/>
      <c r="J2652" s="1"/>
    </row>
    <row r="2653" spans="1:10" s="6" customFormat="1">
      <c r="A2653" s="17"/>
      <c r="C2653" s="9"/>
      <c r="D2653" s="10"/>
      <c r="E2653" s="10"/>
      <c r="F2653" s="9"/>
      <c r="G2653" s="1"/>
      <c r="H2653" s="1"/>
      <c r="I2653" s="1"/>
      <c r="J2653" s="1"/>
    </row>
    <row r="2654" spans="1:10" s="6" customFormat="1">
      <c r="A2654" s="17"/>
      <c r="C2654" s="9"/>
      <c r="D2654" s="10"/>
      <c r="E2654" s="10"/>
      <c r="F2654" s="9"/>
      <c r="G2654" s="1"/>
      <c r="H2654" s="1"/>
      <c r="I2654" s="1"/>
      <c r="J2654" s="1"/>
    </row>
    <row r="2655" spans="1:10" s="6" customFormat="1">
      <c r="A2655" s="17"/>
      <c r="C2655" s="9"/>
      <c r="D2655" s="10"/>
      <c r="E2655" s="10"/>
      <c r="F2655" s="9"/>
      <c r="G2655" s="1"/>
      <c r="H2655" s="1"/>
      <c r="I2655" s="1"/>
      <c r="J2655" s="1"/>
    </row>
    <row r="2656" spans="1:10" s="6" customFormat="1">
      <c r="A2656" s="17"/>
      <c r="C2656" s="9"/>
      <c r="D2656" s="10"/>
      <c r="E2656" s="10"/>
      <c r="F2656" s="9"/>
      <c r="G2656" s="1"/>
      <c r="H2656" s="1"/>
      <c r="I2656" s="1"/>
      <c r="J2656" s="1"/>
    </row>
    <row r="2657" spans="1:10" s="6" customFormat="1">
      <c r="A2657" s="17"/>
      <c r="C2657" s="9"/>
      <c r="D2657" s="10"/>
      <c r="E2657" s="10"/>
      <c r="F2657" s="9"/>
      <c r="G2657" s="1"/>
      <c r="H2657" s="1"/>
      <c r="I2657" s="1"/>
      <c r="J2657" s="1"/>
    </row>
    <row r="2658" spans="1:10" s="6" customFormat="1">
      <c r="A2658" s="17"/>
      <c r="C2658" s="9"/>
      <c r="D2658" s="10"/>
      <c r="E2658" s="10"/>
      <c r="F2658" s="9"/>
      <c r="G2658" s="1"/>
      <c r="H2658" s="1"/>
      <c r="I2658" s="1"/>
      <c r="J2658" s="1"/>
    </row>
    <row r="2659" spans="1:10" s="6" customFormat="1">
      <c r="A2659" s="17"/>
      <c r="C2659" s="9"/>
      <c r="D2659" s="10"/>
      <c r="E2659" s="10"/>
      <c r="F2659" s="9"/>
      <c r="G2659" s="1"/>
      <c r="H2659" s="1"/>
      <c r="I2659" s="1"/>
      <c r="J2659" s="1"/>
    </row>
    <row r="2660" spans="1:10" s="6" customFormat="1">
      <c r="A2660" s="17"/>
      <c r="C2660" s="9"/>
      <c r="D2660" s="10"/>
      <c r="E2660" s="10"/>
      <c r="F2660" s="9"/>
      <c r="G2660" s="1"/>
      <c r="H2660" s="1"/>
      <c r="I2660" s="1"/>
      <c r="J2660" s="1"/>
    </row>
    <row r="2661" spans="1:10" s="6" customFormat="1">
      <c r="A2661" s="17"/>
      <c r="C2661" s="9"/>
      <c r="D2661" s="10"/>
      <c r="E2661" s="10"/>
      <c r="F2661" s="9"/>
      <c r="G2661" s="1"/>
      <c r="H2661" s="1"/>
      <c r="I2661" s="1"/>
      <c r="J2661" s="1"/>
    </row>
    <row r="2662" spans="1:10" s="6" customFormat="1">
      <c r="A2662" s="17"/>
      <c r="C2662" s="9"/>
      <c r="D2662" s="10"/>
      <c r="E2662" s="10"/>
      <c r="F2662" s="9"/>
      <c r="G2662" s="1"/>
      <c r="H2662" s="1"/>
      <c r="I2662" s="1"/>
      <c r="J2662" s="1"/>
    </row>
    <row r="2663" spans="1:10" s="6" customFormat="1">
      <c r="A2663" s="17"/>
      <c r="C2663" s="9"/>
      <c r="D2663" s="10"/>
      <c r="E2663" s="10"/>
      <c r="F2663" s="9"/>
      <c r="G2663" s="1"/>
      <c r="H2663" s="1"/>
      <c r="I2663" s="1"/>
      <c r="J2663" s="1"/>
    </row>
    <row r="2664" spans="1:10" s="6" customFormat="1">
      <c r="A2664" s="17"/>
      <c r="C2664" s="9"/>
      <c r="D2664" s="10"/>
      <c r="E2664" s="10"/>
      <c r="F2664" s="9"/>
      <c r="G2664" s="1"/>
      <c r="H2664" s="1"/>
      <c r="I2664" s="1"/>
      <c r="J2664" s="1"/>
    </row>
    <row r="2665" spans="1:10" s="6" customFormat="1">
      <c r="A2665" s="17"/>
      <c r="C2665" s="9"/>
      <c r="D2665" s="10"/>
      <c r="E2665" s="10"/>
      <c r="F2665" s="9"/>
      <c r="G2665" s="1"/>
      <c r="H2665" s="1"/>
      <c r="I2665" s="1"/>
      <c r="J2665" s="1"/>
    </row>
    <row r="2666" spans="1:10" s="6" customFormat="1">
      <c r="A2666" s="17"/>
      <c r="C2666" s="9"/>
      <c r="D2666" s="10"/>
      <c r="E2666" s="10"/>
      <c r="F2666" s="9"/>
      <c r="G2666" s="1"/>
      <c r="H2666" s="1"/>
      <c r="I2666" s="1"/>
      <c r="J2666" s="1"/>
    </row>
    <row r="2667" spans="1:10" s="6" customFormat="1">
      <c r="A2667" s="17"/>
      <c r="C2667" s="9"/>
      <c r="D2667" s="10"/>
      <c r="E2667" s="10"/>
      <c r="F2667" s="9"/>
      <c r="G2667" s="1"/>
      <c r="H2667" s="1"/>
      <c r="I2667" s="1"/>
      <c r="J2667" s="1"/>
    </row>
    <row r="2668" spans="1:10" s="6" customFormat="1">
      <c r="A2668" s="17"/>
      <c r="C2668" s="9"/>
      <c r="D2668" s="10"/>
      <c r="E2668" s="10"/>
      <c r="F2668" s="9"/>
      <c r="G2668" s="1"/>
      <c r="H2668" s="1"/>
      <c r="I2668" s="1"/>
      <c r="J2668" s="1"/>
    </row>
    <row r="2669" spans="1:10" s="6" customFormat="1">
      <c r="A2669" s="17"/>
      <c r="C2669" s="9"/>
      <c r="D2669" s="10"/>
      <c r="E2669" s="10"/>
      <c r="F2669" s="9"/>
      <c r="G2669" s="1"/>
      <c r="H2669" s="1"/>
      <c r="I2669" s="1"/>
      <c r="J2669" s="1"/>
    </row>
    <row r="2670" spans="1:10" s="6" customFormat="1">
      <c r="A2670" s="17"/>
      <c r="C2670" s="9"/>
      <c r="D2670" s="10"/>
      <c r="E2670" s="10"/>
      <c r="F2670" s="9"/>
      <c r="G2670" s="1"/>
      <c r="H2670" s="1"/>
      <c r="I2670" s="1"/>
      <c r="J2670" s="1"/>
    </row>
    <row r="2671" spans="1:10" s="6" customFormat="1">
      <c r="A2671" s="17"/>
      <c r="C2671" s="9"/>
      <c r="D2671" s="10"/>
      <c r="E2671" s="10"/>
      <c r="F2671" s="9"/>
      <c r="G2671" s="1"/>
      <c r="H2671" s="1"/>
      <c r="I2671" s="1"/>
      <c r="J2671" s="1"/>
    </row>
    <row r="2672" spans="1:10" s="6" customFormat="1">
      <c r="A2672" s="17"/>
      <c r="C2672" s="9"/>
      <c r="D2672" s="10"/>
      <c r="E2672" s="10"/>
      <c r="F2672" s="9"/>
      <c r="G2672" s="1"/>
      <c r="H2672" s="1"/>
      <c r="I2672" s="1"/>
      <c r="J2672" s="1"/>
    </row>
    <row r="2673" spans="1:10" s="6" customFormat="1">
      <c r="A2673" s="17"/>
      <c r="C2673" s="9"/>
      <c r="D2673" s="10"/>
      <c r="E2673" s="10"/>
      <c r="F2673" s="9"/>
      <c r="G2673" s="1"/>
      <c r="H2673" s="1"/>
      <c r="I2673" s="1"/>
      <c r="J2673" s="1"/>
    </row>
    <row r="2674" spans="1:10" s="6" customFormat="1">
      <c r="A2674" s="17"/>
      <c r="C2674" s="9"/>
      <c r="D2674" s="10"/>
      <c r="E2674" s="10"/>
      <c r="F2674" s="9"/>
      <c r="G2674" s="1"/>
      <c r="H2674" s="1"/>
      <c r="I2674" s="1"/>
      <c r="J2674" s="1"/>
    </row>
    <row r="2675" spans="1:10" s="6" customFormat="1">
      <c r="A2675" s="17"/>
      <c r="C2675" s="9"/>
      <c r="D2675" s="10"/>
      <c r="E2675" s="10"/>
      <c r="F2675" s="9"/>
      <c r="G2675" s="1"/>
      <c r="H2675" s="1"/>
      <c r="I2675" s="1"/>
      <c r="J2675" s="1"/>
    </row>
    <row r="2676" spans="1:10" s="6" customFormat="1">
      <c r="A2676" s="17"/>
      <c r="C2676" s="9"/>
      <c r="D2676" s="10"/>
      <c r="E2676" s="10"/>
      <c r="F2676" s="9"/>
      <c r="G2676" s="1"/>
      <c r="H2676" s="1"/>
      <c r="I2676" s="1"/>
      <c r="J2676" s="1"/>
    </row>
    <row r="2677" spans="1:10" s="6" customFormat="1">
      <c r="A2677" s="17"/>
      <c r="C2677" s="9"/>
      <c r="D2677" s="10"/>
      <c r="E2677" s="10"/>
      <c r="F2677" s="9"/>
      <c r="G2677" s="1"/>
      <c r="H2677" s="1"/>
      <c r="I2677" s="1"/>
      <c r="J2677" s="1"/>
    </row>
    <row r="2678" spans="1:10" s="6" customFormat="1">
      <c r="A2678" s="17"/>
      <c r="C2678" s="9"/>
      <c r="D2678" s="10"/>
      <c r="E2678" s="10"/>
      <c r="F2678" s="9"/>
      <c r="G2678" s="1"/>
      <c r="H2678" s="1"/>
      <c r="I2678" s="1"/>
      <c r="J2678" s="1"/>
    </row>
    <row r="2679" spans="1:10" s="6" customFormat="1">
      <c r="A2679" s="17"/>
      <c r="C2679" s="9"/>
      <c r="D2679" s="10"/>
      <c r="E2679" s="10"/>
      <c r="F2679" s="9"/>
      <c r="G2679" s="1"/>
      <c r="H2679" s="1"/>
      <c r="I2679" s="1"/>
      <c r="J2679" s="1"/>
    </row>
    <row r="2680" spans="1:10" s="6" customFormat="1">
      <c r="A2680" s="17"/>
      <c r="C2680" s="9"/>
      <c r="D2680" s="10"/>
      <c r="E2680" s="10"/>
      <c r="F2680" s="9"/>
      <c r="G2680" s="1"/>
      <c r="H2680" s="1"/>
      <c r="I2680" s="1"/>
      <c r="J2680" s="1"/>
    </row>
    <row r="2681" spans="1:10" s="6" customFormat="1">
      <c r="A2681" s="17"/>
      <c r="C2681" s="9"/>
      <c r="D2681" s="10"/>
      <c r="E2681" s="10"/>
      <c r="F2681" s="9"/>
      <c r="G2681" s="1"/>
      <c r="H2681" s="1"/>
      <c r="I2681" s="1"/>
      <c r="J2681" s="1"/>
    </row>
    <row r="2682" spans="1:10" s="6" customFormat="1">
      <c r="A2682" s="17"/>
      <c r="C2682" s="9"/>
      <c r="D2682" s="10"/>
      <c r="E2682" s="10"/>
      <c r="F2682" s="9"/>
      <c r="G2682" s="1"/>
      <c r="H2682" s="1"/>
      <c r="I2682" s="1"/>
      <c r="J2682" s="1"/>
    </row>
    <row r="2683" spans="1:10" s="6" customFormat="1">
      <c r="A2683" s="17"/>
      <c r="C2683" s="9"/>
      <c r="D2683" s="10"/>
      <c r="E2683" s="10"/>
      <c r="F2683" s="9"/>
      <c r="G2683" s="1"/>
      <c r="H2683" s="1"/>
      <c r="I2683" s="1"/>
      <c r="J2683" s="1"/>
    </row>
    <row r="2684" spans="1:10" s="6" customFormat="1">
      <c r="A2684" s="17"/>
      <c r="C2684" s="9"/>
      <c r="D2684" s="10"/>
      <c r="E2684" s="10"/>
      <c r="F2684" s="9"/>
      <c r="G2684" s="1"/>
      <c r="H2684" s="1"/>
      <c r="I2684" s="1"/>
      <c r="J2684" s="1"/>
    </row>
    <row r="2685" spans="1:10" s="6" customFormat="1">
      <c r="A2685" s="17"/>
      <c r="C2685" s="9"/>
      <c r="D2685" s="10"/>
      <c r="E2685" s="10"/>
      <c r="F2685" s="9"/>
      <c r="G2685" s="1"/>
      <c r="H2685" s="1"/>
      <c r="I2685" s="1"/>
      <c r="J2685" s="1"/>
    </row>
    <row r="2686" spans="1:10" s="6" customFormat="1">
      <c r="A2686" s="17"/>
      <c r="C2686" s="9"/>
      <c r="D2686" s="10"/>
      <c r="E2686" s="10"/>
      <c r="F2686" s="9"/>
      <c r="G2686" s="1"/>
      <c r="H2686" s="1"/>
      <c r="I2686" s="1"/>
      <c r="J2686" s="1"/>
    </row>
    <row r="2687" spans="1:10" s="6" customFormat="1">
      <c r="A2687" s="17"/>
      <c r="C2687" s="9"/>
      <c r="D2687" s="10"/>
      <c r="E2687" s="10"/>
      <c r="F2687" s="9"/>
      <c r="G2687" s="1"/>
      <c r="H2687" s="1"/>
      <c r="I2687" s="1"/>
      <c r="J2687" s="1"/>
    </row>
    <row r="2688" spans="1:10" s="6" customFormat="1">
      <c r="A2688" s="17"/>
      <c r="C2688" s="9"/>
      <c r="D2688" s="10"/>
      <c r="E2688" s="10"/>
      <c r="F2688" s="9"/>
      <c r="G2688" s="1"/>
      <c r="H2688" s="1"/>
      <c r="I2688" s="1"/>
      <c r="J2688" s="1"/>
    </row>
    <row r="2689" spans="1:10" s="6" customFormat="1">
      <c r="A2689" s="17"/>
      <c r="C2689" s="9"/>
      <c r="D2689" s="10"/>
      <c r="E2689" s="10"/>
      <c r="F2689" s="9"/>
      <c r="G2689" s="1"/>
      <c r="H2689" s="1"/>
      <c r="I2689" s="1"/>
      <c r="J2689" s="1"/>
    </row>
    <row r="2690" spans="1:10" s="6" customFormat="1">
      <c r="A2690" s="17"/>
      <c r="C2690" s="9"/>
      <c r="D2690" s="10"/>
      <c r="E2690" s="10"/>
      <c r="F2690" s="9"/>
      <c r="G2690" s="1"/>
      <c r="H2690" s="1"/>
      <c r="I2690" s="1"/>
      <c r="J2690" s="1"/>
    </row>
    <row r="2691" spans="1:10" s="6" customFormat="1">
      <c r="A2691" s="17"/>
      <c r="C2691" s="9"/>
      <c r="D2691" s="10"/>
      <c r="E2691" s="10"/>
      <c r="F2691" s="9"/>
      <c r="G2691" s="1"/>
      <c r="H2691" s="1"/>
      <c r="I2691" s="1"/>
      <c r="J2691" s="1"/>
    </row>
    <row r="2692" spans="1:10" s="6" customFormat="1">
      <c r="A2692" s="17"/>
      <c r="C2692" s="9"/>
      <c r="D2692" s="10"/>
      <c r="E2692" s="10"/>
      <c r="F2692" s="9"/>
      <c r="G2692" s="1"/>
      <c r="H2692" s="1"/>
      <c r="I2692" s="1"/>
      <c r="J2692" s="1"/>
    </row>
    <row r="2693" spans="1:10" s="6" customFormat="1">
      <c r="A2693" s="17"/>
      <c r="C2693" s="9"/>
      <c r="D2693" s="10"/>
      <c r="E2693" s="10"/>
      <c r="F2693" s="9"/>
      <c r="G2693" s="1"/>
      <c r="H2693" s="1"/>
      <c r="I2693" s="1"/>
      <c r="J2693" s="1"/>
    </row>
    <row r="2694" spans="1:10" s="6" customFormat="1">
      <c r="A2694" s="17"/>
      <c r="C2694" s="9"/>
      <c r="D2694" s="10"/>
      <c r="E2694" s="10"/>
      <c r="F2694" s="9"/>
      <c r="G2694" s="1"/>
      <c r="H2694" s="1"/>
      <c r="I2694" s="1"/>
      <c r="J2694" s="1"/>
    </row>
    <row r="2695" spans="1:10" s="6" customFormat="1">
      <c r="A2695" s="17"/>
      <c r="C2695" s="9"/>
      <c r="D2695" s="10"/>
      <c r="E2695" s="10"/>
      <c r="F2695" s="9"/>
      <c r="G2695" s="1"/>
      <c r="H2695" s="1"/>
      <c r="I2695" s="1"/>
      <c r="J2695" s="1"/>
    </row>
    <row r="2696" spans="1:10" s="6" customFormat="1">
      <c r="A2696" s="17"/>
      <c r="C2696" s="9"/>
      <c r="D2696" s="10"/>
      <c r="E2696" s="10"/>
      <c r="F2696" s="9"/>
      <c r="G2696" s="1"/>
      <c r="H2696" s="1"/>
      <c r="I2696" s="1"/>
      <c r="J2696" s="1"/>
    </row>
    <row r="2697" spans="1:10" s="6" customFormat="1">
      <c r="A2697" s="17"/>
      <c r="C2697" s="9"/>
      <c r="D2697" s="10"/>
      <c r="E2697" s="10"/>
      <c r="F2697" s="9"/>
      <c r="G2697" s="1"/>
      <c r="H2697" s="1"/>
      <c r="I2697" s="1"/>
      <c r="J2697" s="1"/>
    </row>
    <row r="2698" spans="1:10" s="6" customFormat="1">
      <c r="A2698" s="17"/>
      <c r="C2698" s="9"/>
      <c r="D2698" s="10"/>
      <c r="E2698" s="10"/>
      <c r="F2698" s="9"/>
      <c r="G2698" s="1"/>
      <c r="H2698" s="1"/>
      <c r="I2698" s="1"/>
      <c r="J2698" s="1"/>
    </row>
    <row r="2699" spans="1:10" s="6" customFormat="1">
      <c r="A2699" s="17"/>
      <c r="C2699" s="9"/>
      <c r="D2699" s="10"/>
      <c r="E2699" s="10"/>
      <c r="F2699" s="9"/>
      <c r="G2699" s="1"/>
      <c r="H2699" s="1"/>
      <c r="I2699" s="1"/>
      <c r="J2699" s="1"/>
    </row>
    <row r="2700" spans="1:10" s="6" customFormat="1">
      <c r="A2700" s="17"/>
      <c r="C2700" s="9"/>
      <c r="D2700" s="10"/>
      <c r="E2700" s="10"/>
      <c r="F2700" s="9"/>
      <c r="G2700" s="1"/>
      <c r="H2700" s="1"/>
      <c r="I2700" s="1"/>
      <c r="J2700" s="1"/>
    </row>
    <row r="2701" spans="1:10" s="6" customFormat="1">
      <c r="A2701" s="17"/>
      <c r="C2701" s="9"/>
      <c r="D2701" s="10"/>
      <c r="E2701" s="10"/>
      <c r="F2701" s="9"/>
      <c r="G2701" s="1"/>
      <c r="H2701" s="1"/>
      <c r="I2701" s="1"/>
      <c r="J2701" s="1"/>
    </row>
    <row r="2702" spans="1:10" s="6" customFormat="1">
      <c r="A2702" s="17"/>
      <c r="C2702" s="9"/>
      <c r="D2702" s="10"/>
      <c r="E2702" s="10"/>
      <c r="F2702" s="9"/>
      <c r="G2702" s="1"/>
      <c r="H2702" s="1"/>
      <c r="I2702" s="1"/>
      <c r="J2702" s="1"/>
    </row>
    <row r="2703" spans="1:10" s="6" customFormat="1">
      <c r="A2703" s="17"/>
      <c r="C2703" s="9"/>
      <c r="D2703" s="10"/>
      <c r="E2703" s="10"/>
      <c r="F2703" s="9"/>
      <c r="G2703" s="1"/>
      <c r="H2703" s="1"/>
      <c r="I2703" s="1"/>
      <c r="J2703" s="1"/>
    </row>
    <row r="2704" spans="1:10" s="6" customFormat="1">
      <c r="A2704" s="17"/>
      <c r="C2704" s="9"/>
      <c r="D2704" s="10"/>
      <c r="E2704" s="10"/>
      <c r="F2704" s="9"/>
      <c r="G2704" s="1"/>
      <c r="H2704" s="1"/>
      <c r="I2704" s="1"/>
      <c r="J2704" s="1"/>
    </row>
    <row r="2705" spans="1:10" s="6" customFormat="1">
      <c r="A2705" s="17"/>
      <c r="C2705" s="9"/>
      <c r="D2705" s="10"/>
      <c r="E2705" s="10"/>
      <c r="F2705" s="9"/>
      <c r="G2705" s="1"/>
      <c r="H2705" s="1"/>
      <c r="I2705" s="1"/>
      <c r="J2705" s="1"/>
    </row>
    <row r="2706" spans="1:10" s="6" customFormat="1">
      <c r="A2706" s="17"/>
      <c r="C2706" s="9"/>
      <c r="D2706" s="10"/>
      <c r="E2706" s="10"/>
      <c r="F2706" s="9"/>
      <c r="G2706" s="1"/>
      <c r="H2706" s="1"/>
      <c r="I2706" s="1"/>
      <c r="J2706" s="1"/>
    </row>
    <row r="2707" spans="1:10" s="6" customFormat="1">
      <c r="A2707" s="17"/>
      <c r="C2707" s="9"/>
      <c r="D2707" s="10"/>
      <c r="E2707" s="10"/>
      <c r="F2707" s="9"/>
      <c r="G2707" s="1"/>
      <c r="H2707" s="1"/>
      <c r="I2707" s="1"/>
      <c r="J2707" s="1"/>
    </row>
    <row r="2708" spans="1:10" s="6" customFormat="1">
      <c r="A2708" s="17"/>
      <c r="C2708" s="9"/>
      <c r="D2708" s="10"/>
      <c r="E2708" s="10"/>
      <c r="F2708" s="9"/>
      <c r="G2708" s="1"/>
      <c r="H2708" s="1"/>
      <c r="I2708" s="1"/>
      <c r="J2708" s="1"/>
    </row>
    <row r="2709" spans="1:10" s="6" customFormat="1">
      <c r="A2709" s="17"/>
      <c r="C2709" s="9"/>
      <c r="D2709" s="10"/>
      <c r="E2709" s="10"/>
      <c r="F2709" s="9"/>
      <c r="G2709" s="1"/>
      <c r="H2709" s="1"/>
      <c r="I2709" s="1"/>
      <c r="J2709" s="1"/>
    </row>
    <row r="2710" spans="1:10" s="6" customFormat="1">
      <c r="A2710" s="17"/>
      <c r="C2710" s="9"/>
      <c r="D2710" s="10"/>
      <c r="E2710" s="10"/>
      <c r="F2710" s="9"/>
      <c r="G2710" s="1"/>
      <c r="H2710" s="1"/>
      <c r="I2710" s="1"/>
      <c r="J2710" s="1"/>
    </row>
    <row r="2711" spans="1:10" s="6" customFormat="1">
      <c r="A2711" s="17"/>
      <c r="C2711" s="9"/>
      <c r="D2711" s="10"/>
      <c r="E2711" s="10"/>
      <c r="F2711" s="9"/>
      <c r="G2711" s="1"/>
      <c r="H2711" s="1"/>
      <c r="I2711" s="1"/>
      <c r="J2711" s="1"/>
    </row>
    <row r="2712" spans="1:10" s="6" customFormat="1">
      <c r="A2712" s="17"/>
      <c r="C2712" s="9"/>
      <c r="D2712" s="10"/>
      <c r="E2712" s="10"/>
      <c r="F2712" s="9"/>
      <c r="G2712" s="1"/>
      <c r="H2712" s="1"/>
      <c r="I2712" s="1"/>
      <c r="J2712" s="1"/>
    </row>
    <row r="2713" spans="1:10" s="6" customFormat="1">
      <c r="A2713" s="17"/>
      <c r="C2713" s="9"/>
      <c r="D2713" s="10"/>
      <c r="E2713" s="10"/>
      <c r="F2713" s="9"/>
      <c r="G2713" s="1"/>
      <c r="H2713" s="1"/>
      <c r="I2713" s="1"/>
      <c r="J2713" s="1"/>
    </row>
    <row r="2714" spans="1:10" s="6" customFormat="1">
      <c r="A2714" s="17"/>
      <c r="C2714" s="9"/>
      <c r="D2714" s="10"/>
      <c r="E2714" s="10"/>
      <c r="F2714" s="9"/>
      <c r="G2714" s="1"/>
      <c r="H2714" s="1"/>
      <c r="I2714" s="1"/>
      <c r="J2714" s="1"/>
    </row>
    <row r="2715" spans="1:10" s="6" customFormat="1">
      <c r="A2715" s="17"/>
      <c r="C2715" s="9"/>
      <c r="D2715" s="10"/>
      <c r="E2715" s="10"/>
      <c r="F2715" s="9"/>
      <c r="G2715" s="1"/>
      <c r="H2715" s="1"/>
      <c r="I2715" s="1"/>
      <c r="J2715" s="1"/>
    </row>
    <row r="2716" spans="1:10" s="6" customFormat="1">
      <c r="A2716" s="17"/>
      <c r="C2716" s="9"/>
      <c r="D2716" s="10"/>
      <c r="E2716" s="10"/>
      <c r="F2716" s="9"/>
      <c r="G2716" s="1"/>
      <c r="H2716" s="1"/>
      <c r="I2716" s="1"/>
      <c r="J2716" s="1"/>
    </row>
    <row r="2717" spans="1:10" s="6" customFormat="1">
      <c r="A2717" s="17"/>
      <c r="C2717" s="9"/>
      <c r="D2717" s="10"/>
      <c r="E2717" s="10"/>
      <c r="F2717" s="9"/>
      <c r="G2717" s="1"/>
      <c r="H2717" s="1"/>
      <c r="I2717" s="1"/>
      <c r="J2717" s="1"/>
    </row>
    <row r="2718" spans="1:10" s="6" customFormat="1">
      <c r="A2718" s="17"/>
      <c r="C2718" s="9"/>
      <c r="D2718" s="10"/>
      <c r="E2718" s="10"/>
      <c r="F2718" s="9"/>
      <c r="G2718" s="1"/>
      <c r="H2718" s="1"/>
      <c r="I2718" s="1"/>
      <c r="J2718" s="1"/>
    </row>
    <row r="2719" spans="1:10" s="6" customFormat="1">
      <c r="A2719" s="17"/>
      <c r="C2719" s="9"/>
      <c r="D2719" s="10"/>
      <c r="E2719" s="10"/>
      <c r="F2719" s="9"/>
      <c r="G2719" s="1"/>
      <c r="H2719" s="1"/>
      <c r="I2719" s="1"/>
      <c r="J2719" s="1"/>
    </row>
    <row r="2720" spans="1:10" s="6" customFormat="1">
      <c r="A2720" s="17"/>
      <c r="C2720" s="9"/>
      <c r="D2720" s="10"/>
      <c r="E2720" s="10"/>
      <c r="F2720" s="9"/>
      <c r="G2720" s="1"/>
      <c r="H2720" s="1"/>
      <c r="I2720" s="1"/>
      <c r="J2720" s="1"/>
    </row>
    <row r="2721" spans="1:10" s="6" customFormat="1">
      <c r="A2721" s="17"/>
      <c r="C2721" s="9"/>
      <c r="D2721" s="10"/>
      <c r="E2721" s="10"/>
      <c r="F2721" s="9"/>
      <c r="G2721" s="1"/>
      <c r="H2721" s="1"/>
      <c r="I2721" s="1"/>
      <c r="J2721" s="1"/>
    </row>
    <row r="2722" spans="1:10" s="6" customFormat="1">
      <c r="A2722" s="17"/>
      <c r="C2722" s="9"/>
      <c r="D2722" s="10"/>
      <c r="E2722" s="10"/>
      <c r="F2722" s="9"/>
      <c r="G2722" s="1"/>
      <c r="H2722" s="1"/>
      <c r="I2722" s="1"/>
      <c r="J2722" s="1"/>
    </row>
    <row r="2723" spans="1:10" s="6" customFormat="1">
      <c r="A2723" s="17"/>
      <c r="C2723" s="9"/>
      <c r="D2723" s="10"/>
      <c r="E2723" s="10"/>
      <c r="F2723" s="9"/>
      <c r="G2723" s="1"/>
      <c r="H2723" s="1"/>
      <c r="I2723" s="1"/>
      <c r="J2723" s="1"/>
    </row>
    <row r="2724" spans="1:10" s="6" customFormat="1">
      <c r="A2724" s="17"/>
      <c r="C2724" s="9"/>
      <c r="D2724" s="10"/>
      <c r="E2724" s="10"/>
      <c r="F2724" s="9"/>
      <c r="G2724" s="1"/>
      <c r="H2724" s="1"/>
      <c r="I2724" s="1"/>
      <c r="J2724" s="1"/>
    </row>
    <row r="2725" spans="1:10" s="6" customFormat="1">
      <c r="A2725" s="17"/>
      <c r="C2725" s="9"/>
      <c r="D2725" s="10"/>
      <c r="E2725" s="10"/>
      <c r="F2725" s="9"/>
      <c r="G2725" s="1"/>
      <c r="H2725" s="1"/>
      <c r="I2725" s="1"/>
      <c r="J2725" s="1"/>
    </row>
    <row r="2726" spans="1:10" s="6" customFormat="1">
      <c r="A2726" s="17"/>
      <c r="C2726" s="9"/>
      <c r="D2726" s="10"/>
      <c r="E2726" s="10"/>
      <c r="F2726" s="9"/>
      <c r="G2726" s="1"/>
      <c r="H2726" s="1"/>
      <c r="I2726" s="1"/>
      <c r="J2726" s="1"/>
    </row>
    <row r="2727" spans="1:10" s="6" customFormat="1">
      <c r="A2727" s="17"/>
      <c r="C2727" s="9"/>
      <c r="D2727" s="10"/>
      <c r="E2727" s="10"/>
      <c r="F2727" s="9"/>
      <c r="G2727" s="1"/>
      <c r="H2727" s="1"/>
      <c r="I2727" s="1"/>
      <c r="J2727" s="1"/>
    </row>
    <row r="2728" spans="1:10" s="6" customFormat="1">
      <c r="A2728" s="17"/>
      <c r="C2728" s="9"/>
      <c r="D2728" s="10"/>
      <c r="E2728" s="10"/>
      <c r="F2728" s="9"/>
      <c r="G2728" s="1"/>
      <c r="H2728" s="1"/>
      <c r="I2728" s="1"/>
      <c r="J2728" s="1"/>
    </row>
    <row r="2729" spans="1:10" s="6" customFormat="1">
      <c r="A2729" s="17"/>
      <c r="C2729" s="9"/>
      <c r="D2729" s="10"/>
      <c r="E2729" s="10"/>
      <c r="F2729" s="9"/>
      <c r="G2729" s="1"/>
      <c r="H2729" s="1"/>
      <c r="I2729" s="1"/>
      <c r="J2729" s="1"/>
    </row>
    <row r="2730" spans="1:10" s="6" customFormat="1">
      <c r="A2730" s="17"/>
      <c r="C2730" s="9"/>
      <c r="D2730" s="10"/>
      <c r="E2730" s="10"/>
      <c r="F2730" s="9"/>
      <c r="G2730" s="1"/>
      <c r="H2730" s="1"/>
      <c r="I2730" s="1"/>
      <c r="J2730" s="1"/>
    </row>
    <row r="2731" spans="1:10" s="6" customFormat="1">
      <c r="A2731" s="17"/>
      <c r="C2731" s="9"/>
      <c r="D2731" s="10"/>
      <c r="E2731" s="10"/>
      <c r="F2731" s="9"/>
      <c r="G2731" s="1"/>
      <c r="H2731" s="1"/>
      <c r="I2731" s="1"/>
      <c r="J2731" s="1"/>
    </row>
    <row r="2732" spans="1:10" s="6" customFormat="1">
      <c r="A2732" s="17"/>
      <c r="C2732" s="9"/>
      <c r="D2732" s="10"/>
      <c r="E2732" s="10"/>
      <c r="F2732" s="9"/>
      <c r="G2732" s="1"/>
      <c r="H2732" s="1"/>
      <c r="I2732" s="1"/>
      <c r="J2732" s="1"/>
    </row>
    <row r="2733" spans="1:10" s="6" customFormat="1">
      <c r="A2733" s="17"/>
      <c r="C2733" s="9"/>
      <c r="D2733" s="10"/>
      <c r="E2733" s="10"/>
      <c r="F2733" s="9"/>
      <c r="G2733" s="1"/>
      <c r="H2733" s="1"/>
      <c r="I2733" s="1"/>
      <c r="J2733" s="1"/>
    </row>
    <row r="2734" spans="1:10" s="6" customFormat="1">
      <c r="A2734" s="17"/>
      <c r="C2734" s="9"/>
      <c r="D2734" s="10"/>
      <c r="E2734" s="10"/>
      <c r="F2734" s="9"/>
      <c r="G2734" s="1"/>
      <c r="H2734" s="1"/>
      <c r="I2734" s="1"/>
      <c r="J2734" s="1"/>
    </row>
    <row r="2735" spans="1:10" s="6" customFormat="1">
      <c r="A2735" s="17"/>
      <c r="C2735" s="9"/>
      <c r="D2735" s="10"/>
      <c r="E2735" s="10"/>
      <c r="F2735" s="9"/>
      <c r="G2735" s="1"/>
      <c r="H2735" s="1"/>
      <c r="I2735" s="1"/>
      <c r="J2735" s="1"/>
    </row>
    <row r="2736" spans="1:10" s="6" customFormat="1">
      <c r="A2736" s="17"/>
      <c r="C2736" s="9"/>
      <c r="D2736" s="10"/>
      <c r="E2736" s="10"/>
      <c r="F2736" s="9"/>
      <c r="G2736" s="1"/>
      <c r="H2736" s="1"/>
      <c r="I2736" s="1"/>
      <c r="J2736" s="1"/>
    </row>
    <row r="2737" spans="1:10" s="6" customFormat="1">
      <c r="A2737" s="17"/>
      <c r="C2737" s="9"/>
      <c r="D2737" s="10"/>
      <c r="E2737" s="10"/>
      <c r="F2737" s="9"/>
      <c r="G2737" s="1"/>
      <c r="H2737" s="1"/>
      <c r="I2737" s="1"/>
      <c r="J2737" s="1"/>
    </row>
    <row r="2738" spans="1:10" s="6" customFormat="1">
      <c r="A2738" s="17"/>
      <c r="C2738" s="9"/>
      <c r="D2738" s="10"/>
      <c r="E2738" s="10"/>
      <c r="F2738" s="9"/>
      <c r="G2738" s="1"/>
      <c r="H2738" s="1"/>
      <c r="I2738" s="1"/>
      <c r="J2738" s="1"/>
    </row>
    <row r="2739" spans="1:10" s="6" customFormat="1">
      <c r="A2739" s="17"/>
      <c r="C2739" s="9"/>
      <c r="D2739" s="10"/>
      <c r="E2739" s="10"/>
      <c r="F2739" s="9"/>
      <c r="G2739" s="1"/>
      <c r="H2739" s="1"/>
      <c r="I2739" s="1"/>
      <c r="J2739" s="1"/>
    </row>
    <row r="2740" spans="1:10" s="6" customFormat="1">
      <c r="A2740" s="17"/>
      <c r="C2740" s="9"/>
      <c r="D2740" s="10"/>
      <c r="E2740" s="10"/>
      <c r="F2740" s="9"/>
      <c r="G2740" s="1"/>
      <c r="H2740" s="1"/>
      <c r="I2740" s="1"/>
      <c r="J2740" s="1"/>
    </row>
    <row r="2741" spans="1:10" s="6" customFormat="1">
      <c r="A2741" s="17"/>
      <c r="C2741" s="9"/>
      <c r="D2741" s="10"/>
      <c r="E2741" s="10"/>
      <c r="F2741" s="9"/>
      <c r="G2741" s="1"/>
      <c r="H2741" s="1"/>
      <c r="I2741" s="1"/>
      <c r="J2741" s="1"/>
    </row>
    <row r="2742" spans="1:10" s="6" customFormat="1">
      <c r="A2742" s="17"/>
      <c r="C2742" s="9"/>
      <c r="D2742" s="10"/>
      <c r="E2742" s="10"/>
      <c r="F2742" s="9"/>
      <c r="G2742" s="1"/>
      <c r="H2742" s="1"/>
      <c r="I2742" s="1"/>
      <c r="J2742" s="1"/>
    </row>
    <row r="2743" spans="1:10" s="6" customFormat="1">
      <c r="A2743" s="17"/>
      <c r="C2743" s="9"/>
      <c r="D2743" s="10"/>
      <c r="E2743" s="10"/>
      <c r="F2743" s="9"/>
      <c r="G2743" s="1"/>
      <c r="H2743" s="1"/>
      <c r="I2743" s="1"/>
      <c r="J2743" s="1"/>
    </row>
    <row r="2744" spans="1:10" s="6" customFormat="1">
      <c r="A2744" s="17"/>
      <c r="C2744" s="9"/>
      <c r="D2744" s="10"/>
      <c r="E2744" s="10"/>
      <c r="F2744" s="9"/>
      <c r="G2744" s="1"/>
      <c r="H2744" s="1"/>
      <c r="I2744" s="1"/>
      <c r="J2744" s="1"/>
    </row>
    <row r="2745" spans="1:10" s="6" customFormat="1">
      <c r="A2745" s="17"/>
      <c r="C2745" s="9"/>
      <c r="D2745" s="10"/>
      <c r="E2745" s="10"/>
      <c r="F2745" s="9"/>
      <c r="G2745" s="1"/>
      <c r="H2745" s="1"/>
      <c r="I2745" s="1"/>
      <c r="J2745" s="1"/>
    </row>
    <row r="2746" spans="1:10" s="6" customFormat="1">
      <c r="A2746" s="17"/>
      <c r="C2746" s="9"/>
      <c r="D2746" s="10"/>
      <c r="E2746" s="10"/>
      <c r="F2746" s="9"/>
      <c r="G2746" s="1"/>
      <c r="H2746" s="1"/>
      <c r="I2746" s="1"/>
      <c r="J2746" s="1"/>
    </row>
    <row r="2747" spans="1:10" s="6" customFormat="1">
      <c r="A2747" s="17"/>
      <c r="C2747" s="9"/>
      <c r="D2747" s="10"/>
      <c r="E2747" s="10"/>
      <c r="F2747" s="9"/>
      <c r="G2747" s="1"/>
      <c r="H2747" s="1"/>
      <c r="I2747" s="1"/>
      <c r="J2747" s="1"/>
    </row>
    <row r="2748" spans="1:10" s="6" customFormat="1">
      <c r="A2748" s="17"/>
      <c r="C2748" s="9"/>
      <c r="D2748" s="10"/>
      <c r="E2748" s="10"/>
      <c r="F2748" s="9"/>
      <c r="G2748" s="1"/>
      <c r="H2748" s="1"/>
      <c r="I2748" s="1"/>
      <c r="J2748" s="1"/>
    </row>
    <row r="2749" spans="1:10" s="6" customFormat="1">
      <c r="A2749" s="17"/>
      <c r="C2749" s="9"/>
      <c r="D2749" s="10"/>
      <c r="E2749" s="10"/>
      <c r="F2749" s="9"/>
      <c r="G2749" s="1"/>
      <c r="H2749" s="1"/>
      <c r="I2749" s="1"/>
      <c r="J2749" s="1"/>
    </row>
    <row r="2750" spans="1:10" s="6" customFormat="1">
      <c r="A2750" s="17"/>
      <c r="C2750" s="9"/>
      <c r="D2750" s="10"/>
      <c r="E2750" s="10"/>
      <c r="F2750" s="9"/>
      <c r="G2750" s="1"/>
      <c r="H2750" s="1"/>
      <c r="I2750" s="1"/>
      <c r="J2750" s="1"/>
    </row>
    <row r="2751" spans="1:10" s="6" customFormat="1">
      <c r="A2751" s="17"/>
      <c r="C2751" s="9"/>
      <c r="D2751" s="10"/>
      <c r="E2751" s="10"/>
      <c r="F2751" s="9"/>
      <c r="G2751" s="1"/>
      <c r="H2751" s="1"/>
      <c r="I2751" s="1"/>
      <c r="J2751" s="1"/>
    </row>
    <row r="2752" spans="1:10" s="6" customFormat="1">
      <c r="A2752" s="17"/>
      <c r="C2752" s="9"/>
      <c r="D2752" s="10"/>
      <c r="E2752" s="10"/>
      <c r="F2752" s="9"/>
      <c r="G2752" s="1"/>
      <c r="H2752" s="1"/>
      <c r="I2752" s="1"/>
      <c r="J2752" s="1"/>
    </row>
    <row r="2753" spans="1:10" s="6" customFormat="1">
      <c r="A2753" s="17"/>
      <c r="C2753" s="9"/>
      <c r="D2753" s="10"/>
      <c r="E2753" s="10"/>
      <c r="F2753" s="9"/>
      <c r="G2753" s="1"/>
      <c r="H2753" s="1"/>
      <c r="I2753" s="1"/>
      <c r="J2753" s="1"/>
    </row>
    <row r="2754" spans="1:10" s="6" customFormat="1">
      <c r="A2754" s="17"/>
      <c r="C2754" s="9"/>
      <c r="D2754" s="10"/>
      <c r="E2754" s="10"/>
      <c r="F2754" s="9"/>
      <c r="G2754" s="1"/>
      <c r="H2754" s="1"/>
      <c r="I2754" s="1"/>
      <c r="J2754" s="1"/>
    </row>
    <row r="2755" spans="1:10" s="6" customFormat="1">
      <c r="A2755" s="17"/>
      <c r="C2755" s="9"/>
      <c r="D2755" s="10"/>
      <c r="E2755" s="10"/>
      <c r="F2755" s="9"/>
      <c r="G2755" s="1"/>
      <c r="H2755" s="1"/>
      <c r="I2755" s="1"/>
      <c r="J2755" s="1"/>
    </row>
    <row r="2756" spans="1:10" s="6" customFormat="1">
      <c r="A2756" s="17"/>
      <c r="C2756" s="9"/>
      <c r="D2756" s="10"/>
      <c r="E2756" s="10"/>
      <c r="F2756" s="9"/>
      <c r="G2756" s="1"/>
      <c r="H2756" s="1"/>
      <c r="I2756" s="1"/>
      <c r="J2756" s="1"/>
    </row>
    <row r="2757" spans="1:10" s="6" customFormat="1">
      <c r="A2757" s="17"/>
      <c r="C2757" s="9"/>
      <c r="D2757" s="10"/>
      <c r="E2757" s="10"/>
      <c r="F2757" s="9"/>
      <c r="G2757" s="1"/>
      <c r="H2757" s="1"/>
      <c r="I2757" s="1"/>
      <c r="J2757" s="1"/>
    </row>
    <row r="2758" spans="1:10" s="6" customFormat="1">
      <c r="A2758" s="17"/>
      <c r="C2758" s="9"/>
      <c r="D2758" s="10"/>
      <c r="E2758" s="10"/>
      <c r="F2758" s="9"/>
      <c r="G2758" s="1"/>
      <c r="H2758" s="1"/>
      <c r="I2758" s="1"/>
      <c r="J2758" s="1"/>
    </row>
    <row r="2759" spans="1:10" s="6" customFormat="1">
      <c r="A2759" s="17"/>
      <c r="C2759" s="9"/>
      <c r="D2759" s="10"/>
      <c r="E2759" s="10"/>
      <c r="F2759" s="9"/>
      <c r="G2759" s="1"/>
      <c r="H2759" s="1"/>
      <c r="I2759" s="1"/>
      <c r="J2759" s="1"/>
    </row>
    <row r="2760" spans="1:10" s="6" customFormat="1">
      <c r="A2760" s="17"/>
      <c r="C2760" s="9"/>
      <c r="D2760" s="10"/>
      <c r="E2760" s="10"/>
      <c r="F2760" s="9"/>
      <c r="G2760" s="1"/>
      <c r="H2760" s="1"/>
      <c r="I2760" s="1"/>
      <c r="J2760" s="1"/>
    </row>
    <row r="2761" spans="1:10" s="6" customFormat="1">
      <c r="A2761" s="17"/>
      <c r="C2761" s="9"/>
      <c r="D2761" s="10"/>
      <c r="E2761" s="10"/>
      <c r="F2761" s="9"/>
      <c r="G2761" s="1"/>
      <c r="H2761" s="1"/>
      <c r="I2761" s="1"/>
      <c r="J2761" s="1"/>
    </row>
    <row r="2762" spans="1:10" s="6" customFormat="1">
      <c r="A2762" s="17"/>
      <c r="C2762" s="9"/>
      <c r="D2762" s="10"/>
      <c r="E2762" s="10"/>
      <c r="F2762" s="9"/>
      <c r="G2762" s="1"/>
      <c r="H2762" s="1"/>
      <c r="I2762" s="1"/>
      <c r="J2762" s="1"/>
    </row>
    <row r="2763" spans="1:10" s="6" customFormat="1">
      <c r="A2763" s="17"/>
      <c r="C2763" s="9"/>
      <c r="D2763" s="10"/>
      <c r="E2763" s="10"/>
      <c r="F2763" s="9"/>
      <c r="G2763" s="1"/>
      <c r="H2763" s="1"/>
      <c r="I2763" s="1"/>
      <c r="J2763" s="1"/>
    </row>
    <row r="2764" spans="1:10" s="6" customFormat="1">
      <c r="A2764" s="17"/>
      <c r="C2764" s="9"/>
      <c r="D2764" s="10"/>
      <c r="E2764" s="10"/>
      <c r="F2764" s="9"/>
      <c r="G2764" s="1"/>
      <c r="H2764" s="1"/>
      <c r="I2764" s="1"/>
      <c r="J2764" s="1"/>
    </row>
    <row r="2765" spans="1:10" s="6" customFormat="1">
      <c r="A2765" s="17"/>
      <c r="C2765" s="9"/>
      <c r="D2765" s="10"/>
      <c r="E2765" s="10"/>
      <c r="F2765" s="9"/>
      <c r="G2765" s="1"/>
      <c r="H2765" s="1"/>
      <c r="I2765" s="1"/>
      <c r="J2765" s="1"/>
    </row>
    <row r="2766" spans="1:10" s="6" customFormat="1">
      <c r="A2766" s="17"/>
      <c r="C2766" s="9"/>
      <c r="D2766" s="10"/>
      <c r="E2766" s="10"/>
      <c r="F2766" s="9"/>
      <c r="G2766" s="1"/>
      <c r="H2766" s="1"/>
      <c r="I2766" s="1"/>
      <c r="J2766" s="1"/>
    </row>
    <row r="2767" spans="1:10" s="6" customFormat="1">
      <c r="A2767" s="17"/>
      <c r="C2767" s="9"/>
      <c r="D2767" s="10"/>
      <c r="E2767" s="10"/>
      <c r="F2767" s="9"/>
      <c r="G2767" s="1"/>
      <c r="H2767" s="1"/>
      <c r="I2767" s="1"/>
      <c r="J2767" s="1"/>
    </row>
    <row r="2768" spans="1:10" s="6" customFormat="1">
      <c r="A2768" s="17"/>
      <c r="C2768" s="9"/>
      <c r="D2768" s="10"/>
      <c r="E2768" s="10"/>
      <c r="F2768" s="9"/>
      <c r="G2768" s="1"/>
      <c r="H2768" s="1"/>
      <c r="I2768" s="1"/>
      <c r="J2768" s="1"/>
    </row>
    <row r="2769" spans="1:10" s="6" customFormat="1">
      <c r="A2769" s="17"/>
      <c r="C2769" s="9"/>
      <c r="D2769" s="10"/>
      <c r="E2769" s="10"/>
      <c r="F2769" s="9"/>
      <c r="G2769" s="1"/>
      <c r="H2769" s="1"/>
      <c r="I2769" s="1"/>
      <c r="J2769" s="1"/>
    </row>
    <row r="2770" spans="1:10" s="6" customFormat="1">
      <c r="A2770" s="17"/>
      <c r="C2770" s="9"/>
      <c r="D2770" s="10"/>
      <c r="E2770" s="10"/>
      <c r="F2770" s="9"/>
      <c r="G2770" s="1"/>
      <c r="H2770" s="1"/>
      <c r="I2770" s="1"/>
      <c r="J2770" s="1"/>
    </row>
    <row r="2771" spans="1:10" s="6" customFormat="1">
      <c r="A2771" s="17"/>
      <c r="C2771" s="9"/>
      <c r="D2771" s="10"/>
      <c r="E2771" s="10"/>
      <c r="F2771" s="9"/>
      <c r="G2771" s="1"/>
      <c r="H2771" s="1"/>
      <c r="I2771" s="1"/>
      <c r="J2771" s="1"/>
    </row>
    <row r="2772" spans="1:10" s="6" customFormat="1">
      <c r="A2772" s="17"/>
      <c r="C2772" s="9"/>
      <c r="D2772" s="10"/>
      <c r="E2772" s="10"/>
      <c r="F2772" s="9"/>
      <c r="G2772" s="1"/>
      <c r="H2772" s="1"/>
      <c r="I2772" s="1"/>
      <c r="J2772" s="1"/>
    </row>
    <row r="2773" spans="1:10" s="6" customFormat="1">
      <c r="A2773" s="17"/>
      <c r="C2773" s="9"/>
      <c r="D2773" s="10"/>
      <c r="E2773" s="10"/>
      <c r="F2773" s="9"/>
      <c r="G2773" s="1"/>
      <c r="H2773" s="1"/>
      <c r="I2773" s="1"/>
      <c r="J2773" s="1"/>
    </row>
    <row r="2774" spans="1:10" s="6" customFormat="1">
      <c r="A2774" s="17"/>
      <c r="C2774" s="9"/>
      <c r="D2774" s="10"/>
      <c r="E2774" s="10"/>
      <c r="F2774" s="9"/>
      <c r="G2774" s="1"/>
      <c r="H2774" s="1"/>
      <c r="I2774" s="1"/>
      <c r="J2774" s="1"/>
    </row>
    <row r="2775" spans="1:10" s="6" customFormat="1">
      <c r="A2775" s="17"/>
      <c r="C2775" s="9"/>
      <c r="D2775" s="10"/>
      <c r="E2775" s="10"/>
      <c r="F2775" s="9"/>
      <c r="G2775" s="1"/>
      <c r="H2775" s="1"/>
      <c r="I2775" s="1"/>
      <c r="J2775" s="1"/>
    </row>
    <row r="2776" spans="1:10" s="6" customFormat="1">
      <c r="A2776" s="17"/>
      <c r="C2776" s="9"/>
      <c r="D2776" s="10"/>
      <c r="E2776" s="10"/>
      <c r="F2776" s="9"/>
      <c r="G2776" s="1"/>
      <c r="H2776" s="1"/>
      <c r="I2776" s="1"/>
      <c r="J2776" s="1"/>
    </row>
    <row r="2777" spans="1:10" s="6" customFormat="1">
      <c r="A2777" s="17"/>
      <c r="C2777" s="9"/>
      <c r="D2777" s="10"/>
      <c r="E2777" s="10"/>
      <c r="F2777" s="9"/>
      <c r="G2777" s="1"/>
      <c r="H2777" s="1"/>
      <c r="I2777" s="1"/>
      <c r="J2777" s="1"/>
    </row>
    <row r="2778" spans="1:10" s="6" customFormat="1">
      <c r="A2778" s="17"/>
      <c r="C2778" s="9"/>
      <c r="D2778" s="10"/>
      <c r="E2778" s="10"/>
      <c r="F2778" s="9"/>
      <c r="G2778" s="1"/>
      <c r="H2778" s="1"/>
      <c r="I2778" s="1"/>
      <c r="J2778" s="1"/>
    </row>
    <row r="2779" spans="1:10" s="6" customFormat="1">
      <c r="A2779" s="17"/>
      <c r="C2779" s="9"/>
      <c r="D2779" s="10"/>
      <c r="E2779" s="10"/>
      <c r="F2779" s="9"/>
      <c r="G2779" s="1"/>
      <c r="H2779" s="1"/>
      <c r="I2779" s="1"/>
      <c r="J2779" s="1"/>
    </row>
    <row r="2780" spans="1:10" s="6" customFormat="1">
      <c r="A2780" s="17"/>
      <c r="C2780" s="9"/>
      <c r="D2780" s="10"/>
      <c r="E2780" s="10"/>
      <c r="F2780" s="9"/>
      <c r="G2780" s="1"/>
      <c r="H2780" s="1"/>
      <c r="I2780" s="1"/>
      <c r="J2780" s="1"/>
    </row>
    <row r="2781" spans="1:10" s="6" customFormat="1">
      <c r="A2781" s="17"/>
      <c r="C2781" s="9"/>
      <c r="D2781" s="10"/>
      <c r="E2781" s="10"/>
      <c r="F2781" s="9"/>
      <c r="G2781" s="1"/>
      <c r="H2781" s="1"/>
      <c r="I2781" s="1"/>
      <c r="J2781" s="1"/>
    </row>
    <row r="2782" spans="1:10" s="6" customFormat="1">
      <c r="A2782" s="17"/>
      <c r="C2782" s="9"/>
      <c r="D2782" s="10"/>
      <c r="E2782" s="10"/>
      <c r="F2782" s="9"/>
      <c r="G2782" s="1"/>
      <c r="H2782" s="1"/>
      <c r="I2782" s="1"/>
      <c r="J2782" s="1"/>
    </row>
    <row r="2783" spans="1:10" s="6" customFormat="1">
      <c r="A2783" s="17"/>
      <c r="C2783" s="9"/>
      <c r="D2783" s="10"/>
      <c r="E2783" s="10"/>
      <c r="F2783" s="9"/>
      <c r="G2783" s="1"/>
      <c r="H2783" s="1"/>
      <c r="I2783" s="1"/>
      <c r="J2783" s="1"/>
    </row>
    <row r="2784" spans="1:10" s="6" customFormat="1">
      <c r="A2784" s="17"/>
      <c r="C2784" s="9"/>
      <c r="D2784" s="10"/>
      <c r="E2784" s="10"/>
      <c r="F2784" s="9"/>
      <c r="G2784" s="1"/>
      <c r="H2784" s="1"/>
      <c r="I2784" s="1"/>
      <c r="J2784" s="1"/>
    </row>
    <row r="2785" spans="1:10" s="6" customFormat="1">
      <c r="A2785" s="17"/>
      <c r="C2785" s="9"/>
      <c r="D2785" s="10"/>
      <c r="E2785" s="10"/>
      <c r="F2785" s="9"/>
      <c r="G2785" s="1"/>
      <c r="H2785" s="1"/>
      <c r="I2785" s="1"/>
      <c r="J2785" s="1"/>
    </row>
    <row r="2786" spans="1:10" s="6" customFormat="1">
      <c r="A2786" s="17"/>
      <c r="C2786" s="9"/>
      <c r="D2786" s="10"/>
      <c r="E2786" s="10"/>
      <c r="F2786" s="9"/>
      <c r="G2786" s="1"/>
      <c r="H2786" s="1"/>
      <c r="I2786" s="1"/>
      <c r="J2786" s="1"/>
    </row>
    <row r="2787" spans="1:10" s="6" customFormat="1">
      <c r="A2787" s="17"/>
      <c r="C2787" s="9"/>
      <c r="D2787" s="10"/>
      <c r="E2787" s="10"/>
      <c r="F2787" s="9"/>
      <c r="G2787" s="1"/>
      <c r="H2787" s="1"/>
      <c r="I2787" s="1"/>
      <c r="J2787" s="1"/>
    </row>
    <row r="2788" spans="1:10" s="6" customFormat="1">
      <c r="A2788" s="17"/>
      <c r="C2788" s="9"/>
      <c r="D2788" s="10"/>
      <c r="E2788" s="10"/>
      <c r="F2788" s="9"/>
      <c r="G2788" s="1"/>
      <c r="H2788" s="1"/>
      <c r="I2788" s="1"/>
      <c r="J2788" s="1"/>
    </row>
    <row r="2789" spans="1:10" s="6" customFormat="1">
      <c r="A2789" s="17"/>
      <c r="C2789" s="9"/>
      <c r="D2789" s="10"/>
      <c r="E2789" s="10"/>
      <c r="F2789" s="9"/>
      <c r="G2789" s="1"/>
      <c r="H2789" s="1"/>
      <c r="I2789" s="1"/>
      <c r="J2789" s="1"/>
    </row>
    <row r="2790" spans="1:10" s="6" customFormat="1">
      <c r="A2790" s="17"/>
      <c r="C2790" s="9"/>
      <c r="D2790" s="10"/>
      <c r="E2790" s="10"/>
      <c r="F2790" s="9"/>
      <c r="G2790" s="1"/>
      <c r="H2790" s="1"/>
      <c r="I2790" s="1"/>
      <c r="J2790" s="1"/>
    </row>
    <row r="2791" spans="1:10" s="6" customFormat="1">
      <c r="A2791" s="17"/>
      <c r="C2791" s="9"/>
      <c r="D2791" s="10"/>
      <c r="E2791" s="10"/>
      <c r="F2791" s="9"/>
      <c r="G2791" s="1"/>
      <c r="H2791" s="1"/>
      <c r="I2791" s="1"/>
      <c r="J2791" s="1"/>
    </row>
    <row r="2792" spans="1:10" s="6" customFormat="1">
      <c r="A2792" s="17"/>
      <c r="C2792" s="9"/>
      <c r="D2792" s="10"/>
      <c r="E2792" s="10"/>
      <c r="F2792" s="9"/>
      <c r="G2792" s="1"/>
      <c r="H2792" s="1"/>
      <c r="I2792" s="1"/>
      <c r="J2792" s="1"/>
    </row>
    <row r="2793" spans="1:10" s="6" customFormat="1">
      <c r="A2793" s="17"/>
      <c r="C2793" s="9"/>
      <c r="D2793" s="10"/>
      <c r="E2793" s="10"/>
      <c r="F2793" s="9"/>
      <c r="G2793" s="1"/>
      <c r="H2793" s="1"/>
      <c r="I2793" s="1"/>
      <c r="J2793" s="1"/>
    </row>
    <row r="2794" spans="1:10" s="6" customFormat="1">
      <c r="A2794" s="17"/>
      <c r="C2794" s="9"/>
      <c r="D2794" s="10"/>
      <c r="E2794" s="10"/>
      <c r="F2794" s="9"/>
      <c r="G2794" s="1"/>
      <c r="H2794" s="1"/>
      <c r="I2794" s="1"/>
      <c r="J2794" s="1"/>
    </row>
    <row r="2795" spans="1:10" s="6" customFormat="1">
      <c r="A2795" s="17"/>
      <c r="C2795" s="9"/>
      <c r="D2795" s="10"/>
      <c r="E2795" s="10"/>
      <c r="F2795" s="9"/>
      <c r="G2795" s="1"/>
      <c r="H2795" s="1"/>
      <c r="I2795" s="1"/>
      <c r="J2795" s="1"/>
    </row>
    <row r="2796" spans="1:10" s="6" customFormat="1">
      <c r="A2796" s="17"/>
      <c r="C2796" s="9"/>
      <c r="D2796" s="10"/>
      <c r="E2796" s="10"/>
      <c r="F2796" s="9"/>
      <c r="G2796" s="1"/>
      <c r="H2796" s="1"/>
      <c r="I2796" s="1"/>
      <c r="J2796" s="1"/>
    </row>
    <row r="2797" spans="1:10" s="6" customFormat="1">
      <c r="A2797" s="17"/>
      <c r="C2797" s="9"/>
      <c r="D2797" s="10"/>
      <c r="E2797" s="10"/>
      <c r="F2797" s="9"/>
      <c r="G2797" s="1"/>
      <c r="H2797" s="1"/>
      <c r="I2797" s="1"/>
      <c r="J2797" s="1"/>
    </row>
    <row r="2798" spans="1:10" s="6" customFormat="1">
      <c r="A2798" s="17"/>
      <c r="C2798" s="9"/>
      <c r="D2798" s="10"/>
      <c r="E2798" s="10"/>
      <c r="F2798" s="9"/>
      <c r="G2798" s="1"/>
      <c r="H2798" s="1"/>
      <c r="I2798" s="1"/>
      <c r="J2798" s="1"/>
    </row>
    <row r="2799" spans="1:10" s="6" customFormat="1">
      <c r="A2799" s="17"/>
      <c r="C2799" s="9"/>
      <c r="D2799" s="10"/>
      <c r="E2799" s="10"/>
      <c r="F2799" s="9"/>
      <c r="G2799" s="1"/>
      <c r="H2799" s="1"/>
      <c r="I2799" s="1"/>
      <c r="J2799" s="1"/>
    </row>
    <row r="2800" spans="1:10" s="6" customFormat="1">
      <c r="A2800" s="17"/>
      <c r="C2800" s="9"/>
      <c r="D2800" s="10"/>
      <c r="E2800" s="10"/>
      <c r="F2800" s="9"/>
      <c r="G2800" s="1"/>
      <c r="H2800" s="1"/>
      <c r="I2800" s="1"/>
      <c r="J2800" s="1"/>
    </row>
    <row r="2801" spans="1:10" s="6" customFormat="1">
      <c r="A2801" s="17"/>
      <c r="C2801" s="9"/>
      <c r="D2801" s="10"/>
      <c r="E2801" s="10"/>
      <c r="F2801" s="9"/>
      <c r="G2801" s="1"/>
      <c r="H2801" s="1"/>
      <c r="I2801" s="1"/>
      <c r="J2801" s="1"/>
    </row>
    <row r="2802" spans="1:10" s="6" customFormat="1">
      <c r="A2802" s="17"/>
      <c r="C2802" s="9"/>
      <c r="D2802" s="10"/>
      <c r="E2802" s="10"/>
      <c r="F2802" s="9"/>
      <c r="G2802" s="1"/>
      <c r="H2802" s="1"/>
      <c r="I2802" s="1"/>
      <c r="J2802" s="1"/>
    </row>
    <row r="2803" spans="1:10" s="6" customFormat="1">
      <c r="A2803" s="17"/>
      <c r="C2803" s="9"/>
      <c r="D2803" s="10"/>
      <c r="E2803" s="10"/>
      <c r="F2803" s="9"/>
      <c r="G2803" s="1"/>
      <c r="H2803" s="1"/>
      <c r="I2803" s="1"/>
      <c r="J2803" s="1"/>
    </row>
    <row r="2804" spans="1:10" s="6" customFormat="1">
      <c r="A2804" s="17"/>
      <c r="C2804" s="9"/>
      <c r="D2804" s="10"/>
      <c r="E2804" s="10"/>
      <c r="F2804" s="9"/>
      <c r="G2804" s="1"/>
      <c r="H2804" s="1"/>
      <c r="I2804" s="1"/>
      <c r="J2804" s="1"/>
    </row>
    <row r="2805" spans="1:10" s="6" customFormat="1">
      <c r="A2805" s="17"/>
      <c r="C2805" s="9"/>
      <c r="D2805" s="10"/>
      <c r="E2805" s="10"/>
      <c r="F2805" s="9"/>
      <c r="G2805" s="1"/>
      <c r="H2805" s="1"/>
      <c r="I2805" s="1"/>
      <c r="J2805" s="1"/>
    </row>
    <row r="2806" spans="1:10" s="6" customFormat="1">
      <c r="A2806" s="17"/>
      <c r="C2806" s="9"/>
      <c r="D2806" s="10"/>
      <c r="E2806" s="10"/>
      <c r="F2806" s="9"/>
      <c r="G2806" s="1"/>
      <c r="H2806" s="1"/>
      <c r="I2806" s="1"/>
      <c r="J2806" s="1"/>
    </row>
    <row r="2807" spans="1:10" s="6" customFormat="1">
      <c r="A2807" s="17"/>
      <c r="C2807" s="9"/>
      <c r="D2807" s="10"/>
      <c r="E2807" s="10"/>
      <c r="F2807" s="9"/>
      <c r="G2807" s="1"/>
      <c r="H2807" s="1"/>
      <c r="I2807" s="1"/>
      <c r="J2807" s="1"/>
    </row>
    <row r="2808" spans="1:10" s="6" customFormat="1">
      <c r="A2808" s="17"/>
      <c r="C2808" s="9"/>
      <c r="D2808" s="10"/>
      <c r="E2808" s="10"/>
      <c r="F2808" s="9"/>
      <c r="G2808" s="1"/>
      <c r="H2808" s="1"/>
      <c r="I2808" s="1"/>
      <c r="J2808" s="1"/>
    </row>
    <row r="2809" spans="1:10" s="6" customFormat="1">
      <c r="A2809" s="17"/>
      <c r="C2809" s="9"/>
      <c r="D2809" s="10"/>
      <c r="E2809" s="10"/>
      <c r="F2809" s="9"/>
      <c r="G2809" s="1"/>
      <c r="H2809" s="1"/>
      <c r="I2809" s="1"/>
      <c r="J2809" s="1"/>
    </row>
    <row r="2810" spans="1:10" s="6" customFormat="1">
      <c r="A2810" s="17"/>
      <c r="C2810" s="9"/>
      <c r="D2810" s="10"/>
      <c r="E2810" s="10"/>
      <c r="F2810" s="9"/>
      <c r="G2810" s="1"/>
      <c r="H2810" s="1"/>
      <c r="I2810" s="1"/>
      <c r="J2810" s="1"/>
    </row>
    <row r="2811" spans="1:10" s="6" customFormat="1">
      <c r="A2811" s="17"/>
      <c r="C2811" s="9"/>
      <c r="D2811" s="10"/>
      <c r="E2811" s="10"/>
      <c r="F2811" s="9"/>
      <c r="G2811" s="1"/>
      <c r="H2811" s="1"/>
      <c r="I2811" s="1"/>
      <c r="J2811" s="1"/>
    </row>
    <row r="2812" spans="1:10" s="6" customFormat="1">
      <c r="A2812" s="17"/>
      <c r="C2812" s="9"/>
      <c r="D2812" s="10"/>
      <c r="E2812" s="10"/>
      <c r="F2812" s="9"/>
      <c r="G2812" s="1"/>
      <c r="H2812" s="1"/>
      <c r="I2812" s="1"/>
      <c r="J2812" s="1"/>
    </row>
    <row r="2813" spans="1:10" s="6" customFormat="1">
      <c r="A2813" s="17"/>
      <c r="C2813" s="9"/>
      <c r="D2813" s="10"/>
      <c r="E2813" s="10"/>
      <c r="F2813" s="9"/>
      <c r="G2813" s="1"/>
      <c r="H2813" s="1"/>
      <c r="I2813" s="1"/>
      <c r="J2813" s="1"/>
    </row>
    <row r="2814" spans="1:10" s="6" customFormat="1">
      <c r="A2814" s="17"/>
      <c r="C2814" s="9"/>
      <c r="D2814" s="10"/>
      <c r="E2814" s="10"/>
      <c r="F2814" s="9"/>
      <c r="G2814" s="1"/>
      <c r="H2814" s="1"/>
      <c r="I2814" s="1"/>
      <c r="J2814" s="1"/>
    </row>
    <row r="2815" spans="1:10" s="6" customFormat="1">
      <c r="A2815" s="17"/>
      <c r="C2815" s="9"/>
      <c r="D2815" s="10"/>
      <c r="E2815" s="10"/>
      <c r="F2815" s="9"/>
      <c r="G2815" s="1"/>
      <c r="H2815" s="1"/>
      <c r="I2815" s="1"/>
      <c r="J2815" s="1"/>
    </row>
    <row r="2816" spans="1:10" s="6" customFormat="1">
      <c r="A2816" s="17"/>
      <c r="C2816" s="9"/>
      <c r="D2816" s="10"/>
      <c r="E2816" s="10"/>
      <c r="F2816" s="9"/>
      <c r="G2816" s="1"/>
      <c r="H2816" s="1"/>
      <c r="I2816" s="1"/>
      <c r="J2816" s="1"/>
    </row>
    <row r="2817" spans="1:10" s="6" customFormat="1">
      <c r="A2817" s="17"/>
      <c r="C2817" s="9"/>
      <c r="D2817" s="10"/>
      <c r="E2817" s="10"/>
      <c r="F2817" s="9"/>
      <c r="G2817" s="1"/>
      <c r="H2817" s="1"/>
      <c r="I2817" s="1"/>
      <c r="J2817" s="1"/>
    </row>
    <row r="2818" spans="1:10" s="6" customFormat="1">
      <c r="A2818" s="17"/>
      <c r="C2818" s="9"/>
      <c r="D2818" s="10"/>
      <c r="E2818" s="10"/>
      <c r="F2818" s="9"/>
      <c r="G2818" s="1"/>
      <c r="H2818" s="1"/>
      <c r="I2818" s="1"/>
      <c r="J2818" s="1"/>
    </row>
    <row r="2819" spans="1:10" s="6" customFormat="1">
      <c r="A2819" s="17"/>
      <c r="C2819" s="9"/>
      <c r="D2819" s="10"/>
      <c r="E2819" s="10"/>
      <c r="F2819" s="9"/>
      <c r="G2819" s="1"/>
      <c r="H2819" s="1"/>
      <c r="I2819" s="1"/>
      <c r="J2819" s="1"/>
    </row>
    <row r="2820" spans="1:10" s="6" customFormat="1">
      <c r="A2820" s="17"/>
      <c r="C2820" s="9"/>
      <c r="D2820" s="10"/>
      <c r="E2820" s="10"/>
      <c r="F2820" s="9"/>
      <c r="G2820" s="1"/>
      <c r="H2820" s="1"/>
      <c r="I2820" s="1"/>
      <c r="J2820" s="1"/>
    </row>
    <row r="2821" spans="1:10" s="6" customFormat="1">
      <c r="A2821" s="17"/>
      <c r="C2821" s="9"/>
      <c r="D2821" s="10"/>
      <c r="E2821" s="10"/>
      <c r="F2821" s="9"/>
      <c r="G2821" s="1"/>
      <c r="H2821" s="1"/>
      <c r="I2821" s="1"/>
      <c r="J2821" s="1"/>
    </row>
    <row r="2822" spans="1:10" s="6" customFormat="1">
      <c r="A2822" s="17"/>
      <c r="C2822" s="9"/>
      <c r="D2822" s="10"/>
      <c r="E2822" s="10"/>
      <c r="F2822" s="9"/>
      <c r="G2822" s="1"/>
      <c r="H2822" s="1"/>
      <c r="I2822" s="1"/>
      <c r="J2822" s="1"/>
    </row>
    <row r="2823" spans="1:10" s="6" customFormat="1">
      <c r="A2823" s="17"/>
      <c r="C2823" s="9"/>
      <c r="D2823" s="10"/>
      <c r="E2823" s="10"/>
      <c r="F2823" s="9"/>
      <c r="G2823" s="1"/>
      <c r="H2823" s="1"/>
      <c r="I2823" s="1"/>
      <c r="J2823" s="1"/>
    </row>
    <row r="2824" spans="1:10" s="6" customFormat="1">
      <c r="A2824" s="17"/>
      <c r="C2824" s="9"/>
      <c r="D2824" s="10"/>
      <c r="E2824" s="10"/>
      <c r="F2824" s="9"/>
      <c r="G2824" s="1"/>
      <c r="H2824" s="1"/>
      <c r="I2824" s="1"/>
      <c r="J2824" s="1"/>
    </row>
    <row r="2825" spans="1:10" s="6" customFormat="1">
      <c r="A2825" s="17"/>
      <c r="C2825" s="9"/>
      <c r="D2825" s="10"/>
      <c r="E2825" s="10"/>
      <c r="F2825" s="9"/>
      <c r="G2825" s="1"/>
      <c r="H2825" s="1"/>
      <c r="I2825" s="1"/>
      <c r="J2825" s="1"/>
    </row>
    <row r="2826" spans="1:10" s="6" customFormat="1">
      <c r="A2826" s="17"/>
      <c r="C2826" s="9"/>
      <c r="D2826" s="10"/>
      <c r="E2826" s="10"/>
      <c r="F2826" s="9"/>
      <c r="G2826" s="1"/>
      <c r="H2826" s="1"/>
      <c r="I2826" s="1"/>
      <c r="J2826" s="1"/>
    </row>
    <row r="2827" spans="1:10" s="6" customFormat="1">
      <c r="A2827" s="17"/>
      <c r="C2827" s="9"/>
      <c r="D2827" s="10"/>
      <c r="E2827" s="10"/>
      <c r="F2827" s="9"/>
      <c r="G2827" s="1"/>
      <c r="H2827" s="1"/>
      <c r="I2827" s="1"/>
      <c r="J2827" s="1"/>
    </row>
    <row r="2828" spans="1:10" s="6" customFormat="1">
      <c r="A2828" s="17"/>
      <c r="C2828" s="9"/>
      <c r="D2828" s="10"/>
      <c r="E2828" s="10"/>
      <c r="F2828" s="9"/>
      <c r="G2828" s="1"/>
      <c r="H2828" s="1"/>
      <c r="I2828" s="1"/>
      <c r="J2828" s="1"/>
    </row>
    <row r="2829" spans="1:10" s="6" customFormat="1">
      <c r="A2829" s="17"/>
      <c r="C2829" s="9"/>
      <c r="D2829" s="10"/>
      <c r="E2829" s="10"/>
      <c r="F2829" s="9"/>
      <c r="G2829" s="1"/>
      <c r="H2829" s="1"/>
      <c r="I2829" s="1"/>
      <c r="J2829" s="1"/>
    </row>
    <row r="2830" spans="1:10" s="6" customFormat="1">
      <c r="A2830" s="17"/>
      <c r="C2830" s="9"/>
      <c r="D2830" s="10"/>
      <c r="E2830" s="10"/>
      <c r="F2830" s="9"/>
      <c r="G2830" s="1"/>
      <c r="H2830" s="1"/>
      <c r="I2830" s="1"/>
      <c r="J2830" s="1"/>
    </row>
    <row r="2831" spans="1:10" s="6" customFormat="1">
      <c r="A2831" s="17"/>
      <c r="C2831" s="9"/>
      <c r="D2831" s="10"/>
      <c r="E2831" s="10"/>
      <c r="F2831" s="9"/>
      <c r="G2831" s="1"/>
      <c r="H2831" s="1"/>
      <c r="I2831" s="1"/>
      <c r="J2831" s="1"/>
    </row>
    <row r="2832" spans="1:10" s="6" customFormat="1">
      <c r="A2832" s="17"/>
      <c r="C2832" s="9"/>
      <c r="D2832" s="10"/>
      <c r="E2832" s="10"/>
      <c r="F2832" s="9"/>
      <c r="G2832" s="1"/>
      <c r="H2832" s="1"/>
      <c r="I2832" s="1"/>
      <c r="J2832" s="1"/>
    </row>
    <row r="2833" spans="1:10" s="6" customFormat="1">
      <c r="A2833" s="17"/>
      <c r="C2833" s="9"/>
      <c r="D2833" s="10"/>
      <c r="E2833" s="10"/>
      <c r="F2833" s="9"/>
      <c r="G2833" s="1"/>
      <c r="H2833" s="1"/>
      <c r="I2833" s="1"/>
      <c r="J2833" s="1"/>
    </row>
    <row r="2834" spans="1:10" s="6" customFormat="1">
      <c r="A2834" s="17"/>
      <c r="C2834" s="9"/>
      <c r="D2834" s="10"/>
      <c r="E2834" s="10"/>
      <c r="F2834" s="9"/>
      <c r="G2834" s="1"/>
      <c r="H2834" s="1"/>
      <c r="I2834" s="1"/>
      <c r="J2834" s="1"/>
    </row>
    <row r="2835" spans="1:10" s="6" customFormat="1">
      <c r="A2835" s="17"/>
      <c r="C2835" s="9"/>
      <c r="D2835" s="10"/>
      <c r="E2835" s="10"/>
      <c r="F2835" s="9"/>
      <c r="G2835" s="1"/>
      <c r="H2835" s="1"/>
      <c r="I2835" s="1"/>
      <c r="J2835" s="1"/>
    </row>
    <row r="2836" spans="1:10" s="6" customFormat="1">
      <c r="A2836" s="17"/>
      <c r="C2836" s="9"/>
      <c r="D2836" s="10"/>
      <c r="E2836" s="10"/>
      <c r="F2836" s="9"/>
      <c r="G2836" s="1"/>
      <c r="H2836" s="1"/>
      <c r="I2836" s="1"/>
      <c r="J2836" s="1"/>
    </row>
    <row r="2837" spans="1:10" s="6" customFormat="1">
      <c r="A2837" s="17"/>
      <c r="C2837" s="9"/>
      <c r="D2837" s="10"/>
      <c r="E2837" s="10"/>
      <c r="F2837" s="9"/>
      <c r="G2837" s="1"/>
      <c r="H2837" s="1"/>
      <c r="I2837" s="1"/>
      <c r="J2837" s="1"/>
    </row>
    <row r="2838" spans="1:10" s="6" customFormat="1">
      <c r="A2838" s="17"/>
      <c r="C2838" s="9"/>
      <c r="D2838" s="10"/>
      <c r="E2838" s="10"/>
      <c r="F2838" s="9"/>
      <c r="G2838" s="1"/>
      <c r="H2838" s="1"/>
      <c r="I2838" s="1"/>
      <c r="J2838" s="1"/>
    </row>
    <row r="2839" spans="1:10" s="6" customFormat="1">
      <c r="A2839" s="17"/>
      <c r="C2839" s="9"/>
      <c r="D2839" s="10"/>
      <c r="E2839" s="10"/>
      <c r="F2839" s="9"/>
      <c r="G2839" s="1"/>
      <c r="H2839" s="1"/>
      <c r="I2839" s="1"/>
      <c r="J2839" s="1"/>
    </row>
    <row r="2840" spans="1:10" s="6" customFormat="1">
      <c r="A2840" s="17"/>
      <c r="C2840" s="9"/>
      <c r="D2840" s="10"/>
      <c r="E2840" s="10"/>
      <c r="F2840" s="9"/>
      <c r="G2840" s="1"/>
      <c r="H2840" s="1"/>
      <c r="I2840" s="1"/>
      <c r="J2840" s="1"/>
    </row>
    <row r="2841" spans="1:10" s="6" customFormat="1">
      <c r="A2841" s="17"/>
      <c r="C2841" s="9"/>
      <c r="D2841" s="10"/>
      <c r="E2841" s="10"/>
      <c r="F2841" s="9"/>
      <c r="G2841" s="1"/>
      <c r="H2841" s="1"/>
      <c r="I2841" s="1"/>
      <c r="J2841" s="1"/>
    </row>
    <row r="2842" spans="1:10" s="6" customFormat="1">
      <c r="A2842" s="17"/>
      <c r="C2842" s="9"/>
      <c r="D2842" s="10"/>
      <c r="E2842" s="10"/>
      <c r="F2842" s="9"/>
      <c r="G2842" s="1"/>
      <c r="H2842" s="1"/>
      <c r="I2842" s="1"/>
      <c r="J2842" s="1"/>
    </row>
    <row r="2843" spans="1:10" s="6" customFormat="1">
      <c r="A2843" s="17"/>
      <c r="C2843" s="9"/>
      <c r="D2843" s="10"/>
      <c r="E2843" s="10"/>
      <c r="F2843" s="9"/>
      <c r="G2843" s="1"/>
      <c r="H2843" s="1"/>
      <c r="I2843" s="1"/>
      <c r="J2843" s="1"/>
    </row>
    <row r="2844" spans="1:10" s="6" customFormat="1">
      <c r="A2844" s="17"/>
      <c r="C2844" s="9"/>
      <c r="D2844" s="10"/>
      <c r="E2844" s="10"/>
      <c r="F2844" s="9"/>
      <c r="G2844" s="1"/>
      <c r="H2844" s="1"/>
      <c r="I2844" s="1"/>
      <c r="J2844" s="1"/>
    </row>
    <row r="2845" spans="1:10" s="6" customFormat="1">
      <c r="A2845" s="17"/>
      <c r="C2845" s="9"/>
      <c r="D2845" s="10"/>
      <c r="E2845" s="10"/>
      <c r="F2845" s="9"/>
      <c r="G2845" s="1"/>
      <c r="H2845" s="1"/>
      <c r="I2845" s="1"/>
      <c r="J2845" s="1"/>
    </row>
    <row r="2846" spans="1:10" s="6" customFormat="1">
      <c r="A2846" s="17"/>
      <c r="C2846" s="9"/>
      <c r="D2846" s="10"/>
      <c r="E2846" s="10"/>
      <c r="F2846" s="9"/>
      <c r="G2846" s="1"/>
      <c r="H2846" s="1"/>
      <c r="I2846" s="1"/>
      <c r="J2846" s="1"/>
    </row>
    <row r="2847" spans="1:10" s="6" customFormat="1">
      <c r="A2847" s="17"/>
      <c r="C2847" s="9"/>
      <c r="D2847" s="10"/>
      <c r="E2847" s="10"/>
      <c r="F2847" s="9"/>
      <c r="G2847" s="1"/>
      <c r="H2847" s="1"/>
      <c r="I2847" s="1"/>
      <c r="J2847" s="1"/>
    </row>
    <row r="2848" spans="1:10" s="6" customFormat="1">
      <c r="A2848" s="17"/>
      <c r="C2848" s="9"/>
      <c r="D2848" s="10"/>
      <c r="E2848" s="10"/>
      <c r="F2848" s="9"/>
      <c r="G2848" s="1"/>
      <c r="H2848" s="1"/>
      <c r="I2848" s="1"/>
      <c r="J2848" s="1"/>
    </row>
    <row r="2849" spans="1:10" s="6" customFormat="1">
      <c r="A2849" s="17"/>
      <c r="C2849" s="9"/>
      <c r="D2849" s="10"/>
      <c r="E2849" s="10"/>
      <c r="F2849" s="9"/>
      <c r="G2849" s="1"/>
      <c r="H2849" s="1"/>
      <c r="I2849" s="1"/>
      <c r="J2849" s="1"/>
    </row>
    <row r="2850" spans="1:10" s="6" customFormat="1">
      <c r="A2850" s="17"/>
      <c r="C2850" s="9"/>
      <c r="D2850" s="10"/>
      <c r="E2850" s="10"/>
      <c r="F2850" s="9"/>
      <c r="G2850" s="1"/>
      <c r="H2850" s="1"/>
      <c r="I2850" s="1"/>
      <c r="J2850" s="1"/>
    </row>
    <row r="2851" spans="1:10" s="6" customFormat="1">
      <c r="A2851" s="17"/>
      <c r="C2851" s="9"/>
      <c r="D2851" s="10"/>
      <c r="E2851" s="10"/>
      <c r="F2851" s="9"/>
      <c r="G2851" s="1"/>
      <c r="H2851" s="1"/>
      <c r="I2851" s="1"/>
      <c r="J2851" s="1"/>
    </row>
    <row r="2852" spans="1:10" s="6" customFormat="1">
      <c r="A2852" s="17"/>
      <c r="C2852" s="9"/>
      <c r="D2852" s="10"/>
      <c r="E2852" s="10"/>
      <c r="F2852" s="9"/>
      <c r="G2852" s="1"/>
      <c r="H2852" s="1"/>
      <c r="I2852" s="1"/>
      <c r="J2852" s="1"/>
    </row>
    <row r="2853" spans="1:10" s="6" customFormat="1">
      <c r="A2853" s="17"/>
      <c r="C2853" s="9"/>
      <c r="D2853" s="10"/>
      <c r="E2853" s="10"/>
      <c r="F2853" s="9"/>
      <c r="G2853" s="1"/>
      <c r="H2853" s="1"/>
      <c r="I2853" s="1"/>
      <c r="J2853" s="1"/>
    </row>
    <row r="2854" spans="1:10" s="6" customFormat="1">
      <c r="A2854" s="17"/>
      <c r="C2854" s="9"/>
      <c r="D2854" s="10"/>
      <c r="E2854" s="10"/>
      <c r="F2854" s="9"/>
      <c r="G2854" s="1"/>
      <c r="H2854" s="1"/>
      <c r="I2854" s="1"/>
      <c r="J2854" s="1"/>
    </row>
    <row r="2855" spans="1:10" s="6" customFormat="1">
      <c r="A2855" s="17"/>
      <c r="C2855" s="9"/>
      <c r="D2855" s="10"/>
      <c r="E2855" s="10"/>
      <c r="F2855" s="9"/>
      <c r="G2855" s="1"/>
      <c r="H2855" s="1"/>
      <c r="I2855" s="1"/>
      <c r="J2855" s="1"/>
    </row>
    <row r="2856" spans="1:10" s="6" customFormat="1">
      <c r="A2856" s="17"/>
      <c r="C2856" s="9"/>
      <c r="D2856" s="10"/>
      <c r="E2856" s="10"/>
      <c r="F2856" s="9"/>
      <c r="G2856" s="1"/>
      <c r="H2856" s="1"/>
      <c r="I2856" s="1"/>
      <c r="J2856" s="1"/>
    </row>
    <row r="2857" spans="1:10" s="6" customFormat="1">
      <c r="A2857" s="17"/>
      <c r="C2857" s="9"/>
      <c r="D2857" s="10"/>
      <c r="E2857" s="10"/>
      <c r="F2857" s="9"/>
      <c r="G2857" s="1"/>
      <c r="H2857" s="1"/>
      <c r="I2857" s="1"/>
      <c r="J2857" s="1"/>
    </row>
    <row r="2858" spans="1:10" s="6" customFormat="1">
      <c r="A2858" s="17"/>
      <c r="C2858" s="9"/>
      <c r="D2858" s="10"/>
      <c r="E2858" s="10"/>
      <c r="F2858" s="9"/>
      <c r="G2858" s="1"/>
      <c r="H2858" s="1"/>
      <c r="I2858" s="1"/>
      <c r="J2858" s="1"/>
    </row>
    <row r="2859" spans="1:10" s="6" customFormat="1">
      <c r="A2859" s="17"/>
      <c r="C2859" s="9"/>
      <c r="D2859" s="10"/>
      <c r="E2859" s="10"/>
      <c r="F2859" s="9"/>
      <c r="G2859" s="1"/>
      <c r="H2859" s="1"/>
      <c r="I2859" s="1"/>
      <c r="J2859" s="1"/>
    </row>
    <row r="2860" spans="1:10" s="6" customFormat="1">
      <c r="A2860" s="17"/>
      <c r="C2860" s="9"/>
      <c r="D2860" s="10"/>
      <c r="E2860" s="10"/>
      <c r="F2860" s="9"/>
      <c r="G2860" s="1"/>
      <c r="H2860" s="1"/>
      <c r="I2860" s="1"/>
      <c r="J2860" s="1"/>
    </row>
    <row r="2861" spans="1:10" s="6" customFormat="1">
      <c r="A2861" s="17"/>
      <c r="C2861" s="9"/>
      <c r="D2861" s="10"/>
      <c r="E2861" s="10"/>
      <c r="F2861" s="9"/>
      <c r="G2861" s="1"/>
      <c r="H2861" s="1"/>
      <c r="I2861" s="1"/>
      <c r="J2861" s="1"/>
    </row>
    <row r="2862" spans="1:10" s="6" customFormat="1">
      <c r="A2862" s="17"/>
      <c r="C2862" s="9"/>
      <c r="D2862" s="10"/>
      <c r="E2862" s="10"/>
      <c r="F2862" s="9"/>
      <c r="G2862" s="1"/>
      <c r="H2862" s="1"/>
      <c r="I2862" s="1"/>
      <c r="J2862" s="1"/>
    </row>
    <row r="2863" spans="1:10" s="6" customFormat="1">
      <c r="A2863" s="17"/>
      <c r="C2863" s="9"/>
      <c r="D2863" s="10"/>
      <c r="E2863" s="10"/>
      <c r="F2863" s="9"/>
      <c r="G2863" s="1"/>
      <c r="H2863" s="1"/>
      <c r="I2863" s="1"/>
      <c r="J2863" s="1"/>
    </row>
    <row r="2864" spans="1:10" s="6" customFormat="1">
      <c r="A2864" s="17"/>
      <c r="C2864" s="9"/>
      <c r="D2864" s="10"/>
      <c r="E2864" s="10"/>
      <c r="F2864" s="9"/>
      <c r="G2864" s="1"/>
      <c r="H2864" s="1"/>
      <c r="I2864" s="1"/>
      <c r="J2864" s="1"/>
    </row>
    <row r="2865" spans="1:10" s="6" customFormat="1">
      <c r="A2865" s="17"/>
      <c r="C2865" s="9"/>
      <c r="D2865" s="10"/>
      <c r="E2865" s="10"/>
      <c r="F2865" s="9"/>
      <c r="G2865" s="1"/>
      <c r="H2865" s="1"/>
      <c r="I2865" s="1"/>
      <c r="J2865" s="1"/>
    </row>
    <row r="2866" spans="1:10" s="6" customFormat="1">
      <c r="A2866" s="17"/>
      <c r="C2866" s="9"/>
      <c r="D2866" s="10"/>
      <c r="E2866" s="10"/>
      <c r="F2866" s="9"/>
      <c r="G2866" s="1"/>
      <c r="H2866" s="1"/>
      <c r="I2866" s="1"/>
      <c r="J2866" s="1"/>
    </row>
    <row r="2867" spans="1:10" s="6" customFormat="1">
      <c r="A2867" s="17"/>
      <c r="C2867" s="9"/>
      <c r="D2867" s="10"/>
      <c r="E2867" s="10"/>
      <c r="F2867" s="9"/>
      <c r="G2867" s="1"/>
      <c r="H2867" s="1"/>
      <c r="I2867" s="1"/>
      <c r="J2867" s="1"/>
    </row>
    <row r="2868" spans="1:10" s="6" customFormat="1">
      <c r="A2868" s="17"/>
      <c r="C2868" s="9"/>
      <c r="D2868" s="10"/>
      <c r="E2868" s="10"/>
      <c r="F2868" s="9"/>
      <c r="G2868" s="1"/>
      <c r="H2868" s="1"/>
      <c r="I2868" s="1"/>
      <c r="J2868" s="1"/>
    </row>
    <row r="2869" spans="1:10" s="6" customFormat="1">
      <c r="A2869" s="17"/>
      <c r="C2869" s="9"/>
      <c r="D2869" s="10"/>
      <c r="E2869" s="10"/>
      <c r="F2869" s="9"/>
      <c r="G2869" s="1"/>
      <c r="H2869" s="1"/>
      <c r="I2869" s="1"/>
      <c r="J2869" s="1"/>
    </row>
    <row r="2870" spans="1:10" s="6" customFormat="1">
      <c r="A2870" s="17"/>
      <c r="C2870" s="9"/>
      <c r="D2870" s="10"/>
      <c r="E2870" s="10"/>
      <c r="F2870" s="9"/>
      <c r="G2870" s="1"/>
      <c r="H2870" s="1"/>
      <c r="I2870" s="1"/>
      <c r="J2870" s="1"/>
    </row>
    <row r="2871" spans="1:10" s="6" customFormat="1">
      <c r="A2871" s="17"/>
      <c r="C2871" s="9"/>
      <c r="D2871" s="10"/>
      <c r="E2871" s="10"/>
      <c r="F2871" s="9"/>
      <c r="G2871" s="1"/>
      <c r="H2871" s="1"/>
      <c r="I2871" s="1"/>
      <c r="J2871" s="1"/>
    </row>
    <row r="2872" spans="1:10" s="6" customFormat="1">
      <c r="A2872" s="17"/>
      <c r="C2872" s="9"/>
      <c r="D2872" s="10"/>
      <c r="E2872" s="10"/>
      <c r="F2872" s="9"/>
      <c r="G2872" s="1"/>
      <c r="H2872" s="1"/>
      <c r="I2872" s="1"/>
      <c r="J2872" s="1"/>
    </row>
    <row r="2873" spans="1:10" s="6" customFormat="1">
      <c r="A2873" s="17"/>
      <c r="C2873" s="9"/>
      <c r="D2873" s="10"/>
      <c r="E2873" s="10"/>
      <c r="F2873" s="9"/>
      <c r="G2873" s="1"/>
      <c r="H2873" s="1"/>
      <c r="I2873" s="1"/>
      <c r="J2873" s="1"/>
    </row>
    <row r="2874" spans="1:10" s="6" customFormat="1">
      <c r="A2874" s="17"/>
      <c r="C2874" s="9"/>
      <c r="D2874" s="10"/>
      <c r="E2874" s="10"/>
      <c r="F2874" s="9"/>
      <c r="G2874" s="1"/>
      <c r="H2874" s="1"/>
      <c r="I2874" s="1"/>
      <c r="J2874" s="1"/>
    </row>
    <row r="2875" spans="1:10" s="6" customFormat="1">
      <c r="A2875" s="17"/>
      <c r="C2875" s="9"/>
      <c r="D2875" s="10"/>
      <c r="E2875" s="10"/>
      <c r="F2875" s="9"/>
      <c r="G2875" s="1"/>
      <c r="H2875" s="1"/>
      <c r="I2875" s="1"/>
      <c r="J2875" s="1"/>
    </row>
    <row r="2876" spans="1:10" s="6" customFormat="1">
      <c r="A2876" s="17"/>
      <c r="C2876" s="9"/>
      <c r="D2876" s="10"/>
      <c r="E2876" s="10"/>
      <c r="F2876" s="9"/>
      <c r="G2876" s="1"/>
      <c r="H2876" s="1"/>
      <c r="I2876" s="1"/>
      <c r="J2876" s="1"/>
    </row>
    <row r="2877" spans="1:10" s="6" customFormat="1">
      <c r="A2877" s="17"/>
      <c r="C2877" s="9"/>
      <c r="D2877" s="10"/>
      <c r="E2877" s="10"/>
      <c r="F2877" s="9"/>
      <c r="G2877" s="1"/>
      <c r="H2877" s="1"/>
      <c r="I2877" s="1"/>
      <c r="J2877" s="1"/>
    </row>
    <row r="2878" spans="1:10" s="6" customFormat="1">
      <c r="A2878" s="17"/>
      <c r="C2878" s="9"/>
      <c r="D2878" s="10"/>
      <c r="E2878" s="10"/>
      <c r="F2878" s="9"/>
      <c r="G2878" s="1"/>
      <c r="H2878" s="1"/>
      <c r="I2878" s="1"/>
      <c r="J2878" s="1"/>
    </row>
    <row r="2879" spans="1:10" s="6" customFormat="1">
      <c r="A2879" s="17"/>
      <c r="C2879" s="9"/>
      <c r="D2879" s="10"/>
      <c r="E2879" s="10"/>
      <c r="F2879" s="9"/>
      <c r="G2879" s="1"/>
      <c r="H2879" s="1"/>
      <c r="I2879" s="1"/>
      <c r="J2879" s="1"/>
    </row>
    <row r="2880" spans="1:10" s="6" customFormat="1">
      <c r="A2880" s="17"/>
      <c r="C2880" s="9"/>
      <c r="D2880" s="10"/>
      <c r="E2880" s="10"/>
      <c r="F2880" s="9"/>
      <c r="G2880" s="1"/>
      <c r="H2880" s="1"/>
      <c r="I2880" s="1"/>
      <c r="J2880" s="1"/>
    </row>
    <row r="2881" spans="1:10" s="6" customFormat="1">
      <c r="A2881" s="17"/>
      <c r="C2881" s="9"/>
      <c r="D2881" s="10"/>
      <c r="E2881" s="10"/>
      <c r="F2881" s="9"/>
      <c r="G2881" s="1"/>
      <c r="H2881" s="1"/>
      <c r="I2881" s="1"/>
      <c r="J2881" s="1"/>
    </row>
    <row r="2882" spans="1:10" s="6" customFormat="1">
      <c r="A2882" s="17"/>
      <c r="C2882" s="9"/>
      <c r="D2882" s="10"/>
      <c r="E2882" s="10"/>
      <c r="F2882" s="9"/>
      <c r="G2882" s="1"/>
      <c r="H2882" s="1"/>
      <c r="I2882" s="1"/>
      <c r="J2882" s="1"/>
    </row>
    <row r="2883" spans="1:10" s="6" customFormat="1">
      <c r="A2883" s="17"/>
      <c r="C2883" s="9"/>
      <c r="D2883" s="10"/>
      <c r="E2883" s="10"/>
      <c r="F2883" s="9"/>
      <c r="G2883" s="1"/>
      <c r="H2883" s="1"/>
      <c r="I2883" s="1"/>
      <c r="J2883" s="1"/>
    </row>
    <row r="2884" spans="1:10" s="6" customFormat="1">
      <c r="A2884" s="17"/>
      <c r="C2884" s="9"/>
      <c r="D2884" s="10"/>
      <c r="E2884" s="10"/>
      <c r="F2884" s="9"/>
      <c r="G2884" s="1"/>
      <c r="H2884" s="1"/>
      <c r="I2884" s="1"/>
      <c r="J2884" s="1"/>
    </row>
    <row r="2885" spans="1:10" s="6" customFormat="1">
      <c r="A2885" s="17"/>
      <c r="C2885" s="9"/>
      <c r="D2885" s="10"/>
      <c r="E2885" s="10"/>
      <c r="F2885" s="9"/>
      <c r="G2885" s="1"/>
      <c r="H2885" s="1"/>
      <c r="I2885" s="1"/>
      <c r="J2885" s="1"/>
    </row>
    <row r="2886" spans="1:10" s="6" customFormat="1">
      <c r="A2886" s="17"/>
      <c r="C2886" s="9"/>
      <c r="D2886" s="10"/>
      <c r="E2886" s="10"/>
      <c r="F2886" s="9"/>
      <c r="G2886" s="1"/>
      <c r="H2886" s="1"/>
      <c r="I2886" s="1"/>
      <c r="J2886" s="1"/>
    </row>
    <row r="2887" spans="1:10" s="6" customFormat="1">
      <c r="A2887" s="17"/>
      <c r="C2887" s="9"/>
      <c r="D2887" s="10"/>
      <c r="E2887" s="10"/>
      <c r="F2887" s="9"/>
      <c r="G2887" s="1"/>
      <c r="H2887" s="1"/>
      <c r="I2887" s="1"/>
      <c r="J2887" s="1"/>
    </row>
    <row r="2888" spans="1:10" s="6" customFormat="1">
      <c r="A2888" s="17"/>
      <c r="C2888" s="9"/>
      <c r="D2888" s="10"/>
      <c r="E2888" s="10"/>
      <c r="F2888" s="9"/>
      <c r="G2888" s="1"/>
      <c r="H2888" s="1"/>
      <c r="I2888" s="1"/>
      <c r="J2888" s="1"/>
    </row>
    <row r="2889" spans="1:10" s="6" customFormat="1">
      <c r="A2889" s="17"/>
      <c r="C2889" s="9"/>
      <c r="D2889" s="10"/>
      <c r="E2889" s="10"/>
      <c r="F2889" s="9"/>
      <c r="G2889" s="1"/>
      <c r="H2889" s="1"/>
      <c r="I2889" s="1"/>
      <c r="J2889" s="1"/>
    </row>
    <row r="2890" spans="1:10" s="6" customFormat="1">
      <c r="A2890" s="17"/>
      <c r="C2890" s="9"/>
      <c r="D2890" s="10"/>
      <c r="E2890" s="10"/>
      <c r="F2890" s="9"/>
      <c r="G2890" s="1"/>
      <c r="H2890" s="1"/>
      <c r="I2890" s="1"/>
      <c r="J2890" s="1"/>
    </row>
    <row r="2891" spans="1:10" s="6" customFormat="1">
      <c r="A2891" s="17"/>
      <c r="C2891" s="9"/>
      <c r="D2891" s="10"/>
      <c r="E2891" s="10"/>
      <c r="F2891" s="9"/>
      <c r="G2891" s="1"/>
      <c r="H2891" s="1"/>
      <c r="I2891" s="1"/>
      <c r="J2891" s="1"/>
    </row>
    <row r="2892" spans="1:10" s="6" customFormat="1">
      <c r="A2892" s="17"/>
      <c r="C2892" s="9"/>
      <c r="D2892" s="10"/>
      <c r="E2892" s="10"/>
      <c r="F2892" s="9"/>
      <c r="G2892" s="1"/>
      <c r="H2892" s="1"/>
      <c r="I2892" s="1"/>
      <c r="J2892" s="1"/>
    </row>
    <row r="2893" spans="1:10" s="6" customFormat="1">
      <c r="A2893" s="17"/>
      <c r="C2893" s="9"/>
      <c r="D2893" s="10"/>
      <c r="E2893" s="10"/>
      <c r="F2893" s="9"/>
      <c r="G2893" s="1"/>
      <c r="H2893" s="1"/>
      <c r="I2893" s="1"/>
      <c r="J2893" s="1"/>
    </row>
    <row r="2894" spans="1:10" s="6" customFormat="1">
      <c r="A2894" s="17"/>
      <c r="C2894" s="9"/>
      <c r="D2894" s="10"/>
      <c r="E2894" s="10"/>
      <c r="F2894" s="9"/>
      <c r="G2894" s="1"/>
      <c r="H2894" s="1"/>
      <c r="I2894" s="1"/>
      <c r="J2894" s="1"/>
    </row>
    <row r="2895" spans="1:10" s="6" customFormat="1">
      <c r="A2895" s="17"/>
      <c r="C2895" s="9"/>
      <c r="D2895" s="10"/>
      <c r="E2895" s="10"/>
      <c r="F2895" s="9"/>
      <c r="G2895" s="1"/>
      <c r="H2895" s="1"/>
      <c r="I2895" s="1"/>
      <c r="J2895" s="1"/>
    </row>
    <row r="2896" spans="1:10" s="6" customFormat="1">
      <c r="A2896" s="17"/>
      <c r="C2896" s="9"/>
      <c r="D2896" s="10"/>
      <c r="E2896" s="10"/>
      <c r="F2896" s="9"/>
      <c r="G2896" s="1"/>
      <c r="H2896" s="1"/>
      <c r="I2896" s="1"/>
      <c r="J2896" s="1"/>
    </row>
    <row r="2897" spans="1:10" s="6" customFormat="1">
      <c r="A2897" s="17"/>
      <c r="C2897" s="9"/>
      <c r="D2897" s="10"/>
      <c r="E2897" s="10"/>
      <c r="F2897" s="9"/>
      <c r="G2897" s="1"/>
      <c r="H2897" s="1"/>
      <c r="I2897" s="1"/>
      <c r="J2897" s="1"/>
    </row>
    <row r="2898" spans="1:10" s="6" customFormat="1">
      <c r="A2898" s="17"/>
      <c r="C2898" s="9"/>
      <c r="D2898" s="10"/>
      <c r="E2898" s="10"/>
      <c r="F2898" s="9"/>
      <c r="G2898" s="1"/>
      <c r="H2898" s="1"/>
      <c r="I2898" s="1"/>
      <c r="J2898" s="1"/>
    </row>
    <row r="2899" spans="1:10" s="6" customFormat="1">
      <c r="A2899" s="17"/>
      <c r="C2899" s="9"/>
      <c r="D2899" s="10"/>
      <c r="E2899" s="10"/>
      <c r="F2899" s="9"/>
      <c r="G2899" s="1"/>
      <c r="H2899" s="1"/>
      <c r="I2899" s="1"/>
      <c r="J2899" s="1"/>
    </row>
    <row r="2900" spans="1:10" s="6" customFormat="1">
      <c r="A2900" s="17"/>
      <c r="C2900" s="9"/>
      <c r="D2900" s="10"/>
      <c r="E2900" s="10"/>
      <c r="F2900" s="9"/>
      <c r="G2900" s="1"/>
      <c r="H2900" s="1"/>
      <c r="I2900" s="1"/>
      <c r="J2900" s="1"/>
    </row>
    <row r="2901" spans="1:10" s="6" customFormat="1">
      <c r="A2901" s="17"/>
      <c r="C2901" s="9"/>
      <c r="D2901" s="10"/>
      <c r="E2901" s="10"/>
      <c r="F2901" s="9"/>
      <c r="G2901" s="1"/>
      <c r="H2901" s="1"/>
      <c r="I2901" s="1"/>
      <c r="J2901" s="1"/>
    </row>
    <row r="2902" spans="1:10" s="6" customFormat="1">
      <c r="A2902" s="17"/>
      <c r="C2902" s="9"/>
      <c r="D2902" s="10"/>
      <c r="E2902" s="10"/>
      <c r="F2902" s="9"/>
      <c r="G2902" s="1"/>
      <c r="H2902" s="1"/>
      <c r="I2902" s="1"/>
      <c r="J2902" s="1"/>
    </row>
    <row r="2903" spans="1:10" s="6" customFormat="1">
      <c r="A2903" s="17"/>
      <c r="C2903" s="9"/>
      <c r="D2903" s="10"/>
      <c r="E2903" s="10"/>
      <c r="F2903" s="9"/>
      <c r="G2903" s="1"/>
      <c r="H2903" s="1"/>
      <c r="I2903" s="1"/>
      <c r="J2903" s="1"/>
    </row>
    <row r="2904" spans="1:10" s="6" customFormat="1">
      <c r="A2904" s="17"/>
      <c r="C2904" s="9"/>
      <c r="D2904" s="10"/>
      <c r="E2904" s="10"/>
      <c r="F2904" s="9"/>
      <c r="G2904" s="1"/>
      <c r="H2904" s="1"/>
      <c r="I2904" s="1"/>
      <c r="J2904" s="1"/>
    </row>
    <row r="2905" spans="1:10" s="6" customFormat="1">
      <c r="A2905" s="17"/>
      <c r="C2905" s="9"/>
      <c r="D2905" s="10"/>
      <c r="E2905" s="10"/>
      <c r="F2905" s="9"/>
      <c r="G2905" s="1"/>
      <c r="H2905" s="1"/>
      <c r="I2905" s="1"/>
      <c r="J2905" s="1"/>
    </row>
    <row r="2906" spans="1:10" s="6" customFormat="1">
      <c r="A2906" s="17"/>
      <c r="C2906" s="9"/>
      <c r="D2906" s="10"/>
      <c r="E2906" s="10"/>
      <c r="F2906" s="9"/>
      <c r="G2906" s="1"/>
      <c r="H2906" s="1"/>
      <c r="I2906" s="1"/>
      <c r="J2906" s="1"/>
    </row>
    <row r="2907" spans="1:10" s="6" customFormat="1">
      <c r="A2907" s="17"/>
      <c r="C2907" s="9"/>
      <c r="D2907" s="10"/>
      <c r="E2907" s="10"/>
      <c r="F2907" s="9"/>
      <c r="G2907" s="1"/>
      <c r="H2907" s="1"/>
      <c r="I2907" s="1"/>
      <c r="J2907" s="1"/>
    </row>
    <row r="2908" spans="1:10" s="6" customFormat="1">
      <c r="A2908" s="17"/>
      <c r="C2908" s="9"/>
      <c r="D2908" s="10"/>
      <c r="E2908" s="10"/>
      <c r="F2908" s="9"/>
      <c r="G2908" s="1"/>
      <c r="H2908" s="1"/>
      <c r="I2908" s="1"/>
      <c r="J2908" s="1"/>
    </row>
    <row r="2909" spans="1:10" s="6" customFormat="1">
      <c r="A2909" s="17"/>
      <c r="C2909" s="9"/>
      <c r="D2909" s="10"/>
      <c r="E2909" s="10"/>
      <c r="F2909" s="9"/>
      <c r="G2909" s="1"/>
      <c r="H2909" s="1"/>
      <c r="I2909" s="1"/>
      <c r="J2909" s="1"/>
    </row>
    <row r="2910" spans="1:10" s="6" customFormat="1">
      <c r="A2910" s="17"/>
      <c r="C2910" s="9"/>
      <c r="D2910" s="10"/>
      <c r="E2910" s="10"/>
      <c r="F2910" s="9"/>
      <c r="G2910" s="1"/>
      <c r="H2910" s="1"/>
      <c r="I2910" s="1"/>
      <c r="J2910" s="1"/>
    </row>
    <row r="2911" spans="1:10" s="6" customFormat="1">
      <c r="A2911" s="17"/>
      <c r="C2911" s="9"/>
      <c r="D2911" s="10"/>
      <c r="E2911" s="10"/>
      <c r="F2911" s="9"/>
      <c r="G2911" s="1"/>
      <c r="H2911" s="1"/>
      <c r="I2911" s="1"/>
      <c r="J2911" s="1"/>
    </row>
    <row r="2912" spans="1:10" s="6" customFormat="1">
      <c r="A2912" s="17"/>
      <c r="C2912" s="9"/>
      <c r="D2912" s="10"/>
      <c r="E2912" s="10"/>
      <c r="F2912" s="9"/>
      <c r="G2912" s="1"/>
      <c r="H2912" s="1"/>
      <c r="I2912" s="1"/>
      <c r="J2912" s="1"/>
    </row>
    <row r="2913" spans="1:10" s="6" customFormat="1">
      <c r="A2913" s="17"/>
      <c r="C2913" s="9"/>
      <c r="D2913" s="10"/>
      <c r="E2913" s="10"/>
      <c r="F2913" s="9"/>
      <c r="G2913" s="1"/>
      <c r="H2913" s="1"/>
      <c r="I2913" s="1"/>
      <c r="J2913" s="1"/>
    </row>
    <row r="2914" spans="1:10" s="6" customFormat="1">
      <c r="A2914" s="17"/>
      <c r="C2914" s="9"/>
      <c r="D2914" s="10"/>
      <c r="E2914" s="10"/>
      <c r="F2914" s="9"/>
      <c r="G2914" s="1"/>
      <c r="H2914" s="1"/>
      <c r="I2914" s="1"/>
      <c r="J2914" s="1"/>
    </row>
    <row r="2915" spans="1:10" s="6" customFormat="1">
      <c r="A2915" s="17"/>
      <c r="C2915" s="9"/>
      <c r="D2915" s="10"/>
      <c r="E2915" s="10"/>
      <c r="F2915" s="9"/>
      <c r="G2915" s="1"/>
      <c r="H2915" s="1"/>
      <c r="I2915" s="1"/>
      <c r="J2915" s="1"/>
    </row>
    <row r="2916" spans="1:10" s="6" customFormat="1">
      <c r="A2916" s="17"/>
      <c r="C2916" s="9"/>
      <c r="D2916" s="10"/>
      <c r="E2916" s="10"/>
      <c r="F2916" s="9"/>
      <c r="G2916" s="1"/>
      <c r="H2916" s="1"/>
      <c r="I2916" s="1"/>
      <c r="J2916" s="1"/>
    </row>
    <row r="2917" spans="1:10" s="6" customFormat="1">
      <c r="A2917" s="17"/>
      <c r="C2917" s="9"/>
      <c r="D2917" s="10"/>
      <c r="E2917" s="10"/>
      <c r="F2917" s="9"/>
      <c r="G2917" s="1"/>
      <c r="H2917" s="1"/>
      <c r="I2917" s="1"/>
      <c r="J2917" s="1"/>
    </row>
    <row r="2918" spans="1:10" s="6" customFormat="1">
      <c r="A2918" s="17"/>
      <c r="C2918" s="9"/>
      <c r="D2918" s="10"/>
      <c r="E2918" s="10"/>
      <c r="F2918" s="9"/>
      <c r="G2918" s="1"/>
      <c r="H2918" s="1"/>
      <c r="I2918" s="1"/>
      <c r="J2918" s="1"/>
    </row>
    <row r="2919" spans="1:10" s="6" customFormat="1">
      <c r="A2919" s="17"/>
      <c r="C2919" s="9"/>
      <c r="D2919" s="10"/>
      <c r="E2919" s="10"/>
      <c r="F2919" s="9"/>
      <c r="G2919" s="1"/>
      <c r="H2919" s="1"/>
      <c r="I2919" s="1"/>
      <c r="J2919" s="1"/>
    </row>
    <row r="2920" spans="1:10" s="6" customFormat="1">
      <c r="A2920" s="17"/>
      <c r="C2920" s="9"/>
      <c r="D2920" s="10"/>
      <c r="E2920" s="10"/>
      <c r="F2920" s="9"/>
      <c r="G2920" s="1"/>
      <c r="H2920" s="1"/>
      <c r="I2920" s="1"/>
      <c r="J2920" s="1"/>
    </row>
    <row r="2921" spans="1:10" s="6" customFormat="1">
      <c r="A2921" s="17"/>
      <c r="C2921" s="9"/>
      <c r="D2921" s="10"/>
      <c r="E2921" s="10"/>
      <c r="F2921" s="9"/>
      <c r="G2921" s="1"/>
      <c r="H2921" s="1"/>
      <c r="I2921" s="1"/>
      <c r="J2921" s="1"/>
    </row>
    <row r="2922" spans="1:10" s="6" customFormat="1">
      <c r="A2922" s="17"/>
      <c r="C2922" s="9"/>
      <c r="D2922" s="10"/>
      <c r="E2922" s="10"/>
      <c r="F2922" s="9"/>
      <c r="G2922" s="1"/>
      <c r="H2922" s="1"/>
      <c r="I2922" s="1"/>
      <c r="J2922" s="1"/>
    </row>
    <row r="2923" spans="1:10" s="6" customFormat="1">
      <c r="A2923" s="17"/>
      <c r="C2923" s="9"/>
      <c r="D2923" s="10"/>
      <c r="E2923" s="10"/>
      <c r="F2923" s="9"/>
      <c r="G2923" s="1"/>
      <c r="H2923" s="1"/>
      <c r="I2923" s="1"/>
      <c r="J2923" s="1"/>
    </row>
    <row r="2924" spans="1:10" s="6" customFormat="1">
      <c r="A2924" s="17"/>
      <c r="C2924" s="9"/>
      <c r="D2924" s="10"/>
      <c r="E2924" s="10"/>
      <c r="F2924" s="9"/>
      <c r="G2924" s="1"/>
      <c r="H2924" s="1"/>
      <c r="I2924" s="1"/>
      <c r="J2924" s="1"/>
    </row>
    <row r="2925" spans="1:10" s="6" customFormat="1">
      <c r="A2925" s="17"/>
      <c r="C2925" s="9"/>
      <c r="D2925" s="10"/>
      <c r="E2925" s="10"/>
      <c r="F2925" s="9"/>
      <c r="G2925" s="1"/>
      <c r="H2925" s="1"/>
      <c r="I2925" s="1"/>
      <c r="J2925" s="1"/>
    </row>
    <row r="2926" spans="1:10" s="6" customFormat="1">
      <c r="A2926" s="17"/>
      <c r="C2926" s="9"/>
      <c r="D2926" s="10"/>
      <c r="E2926" s="10"/>
      <c r="F2926" s="9"/>
      <c r="G2926" s="1"/>
      <c r="H2926" s="1"/>
      <c r="I2926" s="1"/>
      <c r="J2926" s="1"/>
    </row>
    <row r="2927" spans="1:10" s="6" customFormat="1">
      <c r="A2927" s="17"/>
      <c r="C2927" s="9"/>
      <c r="D2927" s="10"/>
      <c r="E2927" s="10"/>
      <c r="F2927" s="9"/>
      <c r="G2927" s="1"/>
      <c r="H2927" s="1"/>
      <c r="I2927" s="1"/>
      <c r="J2927" s="1"/>
    </row>
    <row r="2928" spans="1:10" s="6" customFormat="1">
      <c r="A2928" s="17"/>
      <c r="C2928" s="9"/>
      <c r="D2928" s="10"/>
      <c r="E2928" s="10"/>
      <c r="F2928" s="9"/>
      <c r="G2928" s="1"/>
      <c r="H2928" s="1"/>
      <c r="I2928" s="1"/>
      <c r="J2928" s="1"/>
    </row>
    <row r="2929" spans="1:10" s="6" customFormat="1">
      <c r="A2929" s="17"/>
      <c r="C2929" s="9"/>
      <c r="D2929" s="10"/>
      <c r="E2929" s="10"/>
      <c r="F2929" s="9"/>
      <c r="G2929" s="1"/>
      <c r="H2929" s="1"/>
      <c r="I2929" s="1"/>
      <c r="J2929" s="1"/>
    </row>
    <row r="2930" spans="1:10" s="6" customFormat="1">
      <c r="A2930" s="17"/>
      <c r="C2930" s="9"/>
      <c r="D2930" s="10"/>
      <c r="E2930" s="10"/>
      <c r="F2930" s="9"/>
      <c r="G2930" s="1"/>
      <c r="H2930" s="1"/>
      <c r="I2930" s="1"/>
      <c r="J2930" s="1"/>
    </row>
    <row r="2931" spans="1:10" s="6" customFormat="1">
      <c r="A2931" s="17"/>
      <c r="C2931" s="9"/>
      <c r="D2931" s="10"/>
      <c r="E2931" s="10"/>
      <c r="F2931" s="9"/>
      <c r="G2931" s="1"/>
      <c r="H2931" s="1"/>
      <c r="I2931" s="1"/>
      <c r="J2931" s="1"/>
    </row>
    <row r="2932" spans="1:10" s="6" customFormat="1">
      <c r="A2932" s="17"/>
      <c r="C2932" s="9"/>
      <c r="D2932" s="10"/>
      <c r="E2932" s="10"/>
      <c r="F2932" s="9"/>
      <c r="G2932" s="1"/>
      <c r="H2932" s="1"/>
      <c r="I2932" s="1"/>
      <c r="J2932" s="1"/>
    </row>
    <row r="2933" spans="1:10" s="6" customFormat="1">
      <c r="A2933" s="17"/>
      <c r="C2933" s="9"/>
      <c r="D2933" s="10"/>
      <c r="E2933" s="10"/>
      <c r="F2933" s="9"/>
      <c r="G2933" s="1"/>
      <c r="H2933" s="1"/>
      <c r="I2933" s="1"/>
      <c r="J2933" s="1"/>
    </row>
    <row r="2934" spans="1:10" s="6" customFormat="1">
      <c r="A2934" s="17"/>
      <c r="C2934" s="9"/>
      <c r="D2934" s="10"/>
      <c r="E2934" s="10"/>
      <c r="F2934" s="9"/>
      <c r="G2934" s="1"/>
      <c r="H2934" s="1"/>
      <c r="I2934" s="1"/>
      <c r="J2934" s="1"/>
    </row>
    <row r="2935" spans="1:10" s="6" customFormat="1">
      <c r="A2935" s="17"/>
      <c r="C2935" s="9"/>
      <c r="D2935" s="10"/>
      <c r="E2935" s="10"/>
      <c r="F2935" s="9"/>
      <c r="G2935" s="1"/>
      <c r="H2935" s="1"/>
      <c r="I2935" s="1"/>
      <c r="J2935" s="1"/>
    </row>
    <row r="2936" spans="1:10" s="6" customFormat="1">
      <c r="A2936" s="17"/>
      <c r="C2936" s="9"/>
      <c r="D2936" s="10"/>
      <c r="E2936" s="10"/>
      <c r="F2936" s="9"/>
      <c r="G2936" s="1"/>
      <c r="H2936" s="1"/>
      <c r="I2936" s="1"/>
      <c r="J2936" s="1"/>
    </row>
    <row r="2937" spans="1:10" s="6" customFormat="1">
      <c r="A2937" s="17"/>
      <c r="C2937" s="9"/>
      <c r="D2937" s="10"/>
      <c r="E2937" s="10"/>
      <c r="F2937" s="9"/>
      <c r="G2937" s="1"/>
      <c r="H2937" s="1"/>
      <c r="I2937" s="1"/>
      <c r="J2937" s="1"/>
    </row>
    <row r="2938" spans="1:10" s="6" customFormat="1">
      <c r="A2938" s="17"/>
      <c r="C2938" s="9"/>
      <c r="D2938" s="10"/>
      <c r="E2938" s="10"/>
      <c r="F2938" s="9"/>
      <c r="G2938" s="1"/>
      <c r="H2938" s="1"/>
      <c r="I2938" s="1"/>
      <c r="J2938" s="1"/>
    </row>
    <row r="2939" spans="1:10" s="6" customFormat="1">
      <c r="A2939" s="17"/>
      <c r="C2939" s="9"/>
      <c r="D2939" s="10"/>
      <c r="E2939" s="10"/>
      <c r="F2939" s="9"/>
      <c r="G2939" s="1"/>
      <c r="H2939" s="1"/>
      <c r="I2939" s="1"/>
      <c r="J2939" s="1"/>
    </row>
    <row r="2940" spans="1:10" s="6" customFormat="1">
      <c r="A2940" s="17"/>
      <c r="C2940" s="9"/>
      <c r="D2940" s="10"/>
      <c r="E2940" s="10"/>
      <c r="F2940" s="9"/>
      <c r="G2940" s="1"/>
      <c r="H2940" s="1"/>
      <c r="I2940" s="1"/>
      <c r="J2940" s="1"/>
    </row>
    <row r="2941" spans="1:10" s="6" customFormat="1">
      <c r="A2941" s="17"/>
      <c r="C2941" s="9"/>
      <c r="D2941" s="10"/>
      <c r="E2941" s="10"/>
      <c r="F2941" s="9"/>
      <c r="G2941" s="1"/>
      <c r="H2941" s="1"/>
      <c r="I2941" s="1"/>
      <c r="J2941" s="1"/>
    </row>
    <row r="2942" spans="1:10" s="6" customFormat="1">
      <c r="A2942" s="17"/>
      <c r="C2942" s="9"/>
      <c r="D2942" s="10"/>
      <c r="E2942" s="10"/>
      <c r="F2942" s="9"/>
      <c r="G2942" s="1"/>
      <c r="H2942" s="1"/>
      <c r="I2942" s="1"/>
      <c r="J2942" s="1"/>
    </row>
    <row r="2943" spans="1:10" s="6" customFormat="1">
      <c r="A2943" s="17"/>
      <c r="C2943" s="9"/>
      <c r="D2943" s="10"/>
      <c r="E2943" s="10"/>
      <c r="F2943" s="9"/>
      <c r="G2943" s="1"/>
      <c r="H2943" s="1"/>
      <c r="I2943" s="1"/>
      <c r="J2943" s="1"/>
    </row>
    <row r="2944" spans="1:10" s="6" customFormat="1">
      <c r="A2944" s="17"/>
      <c r="C2944" s="9"/>
      <c r="D2944" s="10"/>
      <c r="E2944" s="10"/>
      <c r="F2944" s="9"/>
      <c r="G2944" s="1"/>
      <c r="H2944" s="1"/>
      <c r="I2944" s="1"/>
      <c r="J2944" s="1"/>
    </row>
    <row r="2945" spans="1:10" s="6" customFormat="1">
      <c r="A2945" s="17"/>
      <c r="C2945" s="9"/>
      <c r="D2945" s="10"/>
      <c r="E2945" s="10"/>
      <c r="F2945" s="9"/>
      <c r="G2945" s="1"/>
      <c r="H2945" s="1"/>
      <c r="I2945" s="1"/>
      <c r="J2945" s="1"/>
    </row>
    <row r="2946" spans="1:10" s="6" customFormat="1">
      <c r="A2946" s="17"/>
      <c r="C2946" s="9"/>
      <c r="D2946" s="10"/>
      <c r="E2946" s="10"/>
      <c r="F2946" s="9"/>
      <c r="G2946" s="1"/>
      <c r="H2946" s="1"/>
      <c r="I2946" s="1"/>
      <c r="J2946" s="1"/>
    </row>
    <row r="2947" spans="1:10" s="6" customFormat="1">
      <c r="A2947" s="17"/>
      <c r="C2947" s="9"/>
      <c r="D2947" s="10"/>
      <c r="E2947" s="10"/>
      <c r="F2947" s="9"/>
      <c r="G2947" s="1"/>
      <c r="H2947" s="1"/>
      <c r="I2947" s="1"/>
      <c r="J2947" s="1"/>
    </row>
    <row r="2948" spans="1:10" s="6" customFormat="1">
      <c r="A2948" s="17"/>
      <c r="C2948" s="9"/>
      <c r="D2948" s="10"/>
      <c r="E2948" s="10"/>
      <c r="F2948" s="9"/>
      <c r="G2948" s="1"/>
      <c r="H2948" s="1"/>
      <c r="I2948" s="1"/>
      <c r="J2948" s="1"/>
    </row>
    <row r="2949" spans="1:10" s="6" customFormat="1">
      <c r="A2949" s="17"/>
      <c r="C2949" s="9"/>
      <c r="D2949" s="10"/>
      <c r="E2949" s="10"/>
      <c r="F2949" s="9"/>
      <c r="G2949" s="1"/>
      <c r="H2949" s="1"/>
      <c r="I2949" s="1"/>
      <c r="J2949" s="1"/>
    </row>
    <row r="2950" spans="1:10" s="6" customFormat="1">
      <c r="A2950" s="17"/>
      <c r="C2950" s="9"/>
      <c r="D2950" s="10"/>
      <c r="E2950" s="10"/>
      <c r="F2950" s="9"/>
      <c r="G2950" s="1"/>
      <c r="H2950" s="1"/>
      <c r="I2950" s="1"/>
      <c r="J2950" s="1"/>
    </row>
    <row r="2951" spans="1:10" s="6" customFormat="1">
      <c r="A2951" s="17"/>
      <c r="C2951" s="9"/>
      <c r="D2951" s="10"/>
      <c r="E2951" s="10"/>
      <c r="F2951" s="9"/>
      <c r="G2951" s="1"/>
      <c r="H2951" s="1"/>
      <c r="I2951" s="1"/>
      <c r="J2951" s="1"/>
    </row>
    <row r="2952" spans="1:10" s="6" customFormat="1">
      <c r="A2952" s="17"/>
      <c r="C2952" s="9"/>
      <c r="D2952" s="10"/>
      <c r="E2952" s="10"/>
      <c r="F2952" s="9"/>
      <c r="G2952" s="1"/>
      <c r="H2952" s="1"/>
      <c r="I2952" s="1"/>
      <c r="J2952" s="1"/>
    </row>
    <row r="2953" spans="1:10" s="6" customFormat="1">
      <c r="A2953" s="17"/>
      <c r="C2953" s="9"/>
      <c r="D2953" s="10"/>
      <c r="E2953" s="10"/>
      <c r="F2953" s="9"/>
      <c r="G2953" s="1"/>
      <c r="H2953" s="1"/>
      <c r="I2953" s="1"/>
      <c r="J2953" s="1"/>
    </row>
    <row r="2954" spans="1:10" s="6" customFormat="1">
      <c r="A2954" s="17"/>
      <c r="C2954" s="9"/>
      <c r="D2954" s="10"/>
      <c r="E2954" s="10"/>
      <c r="F2954" s="9"/>
      <c r="G2954" s="1"/>
      <c r="H2954" s="1"/>
      <c r="I2954" s="1"/>
      <c r="J2954" s="1"/>
    </row>
    <row r="2955" spans="1:10" s="6" customFormat="1">
      <c r="A2955" s="17"/>
      <c r="C2955" s="9"/>
      <c r="D2955" s="10"/>
      <c r="E2955" s="10"/>
      <c r="F2955" s="9"/>
      <c r="G2955" s="1"/>
      <c r="H2955" s="1"/>
      <c r="I2955" s="1"/>
      <c r="J2955" s="1"/>
    </row>
    <row r="2956" spans="1:10" s="6" customFormat="1">
      <c r="A2956" s="17"/>
      <c r="C2956" s="9"/>
      <c r="D2956" s="10"/>
      <c r="E2956" s="10"/>
      <c r="F2956" s="9"/>
      <c r="G2956" s="1"/>
      <c r="H2956" s="1"/>
      <c r="I2956" s="1"/>
      <c r="J2956" s="1"/>
    </row>
    <row r="2957" spans="1:10" s="6" customFormat="1">
      <c r="A2957" s="17"/>
      <c r="C2957" s="9"/>
      <c r="D2957" s="10"/>
      <c r="E2957" s="10"/>
      <c r="F2957" s="9"/>
      <c r="G2957" s="1"/>
      <c r="H2957" s="1"/>
      <c r="I2957" s="1"/>
      <c r="J2957" s="1"/>
    </row>
    <row r="2958" spans="1:10" s="6" customFormat="1">
      <c r="A2958" s="17"/>
      <c r="C2958" s="9"/>
      <c r="D2958" s="10"/>
      <c r="E2958" s="10"/>
      <c r="F2958" s="9"/>
      <c r="G2958" s="1"/>
      <c r="H2958" s="1"/>
      <c r="I2958" s="1"/>
      <c r="J2958" s="1"/>
    </row>
    <row r="2959" spans="1:10" s="6" customFormat="1">
      <c r="A2959" s="17"/>
      <c r="C2959" s="9"/>
      <c r="D2959" s="10"/>
      <c r="E2959" s="10"/>
      <c r="F2959" s="9"/>
      <c r="G2959" s="1"/>
      <c r="H2959" s="1"/>
      <c r="I2959" s="1"/>
      <c r="J2959" s="1"/>
    </row>
    <row r="2960" spans="1:10" s="6" customFormat="1">
      <c r="A2960" s="17"/>
      <c r="C2960" s="9"/>
      <c r="D2960" s="10"/>
      <c r="E2960" s="10"/>
      <c r="F2960" s="9"/>
      <c r="G2960" s="1"/>
      <c r="H2960" s="1"/>
      <c r="I2960" s="1"/>
      <c r="J2960" s="1"/>
    </row>
    <row r="2961" spans="1:10" s="6" customFormat="1">
      <c r="A2961" s="17"/>
      <c r="C2961" s="9"/>
      <c r="D2961" s="10"/>
      <c r="E2961" s="10"/>
      <c r="F2961" s="9"/>
      <c r="G2961" s="1"/>
      <c r="H2961" s="1"/>
      <c r="I2961" s="1"/>
      <c r="J2961" s="1"/>
    </row>
    <row r="2962" spans="1:10" s="6" customFormat="1">
      <c r="A2962" s="17"/>
      <c r="C2962" s="9"/>
      <c r="D2962" s="10"/>
      <c r="E2962" s="10"/>
      <c r="F2962" s="9"/>
      <c r="G2962" s="1"/>
      <c r="H2962" s="1"/>
      <c r="I2962" s="1"/>
      <c r="J2962" s="1"/>
    </row>
    <row r="2963" spans="1:10" s="6" customFormat="1">
      <c r="A2963" s="17"/>
      <c r="C2963" s="9"/>
      <c r="D2963" s="10"/>
      <c r="E2963" s="10"/>
      <c r="F2963" s="9"/>
      <c r="G2963" s="1"/>
      <c r="H2963" s="1"/>
      <c r="I2963" s="1"/>
      <c r="J2963" s="1"/>
    </row>
    <row r="2964" spans="1:10" s="6" customFormat="1">
      <c r="A2964" s="17"/>
      <c r="C2964" s="9"/>
      <c r="D2964" s="10"/>
      <c r="E2964" s="10"/>
      <c r="F2964" s="9"/>
      <c r="G2964" s="1"/>
      <c r="H2964" s="1"/>
      <c r="I2964" s="1"/>
      <c r="J2964" s="1"/>
    </row>
    <row r="2965" spans="1:10" s="6" customFormat="1">
      <c r="A2965" s="17"/>
      <c r="C2965" s="9"/>
      <c r="D2965" s="10"/>
      <c r="E2965" s="10"/>
      <c r="F2965" s="9"/>
      <c r="G2965" s="1"/>
      <c r="H2965" s="1"/>
      <c r="I2965" s="1"/>
      <c r="J2965" s="1"/>
    </row>
    <row r="2966" spans="1:10" s="6" customFormat="1">
      <c r="A2966" s="17"/>
      <c r="C2966" s="9"/>
      <c r="D2966" s="10"/>
      <c r="E2966" s="10"/>
      <c r="F2966" s="9"/>
      <c r="G2966" s="1"/>
      <c r="H2966" s="1"/>
      <c r="I2966" s="1"/>
      <c r="J2966" s="1"/>
    </row>
    <row r="2967" spans="1:10" s="6" customFormat="1">
      <c r="A2967" s="17"/>
      <c r="C2967" s="9"/>
      <c r="D2967" s="10"/>
      <c r="E2967" s="10"/>
      <c r="F2967" s="9"/>
      <c r="G2967" s="1"/>
      <c r="H2967" s="1"/>
      <c r="I2967" s="1"/>
      <c r="J2967" s="1"/>
    </row>
    <row r="2968" spans="1:10" s="6" customFormat="1">
      <c r="A2968" s="17"/>
      <c r="C2968" s="9"/>
      <c r="D2968" s="10"/>
      <c r="E2968" s="10"/>
      <c r="F2968" s="9"/>
      <c r="G2968" s="1"/>
      <c r="H2968" s="1"/>
      <c r="I2968" s="1"/>
      <c r="J2968" s="1"/>
    </row>
    <row r="2969" spans="1:10" s="6" customFormat="1">
      <c r="A2969" s="17"/>
      <c r="C2969" s="9"/>
      <c r="D2969" s="10"/>
      <c r="E2969" s="10"/>
      <c r="F2969" s="9"/>
      <c r="G2969" s="1"/>
      <c r="H2969" s="1"/>
      <c r="I2969" s="1"/>
      <c r="J2969" s="1"/>
    </row>
    <row r="2970" spans="1:10" s="6" customFormat="1">
      <c r="A2970" s="17"/>
      <c r="C2970" s="9"/>
      <c r="D2970" s="10"/>
      <c r="E2970" s="10"/>
      <c r="F2970" s="9"/>
      <c r="G2970" s="1"/>
      <c r="H2970" s="1"/>
      <c r="I2970" s="1"/>
      <c r="J2970" s="1"/>
    </row>
    <row r="2971" spans="1:10" s="6" customFormat="1">
      <c r="A2971" s="17"/>
      <c r="C2971" s="9"/>
      <c r="D2971" s="10"/>
      <c r="E2971" s="10"/>
      <c r="F2971" s="9"/>
      <c r="G2971" s="1"/>
      <c r="H2971" s="1"/>
      <c r="I2971" s="1"/>
      <c r="J2971" s="1"/>
    </row>
    <row r="2972" spans="1:10" s="6" customFormat="1">
      <c r="A2972" s="17"/>
      <c r="C2972" s="9"/>
      <c r="D2972" s="10"/>
      <c r="E2972" s="10"/>
      <c r="F2972" s="9"/>
      <c r="G2972" s="1"/>
      <c r="H2972" s="1"/>
      <c r="I2972" s="1"/>
      <c r="J2972" s="1"/>
    </row>
    <row r="2973" spans="1:10" s="6" customFormat="1">
      <c r="A2973" s="17"/>
      <c r="C2973" s="9"/>
      <c r="D2973" s="10"/>
      <c r="E2973" s="10"/>
      <c r="F2973" s="9"/>
      <c r="G2973" s="1"/>
      <c r="H2973" s="1"/>
      <c r="I2973" s="1"/>
      <c r="J2973" s="1"/>
    </row>
    <row r="2974" spans="1:10" s="6" customFormat="1">
      <c r="A2974" s="17"/>
      <c r="C2974" s="9"/>
      <c r="D2974" s="10"/>
      <c r="E2974" s="10"/>
      <c r="F2974" s="9"/>
      <c r="G2974" s="1"/>
      <c r="H2974" s="1"/>
      <c r="I2974" s="1"/>
      <c r="J2974" s="1"/>
    </row>
    <row r="2975" spans="1:10" s="6" customFormat="1">
      <c r="A2975" s="17"/>
      <c r="C2975" s="9"/>
      <c r="D2975" s="10"/>
      <c r="E2975" s="10"/>
      <c r="F2975" s="9"/>
      <c r="G2975" s="1"/>
      <c r="H2975" s="1"/>
      <c r="I2975" s="1"/>
      <c r="J2975" s="1"/>
    </row>
    <row r="2976" spans="1:10" s="6" customFormat="1">
      <c r="A2976" s="17"/>
      <c r="C2976" s="9"/>
      <c r="D2976" s="10"/>
      <c r="E2976" s="10"/>
      <c r="F2976" s="9"/>
      <c r="G2976" s="1"/>
      <c r="H2976" s="1"/>
      <c r="I2976" s="1"/>
      <c r="J2976" s="1"/>
    </row>
    <row r="2977" spans="1:10" s="6" customFormat="1">
      <c r="A2977" s="17"/>
      <c r="C2977" s="9"/>
      <c r="D2977" s="10"/>
      <c r="E2977" s="10"/>
      <c r="F2977" s="9"/>
      <c r="G2977" s="1"/>
      <c r="H2977" s="1"/>
      <c r="I2977" s="1"/>
      <c r="J2977" s="1"/>
    </row>
    <row r="2978" spans="1:10" s="6" customFormat="1">
      <c r="A2978" s="17"/>
      <c r="C2978" s="9"/>
      <c r="D2978" s="10"/>
      <c r="E2978" s="10"/>
      <c r="F2978" s="9"/>
      <c r="G2978" s="1"/>
      <c r="H2978" s="1"/>
      <c r="I2978" s="1"/>
      <c r="J2978" s="1"/>
    </row>
    <row r="2979" spans="1:10" s="6" customFormat="1">
      <c r="A2979" s="17"/>
      <c r="C2979" s="9"/>
      <c r="D2979" s="10"/>
      <c r="E2979" s="10"/>
      <c r="F2979" s="9"/>
      <c r="G2979" s="1"/>
      <c r="H2979" s="1"/>
      <c r="I2979" s="1"/>
      <c r="J2979" s="1"/>
    </row>
    <row r="2980" spans="1:10" s="6" customFormat="1">
      <c r="A2980" s="17"/>
      <c r="C2980" s="9"/>
      <c r="D2980" s="10"/>
      <c r="E2980" s="10"/>
      <c r="F2980" s="9"/>
      <c r="G2980" s="1"/>
      <c r="H2980" s="1"/>
      <c r="I2980" s="1"/>
      <c r="J2980" s="1"/>
    </row>
    <row r="2981" spans="1:10" s="6" customFormat="1">
      <c r="A2981" s="17"/>
      <c r="C2981" s="9"/>
      <c r="D2981" s="10"/>
      <c r="E2981" s="10"/>
      <c r="F2981" s="9"/>
      <c r="G2981" s="1"/>
      <c r="H2981" s="1"/>
      <c r="I2981" s="1"/>
      <c r="J2981" s="1"/>
    </row>
    <row r="2982" spans="1:10" s="6" customFormat="1">
      <c r="A2982" s="17"/>
      <c r="C2982" s="9"/>
      <c r="D2982" s="10"/>
      <c r="E2982" s="10"/>
      <c r="F2982" s="9"/>
      <c r="G2982" s="1"/>
      <c r="H2982" s="1"/>
      <c r="I2982" s="1"/>
      <c r="J2982" s="1"/>
    </row>
    <row r="2983" spans="1:10" s="6" customFormat="1">
      <c r="A2983" s="17"/>
      <c r="C2983" s="9"/>
      <c r="D2983" s="10"/>
      <c r="E2983" s="10"/>
      <c r="F2983" s="9"/>
      <c r="G2983" s="1"/>
      <c r="H2983" s="1"/>
      <c r="I2983" s="1"/>
      <c r="J2983" s="1"/>
    </row>
    <row r="2984" spans="1:10" s="6" customFormat="1">
      <c r="A2984" s="17"/>
      <c r="C2984" s="9"/>
      <c r="D2984" s="10"/>
      <c r="E2984" s="10"/>
      <c r="F2984" s="9"/>
      <c r="G2984" s="1"/>
      <c r="H2984" s="1"/>
      <c r="I2984" s="1"/>
      <c r="J2984" s="1"/>
    </row>
    <row r="2985" spans="1:10" s="6" customFormat="1">
      <c r="A2985" s="17"/>
      <c r="C2985" s="9"/>
      <c r="D2985" s="10"/>
      <c r="E2985" s="10"/>
      <c r="F2985" s="9"/>
      <c r="G2985" s="1"/>
      <c r="H2985" s="1"/>
      <c r="I2985" s="1"/>
      <c r="J2985" s="1"/>
    </row>
    <row r="2986" spans="1:10" s="6" customFormat="1">
      <c r="A2986" s="17"/>
      <c r="C2986" s="9"/>
      <c r="D2986" s="10"/>
      <c r="E2986" s="10"/>
      <c r="F2986" s="9"/>
      <c r="G2986" s="1"/>
      <c r="H2986" s="1"/>
      <c r="I2986" s="1"/>
      <c r="J2986" s="1"/>
    </row>
    <row r="2987" spans="1:10" s="6" customFormat="1">
      <c r="A2987" s="17"/>
      <c r="C2987" s="9"/>
      <c r="D2987" s="10"/>
      <c r="E2987" s="10"/>
      <c r="F2987" s="9"/>
      <c r="G2987" s="1"/>
      <c r="H2987" s="1"/>
      <c r="I2987" s="1"/>
      <c r="J2987" s="1"/>
    </row>
    <row r="2988" spans="1:10" s="6" customFormat="1">
      <c r="A2988" s="17"/>
      <c r="C2988" s="9"/>
      <c r="D2988" s="10"/>
      <c r="E2988" s="10"/>
      <c r="F2988" s="9"/>
      <c r="G2988" s="1"/>
      <c r="H2988" s="1"/>
      <c r="I2988" s="1"/>
      <c r="J2988" s="1"/>
    </row>
    <row r="2989" spans="1:10" s="6" customFormat="1">
      <c r="A2989" s="17"/>
      <c r="C2989" s="9"/>
      <c r="D2989" s="10"/>
      <c r="E2989" s="10"/>
      <c r="F2989" s="9"/>
      <c r="G2989" s="1"/>
      <c r="H2989" s="1"/>
      <c r="I2989" s="1"/>
      <c r="J2989" s="1"/>
    </row>
    <row r="2990" spans="1:10" s="6" customFormat="1">
      <c r="A2990" s="17"/>
      <c r="C2990" s="9"/>
      <c r="D2990" s="10"/>
      <c r="E2990" s="10"/>
      <c r="F2990" s="9"/>
      <c r="G2990" s="1"/>
      <c r="H2990" s="1"/>
      <c r="I2990" s="1"/>
      <c r="J2990" s="1"/>
    </row>
    <row r="2991" spans="1:10" s="6" customFormat="1">
      <c r="A2991" s="17"/>
      <c r="C2991" s="9"/>
      <c r="D2991" s="10"/>
      <c r="E2991" s="10"/>
      <c r="F2991" s="9"/>
      <c r="G2991" s="1"/>
      <c r="H2991" s="1"/>
      <c r="I2991" s="1"/>
      <c r="J2991" s="1"/>
    </row>
    <row r="2992" spans="1:10" s="6" customFormat="1">
      <c r="A2992" s="17"/>
      <c r="C2992" s="9"/>
      <c r="D2992" s="10"/>
      <c r="E2992" s="10"/>
      <c r="F2992" s="9"/>
      <c r="G2992" s="1"/>
      <c r="H2992" s="1"/>
      <c r="I2992" s="1"/>
      <c r="J2992" s="1"/>
    </row>
    <row r="2993" spans="1:10" s="6" customFormat="1">
      <c r="A2993" s="17"/>
      <c r="C2993" s="9"/>
      <c r="D2993" s="10"/>
      <c r="E2993" s="10"/>
      <c r="F2993" s="9"/>
      <c r="G2993" s="1"/>
      <c r="H2993" s="1"/>
      <c r="I2993" s="1"/>
      <c r="J2993" s="1"/>
    </row>
    <row r="2994" spans="1:10" s="6" customFormat="1">
      <c r="A2994" s="17"/>
      <c r="C2994" s="9"/>
      <c r="D2994" s="10"/>
      <c r="E2994" s="10"/>
      <c r="F2994" s="9"/>
      <c r="G2994" s="1"/>
      <c r="H2994" s="1"/>
      <c r="I2994" s="1"/>
      <c r="J2994" s="1"/>
    </row>
    <row r="2995" spans="1:10" s="6" customFormat="1">
      <c r="A2995" s="17"/>
      <c r="C2995" s="9"/>
      <c r="D2995" s="10"/>
      <c r="E2995" s="10"/>
      <c r="F2995" s="9"/>
      <c r="G2995" s="1"/>
      <c r="H2995" s="1"/>
      <c r="I2995" s="1"/>
      <c r="J2995" s="1"/>
    </row>
    <row r="2996" spans="1:10" s="6" customFormat="1">
      <c r="A2996" s="17"/>
      <c r="C2996" s="9"/>
      <c r="D2996" s="10"/>
      <c r="E2996" s="10"/>
      <c r="F2996" s="9"/>
      <c r="G2996" s="1"/>
      <c r="H2996" s="1"/>
      <c r="I2996" s="1"/>
      <c r="J2996" s="1"/>
    </row>
    <row r="2997" spans="1:10" s="6" customFormat="1">
      <c r="A2997" s="17"/>
      <c r="C2997" s="9"/>
      <c r="D2997" s="10"/>
      <c r="E2997" s="10"/>
      <c r="F2997" s="9"/>
      <c r="G2997" s="1"/>
      <c r="H2997" s="1"/>
      <c r="I2997" s="1"/>
      <c r="J2997" s="1"/>
    </row>
    <row r="2998" spans="1:10" s="6" customFormat="1">
      <c r="A2998" s="17"/>
      <c r="C2998" s="9"/>
      <c r="D2998" s="10"/>
      <c r="E2998" s="10"/>
      <c r="F2998" s="9"/>
      <c r="G2998" s="1"/>
      <c r="H2998" s="1"/>
      <c r="I2998" s="1"/>
      <c r="J2998" s="1"/>
    </row>
    <row r="2999" spans="1:10" s="6" customFormat="1">
      <c r="A2999" s="17"/>
      <c r="C2999" s="9"/>
      <c r="D2999" s="10"/>
      <c r="E2999" s="10"/>
      <c r="F2999" s="9"/>
      <c r="G2999" s="1"/>
      <c r="H2999" s="1"/>
      <c r="I2999" s="1"/>
      <c r="J2999" s="1"/>
    </row>
    <row r="3000" spans="1:10" s="6" customFormat="1">
      <c r="A3000" s="17"/>
      <c r="C3000" s="9"/>
      <c r="D3000" s="10"/>
      <c r="E3000" s="10"/>
      <c r="F3000" s="9"/>
      <c r="G3000" s="1"/>
      <c r="H3000" s="1"/>
      <c r="I3000" s="1"/>
      <c r="J3000" s="1"/>
    </row>
    <row r="3001" spans="1:10" s="6" customFormat="1">
      <c r="A3001" s="17"/>
      <c r="C3001" s="9"/>
      <c r="D3001" s="10"/>
      <c r="E3001" s="10"/>
      <c r="F3001" s="9"/>
      <c r="G3001" s="1"/>
      <c r="H3001" s="1"/>
      <c r="I3001" s="1"/>
      <c r="J3001" s="1"/>
    </row>
    <row r="3002" spans="1:10" s="6" customFormat="1">
      <c r="A3002" s="17"/>
      <c r="C3002" s="9"/>
      <c r="D3002" s="10"/>
      <c r="E3002" s="10"/>
      <c r="F3002" s="9"/>
      <c r="G3002" s="1"/>
      <c r="H3002" s="1"/>
      <c r="I3002" s="1"/>
      <c r="J3002" s="1"/>
    </row>
    <row r="3003" spans="1:10" s="6" customFormat="1">
      <c r="A3003" s="17"/>
      <c r="C3003" s="9"/>
      <c r="D3003" s="10"/>
      <c r="E3003" s="10"/>
      <c r="F3003" s="9"/>
      <c r="G3003" s="1"/>
      <c r="H3003" s="1"/>
      <c r="I3003" s="1"/>
      <c r="J3003" s="1"/>
    </row>
    <row r="3004" spans="1:10" s="6" customFormat="1">
      <c r="A3004" s="17"/>
      <c r="C3004" s="9"/>
      <c r="D3004" s="10"/>
      <c r="E3004" s="10"/>
      <c r="F3004" s="9"/>
      <c r="G3004" s="1"/>
      <c r="H3004" s="1"/>
      <c r="I3004" s="1"/>
      <c r="J3004" s="1"/>
    </row>
    <row r="3005" spans="1:10" s="6" customFormat="1">
      <c r="A3005" s="17"/>
      <c r="C3005" s="9"/>
      <c r="D3005" s="10"/>
      <c r="E3005" s="10"/>
      <c r="F3005" s="9"/>
      <c r="G3005" s="1"/>
      <c r="H3005" s="1"/>
      <c r="I3005" s="1"/>
      <c r="J3005" s="1"/>
    </row>
    <row r="3006" spans="1:10" s="6" customFormat="1">
      <c r="A3006" s="17"/>
      <c r="C3006" s="9"/>
      <c r="D3006" s="10"/>
      <c r="E3006" s="10"/>
      <c r="F3006" s="9"/>
      <c r="G3006" s="1"/>
      <c r="H3006" s="1"/>
      <c r="I3006" s="1"/>
      <c r="J3006" s="1"/>
    </row>
    <row r="3007" spans="1:10" s="6" customFormat="1">
      <c r="A3007" s="17"/>
      <c r="C3007" s="9"/>
      <c r="D3007" s="10"/>
      <c r="E3007" s="10"/>
      <c r="F3007" s="9"/>
      <c r="G3007" s="1"/>
      <c r="H3007" s="1"/>
      <c r="I3007" s="1"/>
      <c r="J3007" s="1"/>
    </row>
    <row r="3008" spans="1:10" s="6" customFormat="1">
      <c r="A3008" s="17"/>
      <c r="C3008" s="9"/>
      <c r="D3008" s="10"/>
      <c r="E3008" s="10"/>
      <c r="F3008" s="9"/>
      <c r="G3008" s="1"/>
      <c r="H3008" s="1"/>
      <c r="I3008" s="1"/>
      <c r="J3008" s="1"/>
    </row>
    <row r="3009" spans="1:10" s="6" customFormat="1">
      <c r="A3009" s="17"/>
      <c r="C3009" s="9"/>
      <c r="D3009" s="10"/>
      <c r="E3009" s="10"/>
      <c r="F3009" s="9"/>
      <c r="G3009" s="1"/>
      <c r="H3009" s="1"/>
      <c r="I3009" s="1"/>
      <c r="J3009" s="1"/>
    </row>
    <row r="3010" spans="1:10" s="6" customFormat="1">
      <c r="A3010" s="17"/>
      <c r="C3010" s="9"/>
      <c r="D3010" s="10"/>
      <c r="E3010" s="10"/>
      <c r="F3010" s="9"/>
      <c r="G3010" s="1"/>
      <c r="H3010" s="1"/>
      <c r="I3010" s="1"/>
      <c r="J3010" s="1"/>
    </row>
    <row r="3011" spans="1:10" s="6" customFormat="1">
      <c r="A3011" s="17"/>
      <c r="C3011" s="9"/>
      <c r="D3011" s="10"/>
      <c r="E3011" s="10"/>
      <c r="F3011" s="9"/>
      <c r="G3011" s="1"/>
      <c r="H3011" s="1"/>
      <c r="I3011" s="1"/>
      <c r="J3011" s="1"/>
    </row>
    <row r="3012" spans="1:10" s="6" customFormat="1">
      <c r="A3012" s="17"/>
      <c r="C3012" s="9"/>
      <c r="D3012" s="10"/>
      <c r="E3012" s="10"/>
      <c r="F3012" s="9"/>
      <c r="G3012" s="1"/>
      <c r="H3012" s="1"/>
      <c r="I3012" s="1"/>
      <c r="J3012" s="1"/>
    </row>
    <row r="3013" spans="1:10" s="6" customFormat="1">
      <c r="A3013" s="17"/>
      <c r="C3013" s="9"/>
      <c r="D3013" s="10"/>
      <c r="E3013" s="10"/>
      <c r="F3013" s="9"/>
      <c r="G3013" s="1"/>
      <c r="H3013" s="1"/>
      <c r="I3013" s="1"/>
      <c r="J3013" s="1"/>
    </row>
    <row r="3014" spans="1:10" s="6" customFormat="1">
      <c r="A3014" s="17"/>
      <c r="C3014" s="9"/>
      <c r="D3014" s="10"/>
      <c r="E3014" s="10"/>
      <c r="F3014" s="9"/>
      <c r="G3014" s="1"/>
      <c r="H3014" s="1"/>
      <c r="I3014" s="1"/>
      <c r="J3014" s="1"/>
    </row>
    <row r="3015" spans="1:10" s="6" customFormat="1">
      <c r="A3015" s="17"/>
      <c r="C3015" s="9"/>
      <c r="D3015" s="10"/>
      <c r="E3015" s="10"/>
      <c r="F3015" s="9"/>
      <c r="G3015" s="1"/>
      <c r="H3015" s="1"/>
      <c r="I3015" s="1"/>
      <c r="J3015" s="1"/>
    </row>
    <row r="3016" spans="1:10" s="6" customFormat="1">
      <c r="A3016" s="17"/>
      <c r="C3016" s="9"/>
      <c r="D3016" s="10"/>
      <c r="E3016" s="10"/>
      <c r="F3016" s="9"/>
      <c r="G3016" s="1"/>
      <c r="H3016" s="1"/>
      <c r="I3016" s="1"/>
      <c r="J3016" s="1"/>
    </row>
    <row r="3017" spans="1:10" s="6" customFormat="1">
      <c r="A3017" s="17"/>
      <c r="C3017" s="9"/>
      <c r="D3017" s="10"/>
      <c r="E3017" s="10"/>
      <c r="F3017" s="9"/>
      <c r="G3017" s="1"/>
      <c r="H3017" s="1"/>
      <c r="I3017" s="1"/>
      <c r="J3017" s="1"/>
    </row>
    <row r="3018" spans="1:10" s="6" customFormat="1">
      <c r="A3018" s="17"/>
      <c r="C3018" s="9"/>
      <c r="D3018" s="10"/>
      <c r="E3018" s="10"/>
      <c r="F3018" s="9"/>
      <c r="G3018" s="1"/>
      <c r="H3018" s="1"/>
      <c r="I3018" s="1"/>
      <c r="J3018" s="1"/>
    </row>
    <row r="3019" spans="1:10" s="6" customFormat="1">
      <c r="A3019" s="17"/>
      <c r="C3019" s="9"/>
      <c r="D3019" s="10"/>
      <c r="E3019" s="10"/>
      <c r="F3019" s="9"/>
      <c r="G3019" s="1"/>
      <c r="H3019" s="1"/>
      <c r="I3019" s="1"/>
      <c r="J3019" s="1"/>
    </row>
    <row r="3020" spans="1:10" s="6" customFormat="1">
      <c r="A3020" s="17"/>
      <c r="C3020" s="9"/>
      <c r="D3020" s="10"/>
      <c r="E3020" s="10"/>
      <c r="F3020" s="9"/>
      <c r="G3020" s="1"/>
      <c r="H3020" s="1"/>
      <c r="I3020" s="1"/>
      <c r="J3020" s="1"/>
    </row>
    <row r="3021" spans="1:10" s="6" customFormat="1">
      <c r="A3021" s="17"/>
      <c r="C3021" s="9"/>
      <c r="D3021" s="10"/>
      <c r="E3021" s="10"/>
      <c r="F3021" s="9"/>
      <c r="G3021" s="1"/>
      <c r="H3021" s="1"/>
      <c r="I3021" s="1"/>
      <c r="J3021" s="1"/>
    </row>
    <row r="3022" spans="1:10" s="6" customFormat="1">
      <c r="A3022" s="17"/>
      <c r="C3022" s="9"/>
      <c r="D3022" s="10"/>
      <c r="E3022" s="10"/>
      <c r="F3022" s="9"/>
      <c r="G3022" s="1"/>
      <c r="H3022" s="1"/>
      <c r="I3022" s="1"/>
      <c r="J3022" s="1"/>
    </row>
    <row r="3023" spans="1:10" s="6" customFormat="1">
      <c r="A3023" s="17"/>
      <c r="C3023" s="9"/>
      <c r="D3023" s="10"/>
      <c r="E3023" s="10"/>
      <c r="F3023" s="9"/>
      <c r="G3023" s="1"/>
      <c r="H3023" s="1"/>
      <c r="I3023" s="1"/>
      <c r="J3023" s="1"/>
    </row>
    <row r="3024" spans="1:10" s="6" customFormat="1">
      <c r="A3024" s="17"/>
      <c r="C3024" s="9"/>
      <c r="D3024" s="10"/>
      <c r="E3024" s="10"/>
      <c r="F3024" s="9"/>
      <c r="G3024" s="1"/>
      <c r="H3024" s="1"/>
      <c r="I3024" s="1"/>
      <c r="J3024" s="1"/>
    </row>
    <row r="3025" spans="1:10" s="6" customFormat="1">
      <c r="A3025" s="17"/>
      <c r="C3025" s="9"/>
      <c r="D3025" s="10"/>
      <c r="E3025" s="10"/>
      <c r="F3025" s="9"/>
      <c r="G3025" s="1"/>
      <c r="H3025" s="1"/>
      <c r="I3025" s="1"/>
      <c r="J3025" s="1"/>
    </row>
    <row r="3026" spans="1:10" s="6" customFormat="1">
      <c r="A3026" s="17"/>
      <c r="C3026" s="9"/>
      <c r="D3026" s="10"/>
      <c r="E3026" s="10"/>
      <c r="F3026" s="9"/>
      <c r="G3026" s="1"/>
      <c r="H3026" s="1"/>
      <c r="I3026" s="1"/>
      <c r="J3026" s="1"/>
    </row>
    <row r="3027" spans="1:10" s="6" customFormat="1">
      <c r="A3027" s="17"/>
      <c r="C3027" s="9"/>
      <c r="D3027" s="10"/>
      <c r="E3027" s="10"/>
      <c r="F3027" s="9"/>
      <c r="G3027" s="1"/>
      <c r="H3027" s="1"/>
      <c r="I3027" s="1"/>
      <c r="J3027" s="1"/>
    </row>
    <row r="3028" spans="1:10" s="6" customFormat="1">
      <c r="A3028" s="17"/>
      <c r="C3028" s="9"/>
      <c r="D3028" s="10"/>
      <c r="E3028" s="10"/>
      <c r="F3028" s="9"/>
      <c r="G3028" s="1"/>
      <c r="H3028" s="1"/>
      <c r="I3028" s="1"/>
      <c r="J3028" s="1"/>
    </row>
    <row r="3029" spans="1:10" s="6" customFormat="1">
      <c r="A3029" s="17"/>
      <c r="C3029" s="9"/>
      <c r="D3029" s="10"/>
      <c r="E3029" s="10"/>
      <c r="F3029" s="9"/>
      <c r="G3029" s="1"/>
      <c r="H3029" s="1"/>
      <c r="I3029" s="1"/>
      <c r="J3029" s="1"/>
    </row>
    <row r="3030" spans="1:10" s="6" customFormat="1">
      <c r="A3030" s="17"/>
      <c r="C3030" s="9"/>
      <c r="D3030" s="10"/>
      <c r="E3030" s="10"/>
      <c r="F3030" s="9"/>
      <c r="G3030" s="1"/>
      <c r="H3030" s="1"/>
      <c r="I3030" s="1"/>
      <c r="J3030" s="1"/>
    </row>
    <row r="3031" spans="1:10" s="6" customFormat="1">
      <c r="A3031" s="17"/>
      <c r="C3031" s="9"/>
      <c r="D3031" s="10"/>
      <c r="E3031" s="10"/>
      <c r="F3031" s="9"/>
      <c r="G3031" s="1"/>
      <c r="H3031" s="1"/>
      <c r="I3031" s="1"/>
      <c r="J3031" s="1"/>
    </row>
    <row r="3032" spans="1:10" s="6" customFormat="1">
      <c r="A3032" s="17"/>
      <c r="C3032" s="9"/>
      <c r="D3032" s="10"/>
      <c r="E3032" s="10"/>
      <c r="F3032" s="9"/>
      <c r="G3032" s="1"/>
      <c r="H3032" s="1"/>
      <c r="I3032" s="1"/>
      <c r="J3032" s="1"/>
    </row>
    <row r="3033" spans="1:10" s="6" customFormat="1">
      <c r="A3033" s="17"/>
      <c r="C3033" s="9"/>
      <c r="D3033" s="10"/>
      <c r="E3033" s="10"/>
      <c r="F3033" s="9"/>
      <c r="G3033" s="1"/>
      <c r="H3033" s="1"/>
      <c r="I3033" s="1"/>
      <c r="J3033" s="1"/>
    </row>
    <row r="3034" spans="1:10" s="6" customFormat="1">
      <c r="A3034" s="17"/>
      <c r="C3034" s="9"/>
      <c r="D3034" s="10"/>
      <c r="E3034" s="10"/>
      <c r="F3034" s="9"/>
      <c r="G3034" s="1"/>
      <c r="H3034" s="1"/>
      <c r="I3034" s="1"/>
      <c r="J3034" s="1"/>
    </row>
    <row r="3035" spans="1:10" s="6" customFormat="1">
      <c r="A3035" s="17"/>
      <c r="C3035" s="9"/>
      <c r="D3035" s="10"/>
      <c r="E3035" s="10"/>
      <c r="F3035" s="9"/>
      <c r="G3035" s="1"/>
      <c r="H3035" s="1"/>
      <c r="I3035" s="1"/>
      <c r="J3035" s="1"/>
    </row>
    <row r="3036" spans="1:10" s="6" customFormat="1">
      <c r="A3036" s="17"/>
      <c r="C3036" s="9"/>
      <c r="D3036" s="10"/>
      <c r="E3036" s="10"/>
      <c r="F3036" s="9"/>
      <c r="G3036" s="1"/>
      <c r="H3036" s="1"/>
      <c r="I3036" s="1"/>
      <c r="J3036" s="1"/>
    </row>
    <row r="3037" spans="1:10" s="6" customFormat="1">
      <c r="A3037" s="17"/>
      <c r="C3037" s="9"/>
      <c r="D3037" s="10"/>
      <c r="E3037" s="10"/>
      <c r="F3037" s="9"/>
      <c r="G3037" s="1"/>
      <c r="H3037" s="1"/>
      <c r="I3037" s="1"/>
      <c r="J3037" s="1"/>
    </row>
    <row r="3038" spans="1:10" s="6" customFormat="1">
      <c r="A3038" s="17"/>
      <c r="C3038" s="9"/>
      <c r="D3038" s="10"/>
      <c r="E3038" s="10"/>
      <c r="F3038" s="9"/>
      <c r="G3038" s="1"/>
      <c r="H3038" s="1"/>
      <c r="I3038" s="1"/>
      <c r="J3038" s="1"/>
    </row>
    <row r="3039" spans="1:10" s="6" customFormat="1">
      <c r="A3039" s="17"/>
      <c r="C3039" s="9"/>
      <c r="D3039" s="10"/>
      <c r="E3039" s="10"/>
      <c r="F3039" s="9"/>
      <c r="G3039" s="1"/>
      <c r="H3039" s="1"/>
      <c r="I3039" s="1"/>
      <c r="J3039" s="1"/>
    </row>
    <row r="3040" spans="1:10" s="6" customFormat="1">
      <c r="A3040" s="17"/>
      <c r="C3040" s="9"/>
      <c r="D3040" s="10"/>
      <c r="E3040" s="10"/>
      <c r="F3040" s="9"/>
      <c r="G3040" s="1"/>
      <c r="H3040" s="1"/>
      <c r="I3040" s="1"/>
      <c r="J3040" s="1"/>
    </row>
    <row r="3041" spans="1:10" s="6" customFormat="1">
      <c r="A3041" s="17"/>
      <c r="C3041" s="9"/>
      <c r="D3041" s="10"/>
      <c r="E3041" s="10"/>
      <c r="F3041" s="9"/>
      <c r="G3041" s="1"/>
      <c r="H3041" s="1"/>
      <c r="I3041" s="1"/>
      <c r="J3041" s="1"/>
    </row>
    <row r="3042" spans="1:10" s="6" customFormat="1">
      <c r="A3042" s="17"/>
      <c r="C3042" s="9"/>
      <c r="D3042" s="10"/>
      <c r="E3042" s="10"/>
      <c r="F3042" s="9"/>
      <c r="G3042" s="1"/>
      <c r="H3042" s="1"/>
      <c r="I3042" s="1"/>
      <c r="J3042" s="1"/>
    </row>
    <row r="3043" spans="1:10" s="6" customFormat="1">
      <c r="A3043" s="17"/>
      <c r="C3043" s="9"/>
      <c r="D3043" s="10"/>
      <c r="E3043" s="10"/>
      <c r="F3043" s="9"/>
      <c r="G3043" s="1"/>
      <c r="H3043" s="1"/>
      <c r="I3043" s="1"/>
      <c r="J3043" s="1"/>
    </row>
    <row r="3044" spans="1:10" s="6" customFormat="1">
      <c r="A3044" s="17"/>
      <c r="C3044" s="9"/>
      <c r="D3044" s="10"/>
      <c r="E3044" s="10"/>
      <c r="F3044" s="9"/>
      <c r="G3044" s="1"/>
      <c r="H3044" s="1"/>
      <c r="I3044" s="1"/>
      <c r="J3044" s="1"/>
    </row>
    <row r="3045" spans="1:10" s="6" customFormat="1">
      <c r="A3045" s="17"/>
      <c r="C3045" s="9"/>
      <c r="D3045" s="10"/>
      <c r="E3045" s="10"/>
      <c r="F3045" s="9"/>
      <c r="G3045" s="1"/>
      <c r="H3045" s="1"/>
      <c r="I3045" s="1"/>
      <c r="J3045" s="1"/>
    </row>
    <row r="3046" spans="1:10" s="6" customFormat="1">
      <c r="A3046" s="17"/>
      <c r="C3046" s="9"/>
      <c r="D3046" s="10"/>
      <c r="E3046" s="10"/>
      <c r="F3046" s="9"/>
      <c r="G3046" s="1"/>
      <c r="H3046" s="1"/>
      <c r="I3046" s="1"/>
      <c r="J3046" s="1"/>
    </row>
    <row r="3047" spans="1:10" s="6" customFormat="1">
      <c r="A3047" s="17"/>
      <c r="C3047" s="9"/>
      <c r="D3047" s="10"/>
      <c r="E3047" s="10"/>
      <c r="F3047" s="9"/>
      <c r="G3047" s="1"/>
      <c r="H3047" s="1"/>
      <c r="I3047" s="1"/>
      <c r="J3047" s="1"/>
    </row>
    <row r="3048" spans="1:10" s="6" customFormat="1">
      <c r="A3048" s="17"/>
      <c r="C3048" s="9"/>
      <c r="D3048" s="10"/>
      <c r="E3048" s="10"/>
      <c r="F3048" s="9"/>
      <c r="G3048" s="1"/>
      <c r="H3048" s="1"/>
      <c r="I3048" s="1"/>
      <c r="J3048" s="1"/>
    </row>
    <row r="3049" spans="1:10" s="6" customFormat="1">
      <c r="A3049" s="17"/>
      <c r="C3049" s="9"/>
      <c r="D3049" s="10"/>
      <c r="E3049" s="10"/>
      <c r="F3049" s="9"/>
      <c r="G3049" s="1"/>
      <c r="H3049" s="1"/>
      <c r="I3049" s="1"/>
      <c r="J3049" s="1"/>
    </row>
    <row r="3050" spans="1:10" s="6" customFormat="1">
      <c r="A3050" s="17"/>
      <c r="C3050" s="9"/>
      <c r="D3050" s="10"/>
      <c r="E3050" s="10"/>
      <c r="F3050" s="9"/>
      <c r="G3050" s="1"/>
      <c r="H3050" s="1"/>
      <c r="I3050" s="1"/>
      <c r="J3050" s="1"/>
    </row>
    <row r="3051" spans="1:10" s="6" customFormat="1">
      <c r="A3051" s="17"/>
      <c r="C3051" s="9"/>
      <c r="D3051" s="10"/>
      <c r="E3051" s="10"/>
      <c r="F3051" s="9"/>
      <c r="G3051" s="1"/>
      <c r="H3051" s="1"/>
      <c r="I3051" s="1"/>
      <c r="J3051" s="1"/>
    </row>
    <row r="3052" spans="1:10" s="6" customFormat="1">
      <c r="A3052" s="17"/>
      <c r="C3052" s="9"/>
      <c r="D3052" s="10"/>
      <c r="E3052" s="10"/>
      <c r="F3052" s="9"/>
      <c r="G3052" s="1"/>
      <c r="H3052" s="1"/>
      <c r="I3052" s="1"/>
      <c r="J3052" s="1"/>
    </row>
    <row r="3053" spans="1:10" s="6" customFormat="1">
      <c r="A3053" s="17"/>
      <c r="C3053" s="9"/>
      <c r="D3053" s="10"/>
      <c r="E3053" s="10"/>
      <c r="F3053" s="9"/>
      <c r="G3053" s="1"/>
      <c r="H3053" s="1"/>
      <c r="I3053" s="1"/>
      <c r="J3053" s="1"/>
    </row>
    <row r="3054" spans="1:10" s="6" customFormat="1">
      <c r="A3054" s="17"/>
      <c r="C3054" s="9"/>
      <c r="D3054" s="10"/>
      <c r="E3054" s="10"/>
      <c r="F3054" s="9"/>
      <c r="G3054" s="1"/>
      <c r="H3054" s="1"/>
      <c r="I3054" s="1"/>
      <c r="J3054" s="1"/>
    </row>
    <row r="3055" spans="1:10" s="6" customFormat="1">
      <c r="A3055" s="17"/>
      <c r="C3055" s="9"/>
      <c r="D3055" s="10"/>
      <c r="E3055" s="10"/>
      <c r="F3055" s="9"/>
      <c r="G3055" s="1"/>
      <c r="H3055" s="1"/>
      <c r="I3055" s="1"/>
      <c r="J3055" s="1"/>
    </row>
    <row r="3056" spans="1:10" s="6" customFormat="1">
      <c r="A3056" s="17"/>
      <c r="C3056" s="9"/>
      <c r="D3056" s="10"/>
      <c r="E3056" s="10"/>
      <c r="F3056" s="9"/>
      <c r="G3056" s="1"/>
      <c r="H3056" s="1"/>
      <c r="I3056" s="1"/>
      <c r="J3056" s="1"/>
    </row>
    <row r="3057" spans="1:10" s="6" customFormat="1">
      <c r="A3057" s="17"/>
      <c r="C3057" s="9"/>
      <c r="D3057" s="10"/>
      <c r="E3057" s="10"/>
      <c r="F3057" s="9"/>
      <c r="G3057" s="1"/>
      <c r="H3057" s="1"/>
      <c r="I3057" s="1"/>
      <c r="J3057" s="1"/>
    </row>
    <row r="3058" spans="1:10" s="6" customFormat="1">
      <c r="A3058" s="17"/>
      <c r="C3058" s="9"/>
      <c r="D3058" s="10"/>
      <c r="E3058" s="10"/>
      <c r="F3058" s="9"/>
      <c r="G3058" s="1"/>
      <c r="H3058" s="1"/>
      <c r="I3058" s="1"/>
      <c r="J3058" s="1"/>
    </row>
    <row r="3059" spans="1:10" s="6" customFormat="1">
      <c r="A3059" s="17"/>
      <c r="C3059" s="9"/>
      <c r="D3059" s="10"/>
      <c r="E3059" s="10"/>
      <c r="F3059" s="9"/>
      <c r="G3059" s="1"/>
      <c r="H3059" s="1"/>
      <c r="I3059" s="1"/>
      <c r="J3059" s="1"/>
    </row>
    <row r="3060" spans="1:10" s="6" customFormat="1">
      <c r="A3060" s="17"/>
      <c r="C3060" s="9"/>
      <c r="D3060" s="10"/>
      <c r="E3060" s="10"/>
      <c r="F3060" s="9"/>
      <c r="G3060" s="1"/>
      <c r="H3060" s="1"/>
      <c r="I3060" s="1"/>
      <c r="J3060" s="1"/>
    </row>
    <row r="3061" spans="1:10" s="6" customFormat="1">
      <c r="A3061" s="17"/>
      <c r="C3061" s="9"/>
      <c r="D3061" s="10"/>
      <c r="E3061" s="10"/>
      <c r="F3061" s="9"/>
      <c r="G3061" s="1"/>
      <c r="H3061" s="1"/>
      <c r="I3061" s="1"/>
      <c r="J3061" s="1"/>
    </row>
    <row r="3062" spans="1:10" s="6" customFormat="1">
      <c r="A3062" s="17"/>
      <c r="C3062" s="9"/>
      <c r="D3062" s="10"/>
      <c r="E3062" s="10"/>
      <c r="F3062" s="9"/>
      <c r="G3062" s="1"/>
      <c r="H3062" s="1"/>
      <c r="I3062" s="1"/>
      <c r="J3062" s="1"/>
    </row>
    <row r="3063" spans="1:10" s="6" customFormat="1">
      <c r="A3063" s="17"/>
      <c r="C3063" s="9"/>
      <c r="D3063" s="10"/>
      <c r="E3063" s="10"/>
      <c r="F3063" s="9"/>
      <c r="G3063" s="1"/>
      <c r="H3063" s="1"/>
      <c r="I3063" s="1"/>
      <c r="J3063" s="1"/>
    </row>
    <row r="3064" spans="1:10" s="6" customFormat="1">
      <c r="A3064" s="17"/>
      <c r="C3064" s="9"/>
      <c r="D3064" s="10"/>
      <c r="E3064" s="10"/>
      <c r="F3064" s="9"/>
      <c r="G3064" s="1"/>
      <c r="H3064" s="1"/>
      <c r="I3064" s="1"/>
      <c r="J3064" s="1"/>
    </row>
    <row r="3065" spans="1:10" s="6" customFormat="1">
      <c r="A3065" s="17"/>
      <c r="C3065" s="9"/>
      <c r="D3065" s="10"/>
      <c r="E3065" s="10"/>
      <c r="F3065" s="9"/>
      <c r="G3065" s="1"/>
      <c r="H3065" s="1"/>
      <c r="I3065" s="1"/>
      <c r="J3065" s="1"/>
    </row>
    <row r="3066" spans="1:10" s="6" customFormat="1">
      <c r="A3066" s="17"/>
      <c r="C3066" s="9"/>
      <c r="D3066" s="10"/>
      <c r="E3066" s="10"/>
      <c r="F3066" s="9"/>
      <c r="G3066" s="1"/>
      <c r="H3066" s="1"/>
      <c r="I3066" s="1"/>
      <c r="J3066" s="1"/>
    </row>
    <row r="3067" spans="1:10" s="6" customFormat="1">
      <c r="A3067" s="17"/>
      <c r="C3067" s="9"/>
      <c r="D3067" s="10"/>
      <c r="E3067" s="10"/>
      <c r="F3067" s="9"/>
      <c r="G3067" s="1"/>
      <c r="H3067" s="1"/>
      <c r="I3067" s="1"/>
      <c r="J3067" s="1"/>
    </row>
    <row r="3068" spans="1:10" s="6" customFormat="1">
      <c r="A3068" s="17"/>
      <c r="C3068" s="9"/>
      <c r="D3068" s="10"/>
      <c r="E3068" s="10"/>
      <c r="F3068" s="9"/>
      <c r="G3068" s="1"/>
      <c r="H3068" s="1"/>
      <c r="I3068" s="1"/>
      <c r="J3068" s="1"/>
    </row>
    <row r="3069" spans="1:10" s="6" customFormat="1">
      <c r="A3069" s="17"/>
      <c r="C3069" s="9"/>
      <c r="D3069" s="10"/>
      <c r="E3069" s="10"/>
      <c r="F3069" s="9"/>
      <c r="G3069" s="1"/>
      <c r="H3069" s="1"/>
      <c r="I3069" s="1"/>
      <c r="J3069" s="1"/>
    </row>
    <row r="3070" spans="1:10" s="6" customFormat="1">
      <c r="A3070" s="17"/>
      <c r="C3070" s="9"/>
      <c r="D3070" s="10"/>
      <c r="E3070" s="10"/>
      <c r="F3070" s="9"/>
      <c r="G3070" s="1"/>
      <c r="H3070" s="1"/>
      <c r="I3070" s="1"/>
      <c r="J3070" s="1"/>
    </row>
    <row r="3071" spans="1:10" s="6" customFormat="1">
      <c r="A3071" s="17"/>
      <c r="C3071" s="9"/>
      <c r="D3071" s="10"/>
      <c r="E3071" s="10"/>
      <c r="F3071" s="9"/>
      <c r="G3071" s="1"/>
      <c r="H3071" s="1"/>
      <c r="I3071" s="1"/>
      <c r="J3071" s="1"/>
    </row>
    <row r="3072" spans="1:10" s="6" customFormat="1">
      <c r="A3072" s="17"/>
      <c r="C3072" s="9"/>
      <c r="D3072" s="10"/>
      <c r="E3072" s="10"/>
      <c r="F3072" s="9"/>
      <c r="G3072" s="1"/>
      <c r="H3072" s="1"/>
      <c r="I3072" s="1"/>
      <c r="J3072" s="1"/>
    </row>
    <row r="3073" spans="1:10" s="6" customFormat="1">
      <c r="A3073" s="17"/>
      <c r="C3073" s="9"/>
      <c r="D3073" s="10"/>
      <c r="E3073" s="10"/>
      <c r="F3073" s="9"/>
      <c r="G3073" s="1"/>
      <c r="H3073" s="1"/>
      <c r="I3073" s="1"/>
      <c r="J3073" s="1"/>
    </row>
    <row r="3074" spans="1:10" s="6" customFormat="1">
      <c r="A3074" s="17"/>
      <c r="C3074" s="9"/>
      <c r="D3074" s="10"/>
      <c r="E3074" s="10"/>
      <c r="F3074" s="9"/>
      <c r="G3074" s="1"/>
      <c r="H3074" s="1"/>
      <c r="I3074" s="1"/>
      <c r="J3074" s="1"/>
    </row>
    <row r="3075" spans="1:10" s="6" customFormat="1">
      <c r="A3075" s="17"/>
      <c r="C3075" s="9"/>
      <c r="D3075" s="10"/>
      <c r="E3075" s="10"/>
      <c r="F3075" s="9"/>
      <c r="G3075" s="1"/>
      <c r="H3075" s="1"/>
      <c r="I3075" s="1"/>
      <c r="J3075" s="1"/>
    </row>
    <row r="3076" spans="1:10" s="6" customFormat="1">
      <c r="A3076" s="17"/>
      <c r="C3076" s="9"/>
      <c r="D3076" s="10"/>
      <c r="E3076" s="10"/>
      <c r="F3076" s="9"/>
      <c r="G3076" s="1"/>
      <c r="H3076" s="1"/>
      <c r="I3076" s="1"/>
      <c r="J3076" s="1"/>
    </row>
    <row r="3077" spans="1:10" s="6" customFormat="1">
      <c r="A3077" s="17"/>
      <c r="C3077" s="9"/>
      <c r="D3077" s="10"/>
      <c r="E3077" s="10"/>
      <c r="F3077" s="9"/>
      <c r="G3077" s="1"/>
      <c r="H3077" s="1"/>
      <c r="I3077" s="1"/>
      <c r="J3077" s="1"/>
    </row>
    <row r="3078" spans="1:10" s="6" customFormat="1">
      <c r="A3078" s="17"/>
      <c r="C3078" s="9"/>
      <c r="D3078" s="10"/>
      <c r="E3078" s="10"/>
      <c r="F3078" s="9"/>
      <c r="G3078" s="1"/>
      <c r="H3078" s="1"/>
      <c r="I3078" s="1"/>
      <c r="J3078" s="1"/>
    </row>
    <row r="3079" spans="1:10" s="6" customFormat="1">
      <c r="A3079" s="17"/>
      <c r="C3079" s="9"/>
      <c r="D3079" s="10"/>
      <c r="E3079" s="10"/>
      <c r="F3079" s="9"/>
      <c r="G3079" s="1"/>
      <c r="H3079" s="1"/>
      <c r="I3079" s="1"/>
      <c r="J3079" s="1"/>
    </row>
    <row r="3080" spans="1:10" s="6" customFormat="1">
      <c r="A3080" s="17"/>
      <c r="C3080" s="9"/>
      <c r="D3080" s="10"/>
      <c r="E3080" s="10"/>
      <c r="F3080" s="9"/>
      <c r="G3080" s="1"/>
      <c r="H3080" s="1"/>
      <c r="I3080" s="1"/>
      <c r="J3080" s="1"/>
    </row>
    <row r="3081" spans="1:10" s="6" customFormat="1">
      <c r="A3081" s="17"/>
      <c r="C3081" s="9"/>
      <c r="D3081" s="10"/>
      <c r="E3081" s="10"/>
      <c r="F3081" s="9"/>
      <c r="G3081" s="1"/>
      <c r="H3081" s="1"/>
      <c r="I3081" s="1"/>
      <c r="J3081" s="1"/>
    </row>
    <row r="3082" spans="1:10" s="6" customFormat="1">
      <c r="A3082" s="17"/>
      <c r="C3082" s="9"/>
      <c r="D3082" s="10"/>
      <c r="E3082" s="10"/>
      <c r="F3082" s="9"/>
      <c r="G3082" s="1"/>
      <c r="H3082" s="1"/>
      <c r="I3082" s="1"/>
      <c r="J3082" s="1"/>
    </row>
    <row r="3083" spans="1:10" s="6" customFormat="1">
      <c r="A3083" s="17"/>
      <c r="C3083" s="9"/>
      <c r="D3083" s="10"/>
      <c r="E3083" s="10"/>
      <c r="F3083" s="9"/>
      <c r="G3083" s="1"/>
      <c r="H3083" s="1"/>
      <c r="I3083" s="1"/>
      <c r="J3083" s="1"/>
    </row>
    <row r="3084" spans="1:10" s="6" customFormat="1">
      <c r="A3084" s="17"/>
      <c r="C3084" s="9"/>
      <c r="D3084" s="10"/>
      <c r="E3084" s="10"/>
      <c r="F3084" s="9"/>
      <c r="G3084" s="1"/>
      <c r="H3084" s="1"/>
      <c r="I3084" s="1"/>
      <c r="J3084" s="1"/>
    </row>
    <row r="3085" spans="1:10" s="6" customFormat="1">
      <c r="A3085" s="17"/>
      <c r="C3085" s="9"/>
      <c r="D3085" s="10"/>
      <c r="E3085" s="10"/>
      <c r="F3085" s="9"/>
      <c r="G3085" s="1"/>
      <c r="H3085" s="1"/>
      <c r="I3085" s="1"/>
      <c r="J3085" s="1"/>
    </row>
    <row r="3086" spans="1:10" s="6" customFormat="1">
      <c r="A3086" s="17"/>
      <c r="C3086" s="9"/>
      <c r="D3086" s="10"/>
      <c r="E3086" s="10"/>
      <c r="F3086" s="9"/>
      <c r="G3086" s="1"/>
      <c r="H3086" s="1"/>
      <c r="I3086" s="1"/>
      <c r="J3086" s="1"/>
    </row>
    <row r="3087" spans="1:10" s="6" customFormat="1">
      <c r="A3087" s="17"/>
      <c r="C3087" s="9"/>
      <c r="D3087" s="10"/>
      <c r="E3087" s="10"/>
      <c r="F3087" s="9"/>
      <c r="G3087" s="1"/>
      <c r="H3087" s="1"/>
      <c r="I3087" s="1"/>
      <c r="J3087" s="1"/>
    </row>
    <row r="3088" spans="1:10" s="6" customFormat="1">
      <c r="A3088" s="17"/>
      <c r="C3088" s="9"/>
      <c r="D3088" s="10"/>
      <c r="E3088" s="10"/>
      <c r="F3088" s="9"/>
      <c r="G3088" s="1"/>
      <c r="H3088" s="1"/>
      <c r="I3088" s="1"/>
      <c r="J3088" s="1"/>
    </row>
    <row r="3089" spans="1:10" s="6" customFormat="1">
      <c r="A3089" s="17"/>
      <c r="C3089" s="9"/>
      <c r="D3089" s="10"/>
      <c r="E3089" s="10"/>
      <c r="F3089" s="9"/>
      <c r="G3089" s="1"/>
      <c r="H3089" s="1"/>
      <c r="I3089" s="1"/>
      <c r="J3089" s="1"/>
    </row>
    <row r="3090" spans="1:10" s="6" customFormat="1">
      <c r="A3090" s="17"/>
      <c r="C3090" s="9"/>
      <c r="D3090" s="10"/>
      <c r="E3090" s="10"/>
      <c r="F3090" s="9"/>
      <c r="G3090" s="1"/>
      <c r="H3090" s="1"/>
      <c r="I3090" s="1"/>
      <c r="J3090" s="1"/>
    </row>
    <row r="3091" spans="1:10" s="6" customFormat="1">
      <c r="A3091" s="17"/>
      <c r="C3091" s="9"/>
      <c r="D3091" s="10"/>
      <c r="E3091" s="10"/>
      <c r="F3091" s="9"/>
      <c r="G3091" s="1"/>
      <c r="H3091" s="1"/>
      <c r="I3091" s="1"/>
      <c r="J3091" s="1"/>
    </row>
    <row r="3092" spans="1:10" s="6" customFormat="1">
      <c r="A3092" s="17"/>
      <c r="C3092" s="9"/>
      <c r="D3092" s="10"/>
      <c r="E3092" s="10"/>
      <c r="F3092" s="9"/>
      <c r="G3092" s="1"/>
      <c r="H3092" s="1"/>
      <c r="I3092" s="1"/>
      <c r="J3092" s="1"/>
    </row>
    <row r="3093" spans="1:10" s="6" customFormat="1">
      <c r="A3093" s="17"/>
      <c r="C3093" s="9"/>
      <c r="D3093" s="10"/>
      <c r="E3093" s="10"/>
      <c r="F3093" s="9"/>
      <c r="G3093" s="1"/>
      <c r="H3093" s="1"/>
      <c r="I3093" s="1"/>
      <c r="J3093" s="1"/>
    </row>
    <row r="3094" spans="1:10" s="6" customFormat="1">
      <c r="A3094" s="17"/>
      <c r="C3094" s="9"/>
      <c r="D3094" s="10"/>
      <c r="E3094" s="10"/>
      <c r="F3094" s="9"/>
      <c r="G3094" s="1"/>
      <c r="H3094" s="1"/>
      <c r="I3094" s="1"/>
      <c r="J3094" s="1"/>
    </row>
    <row r="3095" spans="1:10" s="6" customFormat="1">
      <c r="A3095" s="17"/>
      <c r="C3095" s="9"/>
      <c r="D3095" s="10"/>
      <c r="E3095" s="10"/>
      <c r="F3095" s="9"/>
      <c r="G3095" s="1"/>
      <c r="H3095" s="1"/>
      <c r="I3095" s="1"/>
      <c r="J3095" s="1"/>
    </row>
    <row r="3096" spans="1:10" s="6" customFormat="1">
      <c r="A3096" s="17"/>
      <c r="C3096" s="9"/>
      <c r="D3096" s="10"/>
      <c r="E3096" s="10"/>
      <c r="F3096" s="9"/>
      <c r="G3096" s="1"/>
      <c r="H3096" s="1"/>
      <c r="I3096" s="1"/>
      <c r="J3096" s="1"/>
    </row>
    <row r="3097" spans="1:10" s="6" customFormat="1">
      <c r="A3097" s="17"/>
      <c r="C3097" s="9"/>
      <c r="D3097" s="10"/>
      <c r="E3097" s="10"/>
      <c r="F3097" s="9"/>
      <c r="G3097" s="1"/>
      <c r="H3097" s="1"/>
      <c r="I3097" s="1"/>
      <c r="J3097" s="1"/>
    </row>
    <row r="3098" spans="1:10" s="6" customFormat="1">
      <c r="A3098" s="17"/>
      <c r="C3098" s="9"/>
      <c r="D3098" s="10"/>
      <c r="E3098" s="10"/>
      <c r="F3098" s="9"/>
      <c r="G3098" s="1"/>
      <c r="H3098" s="1"/>
      <c r="I3098" s="1"/>
      <c r="J3098" s="1"/>
    </row>
    <row r="3099" spans="1:10" s="6" customFormat="1">
      <c r="A3099" s="17"/>
      <c r="C3099" s="9"/>
      <c r="D3099" s="10"/>
      <c r="E3099" s="10"/>
      <c r="F3099" s="9"/>
      <c r="G3099" s="1"/>
      <c r="H3099" s="1"/>
      <c r="I3099" s="1"/>
      <c r="J3099" s="1"/>
    </row>
    <row r="3100" spans="1:10" s="6" customFormat="1">
      <c r="A3100" s="17"/>
      <c r="C3100" s="9"/>
      <c r="D3100" s="10"/>
      <c r="E3100" s="10"/>
      <c r="F3100" s="9"/>
      <c r="G3100" s="1"/>
      <c r="H3100" s="1"/>
      <c r="I3100" s="1"/>
      <c r="J3100" s="1"/>
    </row>
    <row r="3101" spans="1:10" s="6" customFormat="1">
      <c r="A3101" s="17"/>
      <c r="C3101" s="9"/>
      <c r="D3101" s="10"/>
      <c r="E3101" s="10"/>
      <c r="F3101" s="9"/>
      <c r="G3101" s="1"/>
      <c r="H3101" s="1"/>
      <c r="I3101" s="1"/>
      <c r="J3101" s="1"/>
    </row>
    <row r="3102" spans="1:10" s="6" customFormat="1">
      <c r="A3102" s="17"/>
      <c r="C3102" s="9"/>
      <c r="D3102" s="10"/>
      <c r="E3102" s="10"/>
      <c r="F3102" s="9"/>
      <c r="G3102" s="1"/>
      <c r="H3102" s="1"/>
      <c r="I3102" s="1"/>
      <c r="J3102" s="1"/>
    </row>
    <row r="3103" spans="1:10" s="6" customFormat="1">
      <c r="A3103" s="17"/>
      <c r="C3103" s="9"/>
      <c r="D3103" s="10"/>
      <c r="E3103" s="10"/>
      <c r="F3103" s="9"/>
      <c r="G3103" s="1"/>
      <c r="H3103" s="1"/>
      <c r="I3103" s="1"/>
      <c r="J3103" s="1"/>
    </row>
    <row r="3104" spans="1:10" s="6" customFormat="1">
      <c r="A3104" s="17"/>
      <c r="C3104" s="9"/>
      <c r="D3104" s="10"/>
      <c r="E3104" s="10"/>
      <c r="F3104" s="9"/>
      <c r="G3104" s="1"/>
      <c r="H3104" s="1"/>
      <c r="I3104" s="1"/>
      <c r="J3104" s="1"/>
    </row>
    <row r="3105" spans="1:10" s="6" customFormat="1">
      <c r="A3105" s="17"/>
      <c r="C3105" s="9"/>
      <c r="D3105" s="10"/>
      <c r="E3105" s="10"/>
      <c r="F3105" s="9"/>
      <c r="G3105" s="1"/>
      <c r="H3105" s="1"/>
      <c r="I3105" s="1"/>
      <c r="J3105" s="1"/>
    </row>
    <row r="3106" spans="1:10" s="6" customFormat="1">
      <c r="A3106" s="17"/>
      <c r="C3106" s="9"/>
      <c r="D3106" s="10"/>
      <c r="E3106" s="10"/>
      <c r="F3106" s="9"/>
      <c r="G3106" s="1"/>
      <c r="H3106" s="1"/>
      <c r="I3106" s="1"/>
      <c r="J3106" s="1"/>
    </row>
    <row r="3107" spans="1:10" s="6" customFormat="1">
      <c r="A3107" s="17"/>
      <c r="C3107" s="9"/>
      <c r="D3107" s="10"/>
      <c r="E3107" s="10"/>
      <c r="F3107" s="9"/>
      <c r="G3107" s="1"/>
      <c r="H3107" s="1"/>
      <c r="I3107" s="1"/>
      <c r="J3107" s="1"/>
    </row>
    <row r="3108" spans="1:10" s="6" customFormat="1">
      <c r="A3108" s="17"/>
      <c r="C3108" s="9"/>
      <c r="D3108" s="10"/>
      <c r="E3108" s="10"/>
      <c r="F3108" s="9"/>
      <c r="G3108" s="1"/>
      <c r="H3108" s="1"/>
      <c r="I3108" s="1"/>
      <c r="J3108" s="1"/>
    </row>
    <row r="3109" spans="1:10" s="6" customFormat="1">
      <c r="A3109" s="17"/>
      <c r="C3109" s="9"/>
      <c r="D3109" s="10"/>
      <c r="E3109" s="10"/>
      <c r="F3109" s="9"/>
      <c r="G3109" s="1"/>
      <c r="H3109" s="1"/>
      <c r="I3109" s="1"/>
      <c r="J3109" s="1"/>
    </row>
    <row r="3110" spans="1:10" s="6" customFormat="1">
      <c r="A3110" s="17"/>
      <c r="C3110" s="9"/>
      <c r="D3110" s="10"/>
      <c r="E3110" s="10"/>
      <c r="F3110" s="9"/>
      <c r="G3110" s="1"/>
      <c r="H3110" s="1"/>
      <c r="I3110" s="1"/>
      <c r="J3110" s="1"/>
    </row>
    <row r="3111" spans="1:10" s="6" customFormat="1">
      <c r="A3111" s="17"/>
      <c r="C3111" s="9"/>
      <c r="D3111" s="10"/>
      <c r="E3111" s="10"/>
      <c r="F3111" s="9"/>
      <c r="G3111" s="1"/>
      <c r="H3111" s="1"/>
      <c r="I3111" s="1"/>
      <c r="J3111" s="1"/>
    </row>
    <row r="3112" spans="1:10" s="6" customFormat="1">
      <c r="A3112" s="17"/>
      <c r="C3112" s="9"/>
      <c r="D3112" s="10"/>
      <c r="E3112" s="10"/>
      <c r="F3112" s="9"/>
      <c r="G3112" s="1"/>
      <c r="H3112" s="1"/>
      <c r="I3112" s="1"/>
      <c r="J3112" s="1"/>
    </row>
    <row r="3113" spans="1:10" s="6" customFormat="1">
      <c r="A3113" s="17"/>
      <c r="C3113" s="9"/>
      <c r="D3113" s="10"/>
      <c r="E3113" s="10"/>
      <c r="F3113" s="9"/>
      <c r="G3113" s="1"/>
      <c r="H3113" s="1"/>
      <c r="I3113" s="1"/>
      <c r="J3113" s="1"/>
    </row>
    <row r="3114" spans="1:10" s="6" customFormat="1">
      <c r="A3114" s="17"/>
      <c r="C3114" s="9"/>
      <c r="D3114" s="10"/>
      <c r="E3114" s="10"/>
      <c r="F3114" s="9"/>
      <c r="G3114" s="1"/>
      <c r="H3114" s="1"/>
      <c r="I3114" s="1"/>
      <c r="J3114" s="1"/>
    </row>
    <row r="3115" spans="1:10" s="6" customFormat="1">
      <c r="A3115" s="17"/>
      <c r="C3115" s="9"/>
      <c r="D3115" s="10"/>
      <c r="E3115" s="10"/>
      <c r="F3115" s="9"/>
      <c r="G3115" s="1"/>
      <c r="H3115" s="1"/>
      <c r="I3115" s="1"/>
      <c r="J3115" s="1"/>
    </row>
    <row r="3116" spans="1:10" s="6" customFormat="1">
      <c r="A3116" s="17"/>
      <c r="C3116" s="9"/>
      <c r="D3116" s="10"/>
      <c r="E3116" s="10"/>
      <c r="F3116" s="9"/>
      <c r="G3116" s="1"/>
      <c r="H3116" s="1"/>
      <c r="I3116" s="1"/>
      <c r="J3116" s="1"/>
    </row>
    <row r="3117" spans="1:10" s="6" customFormat="1">
      <c r="A3117" s="17"/>
      <c r="C3117" s="9"/>
      <c r="D3117" s="10"/>
      <c r="E3117" s="10"/>
      <c r="F3117" s="9"/>
      <c r="G3117" s="1"/>
      <c r="H3117" s="1"/>
      <c r="I3117" s="1"/>
      <c r="J3117" s="1"/>
    </row>
    <row r="3118" spans="1:10" s="6" customFormat="1">
      <c r="A3118" s="17"/>
      <c r="C3118" s="9"/>
      <c r="D3118" s="10"/>
      <c r="E3118" s="10"/>
      <c r="F3118" s="9"/>
      <c r="G3118" s="1"/>
      <c r="H3118" s="1"/>
      <c r="I3118" s="1"/>
      <c r="J3118" s="1"/>
    </row>
    <row r="3119" spans="1:10" s="6" customFormat="1">
      <c r="A3119" s="17"/>
      <c r="C3119" s="9"/>
      <c r="D3119" s="10"/>
      <c r="E3119" s="10"/>
      <c r="F3119" s="9"/>
      <c r="G3119" s="1"/>
      <c r="H3119" s="1"/>
      <c r="I3119" s="1"/>
      <c r="J3119" s="1"/>
    </row>
    <row r="3120" spans="1:10" s="6" customFormat="1">
      <c r="A3120" s="17"/>
      <c r="C3120" s="9"/>
      <c r="D3120" s="10"/>
      <c r="E3120" s="10"/>
      <c r="F3120" s="9"/>
      <c r="G3120" s="1"/>
      <c r="H3120" s="1"/>
      <c r="I3120" s="1"/>
      <c r="J3120" s="1"/>
    </row>
    <row r="3121" spans="1:10" s="6" customFormat="1">
      <c r="A3121" s="17"/>
      <c r="C3121" s="9"/>
      <c r="D3121" s="10"/>
      <c r="E3121" s="10"/>
      <c r="F3121" s="9"/>
      <c r="G3121" s="1"/>
      <c r="H3121" s="1"/>
      <c r="I3121" s="1"/>
      <c r="J3121" s="1"/>
    </row>
    <row r="3122" spans="1:10" s="6" customFormat="1">
      <c r="A3122" s="17"/>
      <c r="C3122" s="9"/>
      <c r="D3122" s="10"/>
      <c r="E3122" s="10"/>
      <c r="F3122" s="9"/>
      <c r="G3122" s="1"/>
      <c r="H3122" s="1"/>
      <c r="I3122" s="1"/>
      <c r="J3122" s="1"/>
    </row>
    <row r="3123" spans="1:10" s="6" customFormat="1">
      <c r="A3123" s="17"/>
      <c r="C3123" s="9"/>
      <c r="D3123" s="10"/>
      <c r="E3123" s="10"/>
      <c r="F3123" s="9"/>
      <c r="G3123" s="1"/>
      <c r="H3123" s="1"/>
      <c r="I3123" s="1"/>
      <c r="J3123" s="1"/>
    </row>
    <row r="3124" spans="1:10" s="6" customFormat="1">
      <c r="A3124" s="17"/>
      <c r="C3124" s="9"/>
      <c r="D3124" s="10"/>
      <c r="E3124" s="10"/>
      <c r="F3124" s="9"/>
      <c r="G3124" s="1"/>
      <c r="H3124" s="1"/>
      <c r="I3124" s="1"/>
      <c r="J3124" s="1"/>
    </row>
    <row r="3125" spans="1:10" s="6" customFormat="1">
      <c r="A3125" s="17"/>
      <c r="C3125" s="9"/>
      <c r="D3125" s="10"/>
      <c r="E3125" s="10"/>
      <c r="F3125" s="9"/>
      <c r="G3125" s="1"/>
      <c r="H3125" s="1"/>
      <c r="I3125" s="1"/>
      <c r="J3125" s="1"/>
    </row>
    <row r="3126" spans="1:10" s="6" customFormat="1">
      <c r="A3126" s="17"/>
      <c r="C3126" s="9"/>
      <c r="D3126" s="10"/>
      <c r="E3126" s="10"/>
      <c r="F3126" s="9"/>
      <c r="G3126" s="1"/>
      <c r="H3126" s="1"/>
      <c r="I3126" s="1"/>
      <c r="J3126" s="1"/>
    </row>
    <row r="3127" spans="1:10" s="6" customFormat="1">
      <c r="A3127" s="17"/>
      <c r="C3127" s="9"/>
      <c r="D3127" s="10"/>
      <c r="E3127" s="10"/>
      <c r="F3127" s="9"/>
      <c r="G3127" s="1"/>
      <c r="H3127" s="1"/>
      <c r="I3127" s="1"/>
      <c r="J3127" s="1"/>
    </row>
    <row r="3128" spans="1:10" s="6" customFormat="1">
      <c r="A3128" s="17"/>
      <c r="C3128" s="9"/>
      <c r="D3128" s="10"/>
      <c r="E3128" s="10"/>
      <c r="F3128" s="9"/>
      <c r="G3128" s="1"/>
      <c r="H3128" s="1"/>
      <c r="I3128" s="1"/>
      <c r="J3128" s="1"/>
    </row>
    <row r="3129" spans="1:10" s="6" customFormat="1">
      <c r="A3129" s="17"/>
      <c r="C3129" s="9"/>
      <c r="D3129" s="10"/>
      <c r="E3129" s="10"/>
      <c r="F3129" s="9"/>
      <c r="G3129" s="1"/>
      <c r="H3129" s="1"/>
      <c r="I3129" s="1"/>
      <c r="J3129" s="1"/>
    </row>
    <row r="3130" spans="1:10" s="6" customFormat="1">
      <c r="A3130" s="17"/>
      <c r="C3130" s="9"/>
      <c r="D3130" s="10"/>
      <c r="E3130" s="10"/>
      <c r="F3130" s="9"/>
      <c r="G3130" s="1"/>
      <c r="H3130" s="1"/>
      <c r="I3130" s="1"/>
      <c r="J3130" s="1"/>
    </row>
    <row r="3131" spans="1:10" s="6" customFormat="1">
      <c r="A3131" s="17"/>
      <c r="C3131" s="9"/>
      <c r="D3131" s="10"/>
      <c r="E3131" s="10"/>
      <c r="F3131" s="9"/>
      <c r="G3131" s="1"/>
      <c r="H3131" s="1"/>
      <c r="I3131" s="1"/>
      <c r="J3131" s="1"/>
    </row>
    <row r="3132" spans="1:10" s="6" customFormat="1">
      <c r="A3132" s="17"/>
      <c r="C3132" s="9"/>
      <c r="D3132" s="10"/>
      <c r="E3132" s="10"/>
      <c r="F3132" s="9"/>
      <c r="G3132" s="1"/>
      <c r="H3132" s="1"/>
      <c r="I3132" s="1"/>
      <c r="J3132" s="1"/>
    </row>
    <row r="3133" spans="1:10" s="6" customFormat="1">
      <c r="A3133" s="17"/>
      <c r="C3133" s="9"/>
      <c r="D3133" s="10"/>
      <c r="E3133" s="10"/>
      <c r="F3133" s="9"/>
      <c r="G3133" s="1"/>
      <c r="H3133" s="1"/>
      <c r="I3133" s="1"/>
      <c r="J3133" s="1"/>
    </row>
    <row r="3134" spans="1:10" s="6" customFormat="1">
      <c r="A3134" s="17"/>
      <c r="C3134" s="9"/>
      <c r="D3134" s="10"/>
      <c r="E3134" s="10"/>
      <c r="F3134" s="9"/>
      <c r="G3134" s="1"/>
      <c r="H3134" s="1"/>
      <c r="I3134" s="1"/>
      <c r="J3134" s="1"/>
    </row>
    <row r="3135" spans="1:10" s="6" customFormat="1">
      <c r="A3135" s="17"/>
      <c r="C3135" s="9"/>
      <c r="D3135" s="10"/>
      <c r="E3135" s="10"/>
      <c r="F3135" s="9"/>
      <c r="G3135" s="1"/>
      <c r="H3135" s="1"/>
      <c r="I3135" s="1"/>
      <c r="J3135" s="1"/>
    </row>
    <row r="3136" spans="1:10" s="6" customFormat="1">
      <c r="A3136" s="17"/>
      <c r="C3136" s="9"/>
      <c r="D3136" s="10"/>
      <c r="E3136" s="10"/>
      <c r="F3136" s="9"/>
      <c r="G3136" s="1"/>
      <c r="H3136" s="1"/>
      <c r="I3136" s="1"/>
      <c r="J3136" s="1"/>
    </row>
    <row r="3137" spans="1:10" s="6" customFormat="1">
      <c r="A3137" s="17"/>
      <c r="C3137" s="9"/>
      <c r="D3137" s="10"/>
      <c r="E3137" s="10"/>
      <c r="F3137" s="9"/>
      <c r="G3137" s="1"/>
      <c r="H3137" s="1"/>
      <c r="I3137" s="1"/>
      <c r="J3137" s="1"/>
    </row>
    <row r="3138" spans="1:10" s="6" customFormat="1">
      <c r="A3138" s="17"/>
      <c r="C3138" s="9"/>
      <c r="D3138" s="10"/>
      <c r="E3138" s="10"/>
      <c r="F3138" s="9"/>
      <c r="G3138" s="1"/>
      <c r="H3138" s="1"/>
      <c r="I3138" s="1"/>
      <c r="J3138" s="1"/>
    </row>
    <row r="3139" spans="1:10" s="6" customFormat="1">
      <c r="A3139" s="17"/>
      <c r="C3139" s="9"/>
      <c r="D3139" s="10"/>
      <c r="E3139" s="10"/>
      <c r="F3139" s="9"/>
      <c r="G3139" s="1"/>
      <c r="H3139" s="1"/>
      <c r="I3139" s="1"/>
      <c r="J3139" s="1"/>
    </row>
    <row r="3140" spans="1:10" s="6" customFormat="1">
      <c r="A3140" s="17"/>
      <c r="C3140" s="9"/>
      <c r="D3140" s="10"/>
      <c r="E3140" s="10"/>
      <c r="F3140" s="9"/>
      <c r="G3140" s="1"/>
      <c r="H3140" s="1"/>
      <c r="I3140" s="1"/>
      <c r="J3140" s="1"/>
    </row>
    <row r="3141" spans="1:10" s="6" customFormat="1">
      <c r="A3141" s="17"/>
      <c r="C3141" s="9"/>
      <c r="D3141" s="10"/>
      <c r="E3141" s="10"/>
      <c r="F3141" s="9"/>
      <c r="G3141" s="1"/>
      <c r="H3141" s="1"/>
      <c r="I3141" s="1"/>
      <c r="J3141" s="1"/>
    </row>
    <row r="3142" spans="1:10" s="6" customFormat="1">
      <c r="A3142" s="17"/>
      <c r="C3142" s="9"/>
      <c r="D3142" s="10"/>
      <c r="E3142" s="10"/>
      <c r="F3142" s="9"/>
      <c r="G3142" s="1"/>
      <c r="H3142" s="1"/>
      <c r="I3142" s="1"/>
      <c r="J3142" s="1"/>
    </row>
    <row r="3143" spans="1:10" s="6" customFormat="1">
      <c r="A3143" s="17"/>
      <c r="C3143" s="9"/>
      <c r="D3143" s="10"/>
      <c r="E3143" s="10"/>
      <c r="F3143" s="9"/>
      <c r="G3143" s="1"/>
      <c r="H3143" s="1"/>
      <c r="I3143" s="1"/>
      <c r="J3143" s="1"/>
    </row>
    <row r="3144" spans="1:10" s="6" customFormat="1">
      <c r="A3144" s="17"/>
      <c r="C3144" s="9"/>
      <c r="D3144" s="10"/>
      <c r="E3144" s="10"/>
      <c r="F3144" s="9"/>
      <c r="G3144" s="1"/>
      <c r="H3144" s="1"/>
      <c r="I3144" s="1"/>
      <c r="J3144" s="1"/>
    </row>
    <row r="3145" spans="1:10" s="6" customFormat="1">
      <c r="A3145" s="17"/>
      <c r="C3145" s="9"/>
      <c r="D3145" s="10"/>
      <c r="E3145" s="10"/>
      <c r="F3145" s="9"/>
      <c r="G3145" s="1"/>
      <c r="H3145" s="1"/>
      <c r="I3145" s="1"/>
      <c r="J3145" s="1"/>
    </row>
    <row r="3146" spans="1:10" s="6" customFormat="1">
      <c r="A3146" s="17"/>
      <c r="C3146" s="9"/>
      <c r="D3146" s="10"/>
      <c r="E3146" s="10"/>
      <c r="F3146" s="9"/>
      <c r="G3146" s="1"/>
      <c r="H3146" s="1"/>
      <c r="I3146" s="1"/>
      <c r="J3146" s="1"/>
    </row>
    <row r="3147" spans="1:10" s="6" customFormat="1">
      <c r="A3147" s="17"/>
      <c r="C3147" s="9"/>
      <c r="D3147" s="10"/>
      <c r="E3147" s="10"/>
      <c r="F3147" s="9"/>
      <c r="G3147" s="1"/>
      <c r="H3147" s="1"/>
      <c r="I3147" s="1"/>
      <c r="J3147" s="1"/>
    </row>
    <row r="3148" spans="1:10" s="6" customFormat="1">
      <c r="A3148" s="17"/>
      <c r="C3148" s="9"/>
      <c r="D3148" s="10"/>
      <c r="E3148" s="10"/>
      <c r="F3148" s="9"/>
      <c r="G3148" s="1"/>
      <c r="H3148" s="1"/>
      <c r="I3148" s="1"/>
      <c r="J3148" s="1"/>
    </row>
    <row r="3149" spans="1:10" s="6" customFormat="1">
      <c r="A3149" s="17"/>
      <c r="C3149" s="9"/>
      <c r="D3149" s="10"/>
      <c r="E3149" s="10"/>
      <c r="F3149" s="9"/>
      <c r="G3149" s="1"/>
      <c r="H3149" s="1"/>
      <c r="I3149" s="1"/>
      <c r="J3149" s="1"/>
    </row>
    <row r="3150" spans="1:10" s="6" customFormat="1">
      <c r="A3150" s="17"/>
      <c r="C3150" s="9"/>
      <c r="D3150" s="10"/>
      <c r="E3150" s="10"/>
      <c r="F3150" s="9"/>
      <c r="G3150" s="1"/>
      <c r="H3150" s="1"/>
      <c r="I3150" s="1"/>
      <c r="J3150" s="1"/>
    </row>
    <row r="3151" spans="1:10" s="6" customFormat="1">
      <c r="A3151" s="17"/>
      <c r="C3151" s="9"/>
      <c r="D3151" s="10"/>
      <c r="E3151" s="10"/>
      <c r="F3151" s="9"/>
      <c r="G3151" s="1"/>
      <c r="H3151" s="1"/>
      <c r="I3151" s="1"/>
      <c r="J3151" s="1"/>
    </row>
    <row r="3152" spans="1:10" s="6" customFormat="1">
      <c r="A3152" s="17"/>
      <c r="C3152" s="9"/>
      <c r="D3152" s="10"/>
      <c r="E3152" s="10"/>
      <c r="F3152" s="9"/>
      <c r="G3152" s="1"/>
      <c r="H3152" s="1"/>
      <c r="I3152" s="1"/>
      <c r="J3152" s="1"/>
    </row>
    <row r="3153" spans="1:10" s="6" customFormat="1">
      <c r="A3153" s="17"/>
      <c r="C3153" s="9"/>
      <c r="D3153" s="10"/>
      <c r="E3153" s="10"/>
      <c r="F3153" s="9"/>
      <c r="G3153" s="1"/>
      <c r="H3153" s="1"/>
      <c r="I3153" s="1"/>
      <c r="J3153" s="1"/>
    </row>
    <row r="3154" spans="1:10" s="6" customFormat="1">
      <c r="A3154" s="17"/>
      <c r="C3154" s="9"/>
      <c r="D3154" s="10"/>
      <c r="E3154" s="10"/>
      <c r="F3154" s="9"/>
      <c r="G3154" s="1"/>
      <c r="H3154" s="1"/>
      <c r="I3154" s="1"/>
      <c r="J3154" s="1"/>
    </row>
    <row r="3155" spans="1:10" s="6" customFormat="1">
      <c r="A3155" s="17"/>
      <c r="C3155" s="9"/>
      <c r="D3155" s="10"/>
      <c r="E3155" s="10"/>
      <c r="F3155" s="9"/>
      <c r="G3155" s="1"/>
      <c r="H3155" s="1"/>
      <c r="I3155" s="1"/>
      <c r="J3155" s="1"/>
    </row>
    <row r="3156" spans="1:10" s="6" customFormat="1">
      <c r="A3156" s="17"/>
      <c r="C3156" s="9"/>
      <c r="D3156" s="10"/>
      <c r="E3156" s="10"/>
      <c r="F3156" s="9"/>
      <c r="G3156" s="1"/>
      <c r="H3156" s="1"/>
      <c r="I3156" s="1"/>
      <c r="J3156" s="1"/>
    </row>
    <row r="3157" spans="1:10" s="6" customFormat="1">
      <c r="A3157" s="17"/>
      <c r="C3157" s="9"/>
      <c r="D3157" s="10"/>
      <c r="E3157" s="10"/>
      <c r="F3157" s="9"/>
      <c r="G3157" s="1"/>
      <c r="H3157" s="1"/>
      <c r="I3157" s="1"/>
      <c r="J3157" s="1"/>
    </row>
    <row r="3158" spans="1:10" s="6" customFormat="1">
      <c r="A3158" s="17"/>
      <c r="C3158" s="9"/>
      <c r="D3158" s="10"/>
      <c r="E3158" s="10"/>
      <c r="F3158" s="9"/>
      <c r="G3158" s="1"/>
      <c r="H3158" s="1"/>
      <c r="I3158" s="1"/>
      <c r="J3158" s="1"/>
    </row>
    <row r="3159" spans="1:10" s="6" customFormat="1">
      <c r="A3159" s="17"/>
      <c r="C3159" s="9"/>
      <c r="D3159" s="10"/>
      <c r="E3159" s="10"/>
      <c r="F3159" s="9"/>
      <c r="G3159" s="1"/>
      <c r="H3159" s="1"/>
      <c r="I3159" s="1"/>
      <c r="J3159" s="1"/>
    </row>
    <row r="3160" spans="1:10" s="6" customFormat="1">
      <c r="A3160" s="17"/>
      <c r="C3160" s="9"/>
      <c r="D3160" s="10"/>
      <c r="E3160" s="10"/>
      <c r="F3160" s="9"/>
      <c r="G3160" s="1"/>
      <c r="H3160" s="1"/>
      <c r="I3160" s="1"/>
      <c r="J3160" s="1"/>
    </row>
    <row r="3161" spans="1:10" s="6" customFormat="1">
      <c r="A3161" s="17"/>
      <c r="C3161" s="9"/>
      <c r="D3161" s="10"/>
      <c r="E3161" s="10"/>
      <c r="F3161" s="9"/>
      <c r="G3161" s="1"/>
      <c r="H3161" s="1"/>
      <c r="I3161" s="1"/>
      <c r="J3161" s="1"/>
    </row>
    <row r="3162" spans="1:10" s="6" customFormat="1">
      <c r="A3162" s="17"/>
      <c r="C3162" s="9"/>
      <c r="D3162" s="10"/>
      <c r="E3162" s="10"/>
      <c r="F3162" s="9"/>
      <c r="G3162" s="1"/>
      <c r="H3162" s="1"/>
      <c r="I3162" s="1"/>
      <c r="J3162" s="1"/>
    </row>
    <row r="3163" spans="1:10" s="6" customFormat="1">
      <c r="A3163" s="17"/>
      <c r="C3163" s="9"/>
      <c r="D3163" s="10"/>
      <c r="E3163" s="10"/>
      <c r="F3163" s="9"/>
      <c r="G3163" s="1"/>
      <c r="H3163" s="1"/>
      <c r="I3163" s="1"/>
      <c r="J3163" s="1"/>
    </row>
    <row r="3164" spans="1:10" s="6" customFormat="1">
      <c r="A3164" s="17"/>
      <c r="C3164" s="9"/>
      <c r="D3164" s="10"/>
      <c r="E3164" s="10"/>
      <c r="F3164" s="9"/>
      <c r="G3164" s="1"/>
      <c r="H3164" s="1"/>
      <c r="I3164" s="1"/>
      <c r="J3164" s="1"/>
    </row>
    <row r="3165" spans="1:10" s="6" customFormat="1">
      <c r="A3165" s="17"/>
      <c r="C3165" s="9"/>
      <c r="D3165" s="10"/>
      <c r="E3165" s="10"/>
      <c r="F3165" s="9"/>
      <c r="G3165" s="1"/>
      <c r="H3165" s="1"/>
      <c r="I3165" s="1"/>
      <c r="J3165" s="1"/>
    </row>
    <row r="3166" spans="1:10" s="6" customFormat="1">
      <c r="A3166" s="17"/>
      <c r="C3166" s="9"/>
      <c r="D3166" s="10"/>
      <c r="E3166" s="10"/>
      <c r="F3166" s="9"/>
      <c r="G3166" s="1"/>
      <c r="H3166" s="1"/>
      <c r="I3166" s="1"/>
      <c r="J3166" s="1"/>
    </row>
    <row r="3167" spans="1:10" s="6" customFormat="1">
      <c r="A3167" s="17"/>
      <c r="C3167" s="9"/>
      <c r="D3167" s="10"/>
      <c r="E3167" s="10"/>
      <c r="F3167" s="9"/>
      <c r="G3167" s="1"/>
      <c r="H3167" s="1"/>
      <c r="I3167" s="1"/>
      <c r="J3167" s="1"/>
    </row>
    <row r="3168" spans="1:10" s="6" customFormat="1">
      <c r="A3168" s="17"/>
      <c r="C3168" s="9"/>
      <c r="D3168" s="10"/>
      <c r="E3168" s="10"/>
      <c r="F3168" s="9"/>
      <c r="G3168" s="1"/>
      <c r="H3168" s="1"/>
      <c r="I3168" s="1"/>
      <c r="J3168" s="1"/>
    </row>
    <row r="3169" spans="1:10" s="6" customFormat="1">
      <c r="A3169" s="17"/>
      <c r="C3169" s="9"/>
      <c r="D3169" s="10"/>
      <c r="E3169" s="10"/>
      <c r="F3169" s="9"/>
      <c r="G3169" s="1"/>
      <c r="H3169" s="1"/>
      <c r="I3169" s="1"/>
      <c r="J3169" s="1"/>
    </row>
    <row r="3170" spans="1:10" s="6" customFormat="1">
      <c r="A3170" s="17"/>
      <c r="C3170" s="9"/>
      <c r="D3170" s="10"/>
      <c r="E3170" s="10"/>
      <c r="F3170" s="9"/>
      <c r="G3170" s="1"/>
      <c r="H3170" s="1"/>
      <c r="I3170" s="1"/>
      <c r="J3170" s="1"/>
    </row>
    <row r="3171" spans="1:10" s="6" customFormat="1">
      <c r="A3171" s="17"/>
      <c r="C3171" s="9"/>
      <c r="D3171" s="10"/>
      <c r="E3171" s="10"/>
      <c r="F3171" s="9"/>
      <c r="G3171" s="1"/>
      <c r="H3171" s="1"/>
      <c r="I3171" s="1"/>
      <c r="J3171" s="1"/>
    </row>
    <row r="3172" spans="1:10" s="6" customFormat="1">
      <c r="A3172" s="17"/>
      <c r="C3172" s="9"/>
      <c r="D3172" s="10"/>
      <c r="E3172" s="10"/>
      <c r="F3172" s="9"/>
      <c r="G3172" s="1"/>
      <c r="H3172" s="1"/>
      <c r="I3172" s="1"/>
      <c r="J3172" s="1"/>
    </row>
    <row r="3173" spans="1:10" s="6" customFormat="1">
      <c r="A3173" s="17"/>
      <c r="C3173" s="9"/>
      <c r="D3173" s="10"/>
      <c r="E3173" s="10"/>
      <c r="F3173" s="9"/>
      <c r="G3173" s="1"/>
      <c r="H3173" s="1"/>
      <c r="I3173" s="1"/>
      <c r="J3173" s="1"/>
    </row>
    <row r="3174" spans="1:10" s="6" customFormat="1">
      <c r="A3174" s="17"/>
      <c r="C3174" s="9"/>
      <c r="D3174" s="10"/>
      <c r="E3174" s="10"/>
      <c r="F3174" s="9"/>
      <c r="G3174" s="1"/>
      <c r="H3174" s="1"/>
      <c r="I3174" s="1"/>
      <c r="J3174" s="1"/>
    </row>
    <row r="3175" spans="1:10" s="6" customFormat="1">
      <c r="A3175" s="17"/>
      <c r="C3175" s="9"/>
      <c r="D3175" s="10"/>
      <c r="E3175" s="10"/>
      <c r="F3175" s="9"/>
      <c r="G3175" s="1"/>
      <c r="H3175" s="1"/>
      <c r="I3175" s="1"/>
      <c r="J3175" s="1"/>
    </row>
    <row r="3176" spans="1:10" s="6" customFormat="1">
      <c r="A3176" s="17"/>
      <c r="C3176" s="9"/>
      <c r="D3176" s="10"/>
      <c r="E3176" s="10"/>
      <c r="F3176" s="9"/>
      <c r="G3176" s="1"/>
      <c r="H3176" s="1"/>
      <c r="I3176" s="1"/>
      <c r="J3176" s="1"/>
    </row>
    <row r="3177" spans="1:10" s="6" customFormat="1">
      <c r="A3177" s="17"/>
      <c r="C3177" s="9"/>
      <c r="D3177" s="10"/>
      <c r="E3177" s="10"/>
      <c r="F3177" s="9"/>
      <c r="G3177" s="1"/>
      <c r="H3177" s="1"/>
      <c r="I3177" s="1"/>
      <c r="J3177" s="1"/>
    </row>
    <row r="3178" spans="1:10" s="6" customFormat="1">
      <c r="A3178" s="17"/>
      <c r="C3178" s="9"/>
      <c r="D3178" s="10"/>
      <c r="E3178" s="10"/>
      <c r="F3178" s="9"/>
      <c r="G3178" s="1"/>
      <c r="H3178" s="1"/>
      <c r="I3178" s="1"/>
      <c r="J3178" s="1"/>
    </row>
    <row r="3179" spans="1:10" s="6" customFormat="1">
      <c r="A3179" s="17"/>
      <c r="C3179" s="9"/>
      <c r="D3179" s="10"/>
      <c r="E3179" s="10"/>
      <c r="F3179" s="9"/>
      <c r="G3179" s="1"/>
      <c r="H3179" s="1"/>
      <c r="I3179" s="1"/>
      <c r="J3179" s="1"/>
    </row>
    <row r="3180" spans="1:10" s="6" customFormat="1">
      <c r="A3180" s="17"/>
      <c r="C3180" s="9"/>
      <c r="D3180" s="10"/>
      <c r="E3180" s="10"/>
      <c r="F3180" s="9"/>
      <c r="G3180" s="1"/>
      <c r="H3180" s="1"/>
      <c r="I3180" s="1"/>
      <c r="J3180" s="1"/>
    </row>
    <row r="3181" spans="1:10" s="6" customFormat="1">
      <c r="A3181" s="17"/>
      <c r="C3181" s="9"/>
      <c r="D3181" s="10"/>
      <c r="E3181" s="10"/>
      <c r="F3181" s="9"/>
      <c r="G3181" s="1"/>
      <c r="H3181" s="1"/>
      <c r="I3181" s="1"/>
      <c r="J3181" s="1"/>
    </row>
    <row r="3182" spans="1:10" s="6" customFormat="1">
      <c r="A3182" s="17"/>
      <c r="C3182" s="9"/>
      <c r="D3182" s="10"/>
      <c r="E3182" s="10"/>
      <c r="F3182" s="9"/>
      <c r="G3182" s="1"/>
      <c r="H3182" s="1"/>
      <c r="I3182" s="1"/>
      <c r="J3182" s="1"/>
    </row>
    <row r="3183" spans="1:10" s="6" customFormat="1">
      <c r="A3183" s="17"/>
      <c r="C3183" s="9"/>
      <c r="D3183" s="10"/>
      <c r="E3183" s="10"/>
      <c r="F3183" s="9"/>
      <c r="G3183" s="1"/>
      <c r="H3183" s="1"/>
      <c r="I3183" s="1"/>
      <c r="J3183" s="1"/>
    </row>
    <row r="3184" spans="1:10" s="6" customFormat="1">
      <c r="A3184" s="17"/>
      <c r="C3184" s="9"/>
      <c r="D3184" s="10"/>
      <c r="E3184" s="10"/>
      <c r="F3184" s="9"/>
      <c r="G3184" s="1"/>
      <c r="H3184" s="1"/>
      <c r="I3184" s="1"/>
      <c r="J3184" s="1"/>
    </row>
    <row r="3185" spans="1:10" s="6" customFormat="1">
      <c r="A3185" s="17"/>
      <c r="C3185" s="9"/>
      <c r="D3185" s="10"/>
      <c r="E3185" s="10"/>
      <c r="F3185" s="9"/>
      <c r="G3185" s="1"/>
      <c r="H3185" s="1"/>
      <c r="I3185" s="1"/>
      <c r="J3185" s="1"/>
    </row>
    <row r="3186" spans="1:10" s="6" customFormat="1">
      <c r="A3186" s="17"/>
      <c r="C3186" s="9"/>
      <c r="D3186" s="10"/>
      <c r="E3186" s="10"/>
      <c r="F3186" s="9"/>
      <c r="G3186" s="1"/>
      <c r="H3186" s="1"/>
      <c r="I3186" s="1"/>
      <c r="J3186" s="1"/>
    </row>
    <row r="3187" spans="1:10" s="6" customFormat="1">
      <c r="A3187" s="17"/>
      <c r="C3187" s="9"/>
      <c r="D3187" s="10"/>
      <c r="E3187" s="10"/>
      <c r="F3187" s="9"/>
      <c r="G3187" s="1"/>
      <c r="H3187" s="1"/>
      <c r="I3187" s="1"/>
      <c r="J3187" s="1"/>
    </row>
    <row r="3188" spans="1:10" s="6" customFormat="1">
      <c r="A3188" s="17"/>
      <c r="C3188" s="9"/>
      <c r="D3188" s="10"/>
      <c r="E3188" s="10"/>
      <c r="F3188" s="9"/>
      <c r="G3188" s="1"/>
      <c r="H3188" s="1"/>
      <c r="I3188" s="1"/>
      <c r="J3188" s="1"/>
    </row>
    <row r="3189" spans="1:10" s="6" customFormat="1">
      <c r="A3189" s="17"/>
      <c r="C3189" s="9"/>
      <c r="D3189" s="10"/>
      <c r="E3189" s="10"/>
      <c r="F3189" s="9"/>
      <c r="G3189" s="1"/>
      <c r="H3189" s="1"/>
      <c r="I3189" s="1"/>
      <c r="J3189" s="1"/>
    </row>
    <row r="3190" spans="1:10" s="6" customFormat="1">
      <c r="A3190" s="17"/>
      <c r="C3190" s="9"/>
      <c r="D3190" s="10"/>
      <c r="E3190" s="10"/>
      <c r="F3190" s="9"/>
      <c r="G3190" s="1"/>
      <c r="H3190" s="1"/>
      <c r="I3190" s="1"/>
      <c r="J3190" s="1"/>
    </row>
    <row r="3191" spans="1:10" s="6" customFormat="1">
      <c r="A3191" s="17"/>
      <c r="C3191" s="9"/>
      <c r="D3191" s="10"/>
      <c r="E3191" s="10"/>
      <c r="F3191" s="9"/>
      <c r="G3191" s="1"/>
      <c r="H3191" s="1"/>
      <c r="I3191" s="1"/>
      <c r="J3191" s="1"/>
    </row>
    <row r="3192" spans="1:10" s="6" customFormat="1">
      <c r="A3192" s="17"/>
      <c r="C3192" s="9"/>
      <c r="D3192" s="10"/>
      <c r="E3192" s="10"/>
      <c r="F3192" s="9"/>
      <c r="G3192" s="1"/>
      <c r="H3192" s="1"/>
      <c r="I3192" s="1"/>
      <c r="J3192" s="1"/>
    </row>
    <row r="3193" spans="1:10" s="6" customFormat="1">
      <c r="A3193" s="17"/>
      <c r="C3193" s="9"/>
      <c r="D3193" s="10"/>
      <c r="E3193" s="10"/>
      <c r="F3193" s="9"/>
      <c r="G3193" s="1"/>
      <c r="H3193" s="1"/>
      <c r="I3193" s="1"/>
      <c r="J3193" s="1"/>
    </row>
    <row r="3194" spans="1:10" s="6" customFormat="1">
      <c r="A3194" s="17"/>
      <c r="C3194" s="9"/>
      <c r="D3194" s="10"/>
      <c r="E3194" s="10"/>
      <c r="F3194" s="9"/>
      <c r="G3194" s="1"/>
      <c r="H3194" s="1"/>
      <c r="I3194" s="1"/>
      <c r="J3194" s="1"/>
    </row>
    <row r="3195" spans="1:10" s="6" customFormat="1">
      <c r="A3195" s="17"/>
      <c r="C3195" s="9"/>
      <c r="D3195" s="10"/>
      <c r="E3195" s="10"/>
      <c r="F3195" s="9"/>
      <c r="G3195" s="1"/>
      <c r="H3195" s="1"/>
      <c r="I3195" s="1"/>
      <c r="J3195" s="1"/>
    </row>
    <row r="3196" spans="1:10" s="6" customFormat="1">
      <c r="A3196" s="17"/>
      <c r="C3196" s="9"/>
      <c r="D3196" s="10"/>
      <c r="E3196" s="10"/>
      <c r="F3196" s="9"/>
      <c r="G3196" s="1"/>
      <c r="H3196" s="1"/>
      <c r="I3196" s="1"/>
      <c r="J3196" s="1"/>
    </row>
    <row r="3197" spans="1:10" s="6" customFormat="1">
      <c r="A3197" s="17"/>
      <c r="C3197" s="9"/>
      <c r="D3197" s="10"/>
      <c r="E3197" s="10"/>
      <c r="F3197" s="9"/>
      <c r="G3197" s="1"/>
      <c r="H3197" s="1"/>
      <c r="I3197" s="1"/>
      <c r="J3197" s="1"/>
    </row>
    <row r="3198" spans="1:10" s="6" customFormat="1">
      <c r="A3198" s="17"/>
      <c r="C3198" s="9"/>
      <c r="D3198" s="10"/>
      <c r="E3198" s="10"/>
      <c r="F3198" s="9"/>
      <c r="G3198" s="1"/>
      <c r="H3198" s="1"/>
      <c r="I3198" s="1"/>
      <c r="J3198" s="1"/>
    </row>
    <row r="3199" spans="1:10" s="6" customFormat="1">
      <c r="A3199" s="17"/>
      <c r="C3199" s="9"/>
      <c r="D3199" s="10"/>
      <c r="E3199" s="10"/>
      <c r="F3199" s="9"/>
      <c r="G3199" s="1"/>
      <c r="H3199" s="1"/>
      <c r="I3199" s="1"/>
      <c r="J3199" s="1"/>
    </row>
    <row r="3200" spans="1:10" s="6" customFormat="1">
      <c r="A3200" s="17"/>
      <c r="C3200" s="9"/>
      <c r="D3200" s="10"/>
      <c r="E3200" s="10"/>
      <c r="F3200" s="9"/>
      <c r="G3200" s="1"/>
      <c r="H3200" s="1"/>
      <c r="I3200" s="1"/>
      <c r="J3200" s="1"/>
    </row>
    <row r="3201" spans="1:10" s="6" customFormat="1">
      <c r="A3201" s="17"/>
      <c r="C3201" s="9"/>
      <c r="D3201" s="10"/>
      <c r="E3201" s="10"/>
      <c r="F3201" s="9"/>
      <c r="G3201" s="1"/>
      <c r="H3201" s="1"/>
      <c r="I3201" s="1"/>
      <c r="J3201" s="1"/>
    </row>
    <row r="3202" spans="1:10" s="6" customFormat="1">
      <c r="A3202" s="17"/>
      <c r="C3202" s="9"/>
      <c r="D3202" s="10"/>
      <c r="E3202" s="10"/>
      <c r="F3202" s="9"/>
      <c r="G3202" s="1"/>
      <c r="H3202" s="1"/>
      <c r="I3202" s="1"/>
      <c r="J3202" s="1"/>
    </row>
    <row r="3203" spans="1:10" s="6" customFormat="1">
      <c r="A3203" s="17"/>
      <c r="C3203" s="9"/>
      <c r="D3203" s="10"/>
      <c r="E3203" s="10"/>
      <c r="F3203" s="9"/>
      <c r="G3203" s="1"/>
      <c r="H3203" s="1"/>
      <c r="I3203" s="1"/>
      <c r="J3203" s="1"/>
    </row>
    <row r="3204" spans="1:10" s="6" customFormat="1">
      <c r="A3204" s="17"/>
      <c r="C3204" s="9"/>
      <c r="D3204" s="10"/>
      <c r="E3204" s="10"/>
      <c r="F3204" s="9"/>
      <c r="G3204" s="1"/>
      <c r="H3204" s="1"/>
      <c r="I3204" s="1"/>
      <c r="J3204" s="1"/>
    </row>
    <row r="3205" spans="1:10" s="6" customFormat="1">
      <c r="A3205" s="17"/>
      <c r="C3205" s="9"/>
      <c r="D3205" s="10"/>
      <c r="E3205" s="10"/>
      <c r="F3205" s="9"/>
      <c r="G3205" s="1"/>
      <c r="H3205" s="1"/>
      <c r="I3205" s="1"/>
      <c r="J3205" s="1"/>
    </row>
    <row r="3206" spans="1:10" s="6" customFormat="1">
      <c r="A3206" s="17"/>
      <c r="C3206" s="9"/>
      <c r="D3206" s="10"/>
      <c r="E3206" s="10"/>
      <c r="F3206" s="9"/>
      <c r="G3206" s="1"/>
      <c r="H3206" s="1"/>
      <c r="I3206" s="1"/>
      <c r="J3206" s="1"/>
    </row>
    <row r="3207" spans="1:10" s="6" customFormat="1">
      <c r="A3207" s="17"/>
      <c r="C3207" s="9"/>
      <c r="D3207" s="10"/>
      <c r="E3207" s="10"/>
      <c r="F3207" s="9"/>
      <c r="G3207" s="1"/>
      <c r="H3207" s="1"/>
      <c r="I3207" s="1"/>
      <c r="J3207" s="1"/>
    </row>
    <row r="3208" spans="1:10" s="6" customFormat="1">
      <c r="A3208" s="17"/>
      <c r="C3208" s="9"/>
      <c r="D3208" s="10"/>
      <c r="E3208" s="10"/>
      <c r="F3208" s="9"/>
      <c r="G3208" s="1"/>
      <c r="H3208" s="1"/>
      <c r="I3208" s="1"/>
      <c r="J3208" s="1"/>
    </row>
    <row r="3209" spans="1:10" s="6" customFormat="1">
      <c r="A3209" s="17"/>
      <c r="C3209" s="9"/>
      <c r="D3209" s="10"/>
      <c r="E3209" s="10"/>
      <c r="F3209" s="9"/>
      <c r="G3209" s="1"/>
      <c r="H3209" s="1"/>
      <c r="I3209" s="1"/>
      <c r="J3209" s="1"/>
    </row>
    <row r="3210" spans="1:10" s="6" customFormat="1">
      <c r="A3210" s="17"/>
      <c r="C3210" s="9"/>
      <c r="D3210" s="10"/>
      <c r="E3210" s="10"/>
      <c r="F3210" s="9"/>
      <c r="G3210" s="1"/>
      <c r="H3210" s="1"/>
      <c r="I3210" s="1"/>
      <c r="J3210" s="1"/>
    </row>
    <row r="3211" spans="1:10" s="6" customFormat="1">
      <c r="A3211" s="17"/>
      <c r="C3211" s="9"/>
      <c r="D3211" s="10"/>
      <c r="E3211" s="10"/>
      <c r="F3211" s="9"/>
      <c r="G3211" s="1"/>
      <c r="H3211" s="1"/>
      <c r="I3211" s="1"/>
      <c r="J3211" s="1"/>
    </row>
    <row r="3212" spans="1:10" s="6" customFormat="1">
      <c r="A3212" s="17"/>
      <c r="C3212" s="9"/>
      <c r="D3212" s="10"/>
      <c r="E3212" s="10"/>
      <c r="F3212" s="9"/>
      <c r="G3212" s="1"/>
      <c r="H3212" s="1"/>
      <c r="I3212" s="1"/>
      <c r="J3212" s="1"/>
    </row>
    <row r="3213" spans="1:10" s="6" customFormat="1">
      <c r="A3213" s="17"/>
      <c r="C3213" s="9"/>
      <c r="D3213" s="10"/>
      <c r="E3213" s="10"/>
      <c r="F3213" s="9"/>
      <c r="G3213" s="1"/>
      <c r="H3213" s="1"/>
      <c r="I3213" s="1"/>
      <c r="J3213" s="1"/>
    </row>
    <row r="3214" spans="1:10" s="6" customFormat="1">
      <c r="A3214" s="17"/>
      <c r="C3214" s="9"/>
      <c r="D3214" s="10"/>
      <c r="E3214" s="10"/>
      <c r="F3214" s="9"/>
      <c r="G3214" s="1"/>
      <c r="H3214" s="1"/>
      <c r="I3214" s="1"/>
      <c r="J3214" s="1"/>
    </row>
    <row r="3215" spans="1:10" s="6" customFormat="1">
      <c r="A3215" s="17"/>
      <c r="C3215" s="9"/>
      <c r="D3215" s="10"/>
      <c r="E3215" s="10"/>
      <c r="F3215" s="9"/>
      <c r="G3215" s="1"/>
      <c r="H3215" s="1"/>
      <c r="I3215" s="1"/>
      <c r="J3215" s="1"/>
    </row>
    <row r="3216" spans="1:10" s="6" customFormat="1">
      <c r="A3216" s="17"/>
      <c r="C3216" s="9"/>
      <c r="D3216" s="10"/>
      <c r="E3216" s="10"/>
      <c r="F3216" s="9"/>
      <c r="G3216" s="1"/>
      <c r="H3216" s="1"/>
      <c r="I3216" s="1"/>
      <c r="J3216" s="1"/>
    </row>
    <row r="3217" spans="1:10" s="6" customFormat="1">
      <c r="A3217" s="17"/>
      <c r="C3217" s="9"/>
      <c r="D3217" s="10"/>
      <c r="E3217" s="10"/>
      <c r="F3217" s="9"/>
      <c r="G3217" s="1"/>
      <c r="H3217" s="1"/>
      <c r="I3217" s="1"/>
      <c r="J3217" s="1"/>
    </row>
    <row r="3218" spans="1:10" s="6" customFormat="1">
      <c r="A3218" s="17"/>
      <c r="C3218" s="9"/>
      <c r="D3218" s="10"/>
      <c r="E3218" s="10"/>
      <c r="F3218" s="9"/>
      <c r="G3218" s="1"/>
      <c r="H3218" s="1"/>
      <c r="I3218" s="1"/>
      <c r="J3218" s="1"/>
    </row>
    <row r="3219" spans="1:10" s="6" customFormat="1">
      <c r="A3219" s="17"/>
      <c r="C3219" s="9"/>
      <c r="D3219" s="10"/>
      <c r="E3219" s="10"/>
      <c r="F3219" s="9"/>
      <c r="G3219" s="1"/>
      <c r="H3219" s="1"/>
      <c r="I3219" s="1"/>
      <c r="J3219" s="1"/>
    </row>
    <row r="3220" spans="1:10" s="6" customFormat="1">
      <c r="A3220" s="17"/>
      <c r="C3220" s="9"/>
      <c r="D3220" s="10"/>
      <c r="E3220" s="10"/>
      <c r="F3220" s="9"/>
      <c r="G3220" s="1"/>
      <c r="H3220" s="1"/>
      <c r="I3220" s="1"/>
      <c r="J3220" s="1"/>
    </row>
    <row r="3221" spans="1:10" s="6" customFormat="1">
      <c r="A3221" s="17"/>
      <c r="C3221" s="9"/>
      <c r="D3221" s="10"/>
      <c r="E3221" s="10"/>
      <c r="F3221" s="9"/>
      <c r="G3221" s="1"/>
      <c r="H3221" s="1"/>
      <c r="I3221" s="1"/>
      <c r="J3221" s="1"/>
    </row>
    <row r="3222" spans="1:10" s="6" customFormat="1">
      <c r="A3222" s="17"/>
      <c r="C3222" s="9"/>
      <c r="D3222" s="10"/>
      <c r="E3222" s="10"/>
      <c r="F3222" s="9"/>
      <c r="G3222" s="1"/>
      <c r="H3222" s="1"/>
      <c r="I3222" s="1"/>
      <c r="J3222" s="1"/>
    </row>
    <row r="3223" spans="1:10" s="6" customFormat="1">
      <c r="A3223" s="17"/>
      <c r="C3223" s="9"/>
      <c r="D3223" s="10"/>
      <c r="E3223" s="10"/>
      <c r="F3223" s="9"/>
      <c r="G3223" s="1"/>
      <c r="H3223" s="1"/>
      <c r="I3223" s="1"/>
      <c r="J3223" s="1"/>
    </row>
    <row r="3224" spans="1:10" s="6" customFormat="1">
      <c r="A3224" s="17"/>
      <c r="C3224" s="9"/>
      <c r="D3224" s="10"/>
      <c r="E3224" s="10"/>
      <c r="F3224" s="9"/>
      <c r="G3224" s="1"/>
      <c r="H3224" s="1"/>
      <c r="I3224" s="1"/>
      <c r="J3224" s="1"/>
    </row>
    <row r="3225" spans="1:10" s="6" customFormat="1">
      <c r="A3225" s="17"/>
      <c r="C3225" s="9"/>
      <c r="D3225" s="10"/>
      <c r="E3225" s="10"/>
      <c r="F3225" s="9"/>
      <c r="G3225" s="1"/>
      <c r="H3225" s="1"/>
      <c r="I3225" s="1"/>
      <c r="J3225" s="1"/>
    </row>
    <row r="3226" spans="1:10" s="6" customFormat="1">
      <c r="A3226" s="17"/>
      <c r="C3226" s="9"/>
      <c r="D3226" s="10"/>
      <c r="E3226" s="10"/>
      <c r="F3226" s="9"/>
      <c r="G3226" s="1"/>
      <c r="H3226" s="1"/>
      <c r="I3226" s="1"/>
      <c r="J3226" s="1"/>
    </row>
    <row r="3227" spans="1:10" s="6" customFormat="1">
      <c r="A3227" s="17"/>
      <c r="C3227" s="9"/>
      <c r="D3227" s="10"/>
      <c r="E3227" s="10"/>
      <c r="F3227" s="9"/>
      <c r="G3227" s="1"/>
      <c r="H3227" s="1"/>
      <c r="I3227" s="1"/>
      <c r="J3227" s="1"/>
    </row>
    <row r="3228" spans="1:10" s="6" customFormat="1">
      <c r="A3228" s="17"/>
      <c r="C3228" s="9"/>
      <c r="D3228" s="10"/>
      <c r="E3228" s="10"/>
      <c r="F3228" s="9"/>
      <c r="G3228" s="1"/>
      <c r="H3228" s="1"/>
      <c r="I3228" s="1"/>
      <c r="J3228" s="1"/>
    </row>
    <row r="3229" spans="1:10" s="6" customFormat="1">
      <c r="A3229" s="17"/>
      <c r="C3229" s="9"/>
      <c r="D3229" s="10"/>
      <c r="E3229" s="10"/>
      <c r="F3229" s="9"/>
      <c r="G3229" s="1"/>
      <c r="H3229" s="1"/>
      <c r="I3229" s="1"/>
      <c r="J3229" s="1"/>
    </row>
    <row r="3230" spans="1:10" s="6" customFormat="1">
      <c r="A3230" s="17"/>
      <c r="C3230" s="9"/>
      <c r="D3230" s="10"/>
      <c r="E3230" s="10"/>
      <c r="F3230" s="9"/>
      <c r="G3230" s="1"/>
      <c r="H3230" s="1"/>
      <c r="I3230" s="1"/>
      <c r="J3230" s="1"/>
    </row>
    <row r="3231" spans="1:10" s="6" customFormat="1">
      <c r="A3231" s="17"/>
      <c r="C3231" s="9"/>
      <c r="D3231" s="10"/>
      <c r="E3231" s="10"/>
      <c r="F3231" s="9"/>
      <c r="G3231" s="1"/>
      <c r="H3231" s="1"/>
      <c r="I3231" s="1"/>
      <c r="J3231" s="1"/>
    </row>
    <row r="3232" spans="1:10" s="6" customFormat="1">
      <c r="A3232" s="17"/>
      <c r="C3232" s="9"/>
      <c r="D3232" s="10"/>
      <c r="E3232" s="10"/>
      <c r="F3232" s="9"/>
      <c r="G3232" s="1"/>
      <c r="H3232" s="1"/>
      <c r="I3232" s="1"/>
      <c r="J3232" s="1"/>
    </row>
    <row r="3233" spans="1:10" s="6" customFormat="1">
      <c r="A3233" s="17"/>
      <c r="C3233" s="9"/>
      <c r="D3233" s="10"/>
      <c r="E3233" s="10"/>
      <c r="F3233" s="9"/>
      <c r="G3233" s="1"/>
      <c r="H3233" s="1"/>
      <c r="I3233" s="1"/>
      <c r="J3233" s="1"/>
    </row>
    <row r="3234" spans="1:10" s="6" customFormat="1">
      <c r="A3234" s="17"/>
      <c r="C3234" s="9"/>
      <c r="D3234" s="10"/>
      <c r="E3234" s="10"/>
      <c r="F3234" s="9"/>
      <c r="G3234" s="1"/>
      <c r="H3234" s="1"/>
      <c r="I3234" s="1"/>
      <c r="J3234" s="1"/>
    </row>
    <row r="3235" spans="1:10" s="6" customFormat="1">
      <c r="A3235" s="17"/>
      <c r="C3235" s="9"/>
      <c r="D3235" s="10"/>
      <c r="E3235" s="10"/>
      <c r="F3235" s="9"/>
      <c r="G3235" s="1"/>
      <c r="H3235" s="1"/>
      <c r="I3235" s="1"/>
      <c r="J3235" s="1"/>
    </row>
    <row r="3236" spans="1:10" s="6" customFormat="1">
      <c r="A3236" s="17"/>
      <c r="C3236" s="9"/>
      <c r="D3236" s="10"/>
      <c r="E3236" s="10"/>
      <c r="F3236" s="9"/>
      <c r="G3236" s="1"/>
      <c r="H3236" s="1"/>
      <c r="I3236" s="1"/>
      <c r="J3236" s="1"/>
    </row>
    <row r="3237" spans="1:10" s="6" customFormat="1">
      <c r="A3237" s="17"/>
      <c r="C3237" s="9"/>
      <c r="D3237" s="10"/>
      <c r="E3237" s="10"/>
      <c r="F3237" s="9"/>
      <c r="G3237" s="1"/>
      <c r="H3237" s="1"/>
      <c r="I3237" s="1"/>
      <c r="J3237" s="1"/>
    </row>
    <row r="3238" spans="1:10" s="6" customFormat="1">
      <c r="A3238" s="17"/>
      <c r="C3238" s="9"/>
      <c r="D3238" s="10"/>
      <c r="E3238" s="10"/>
      <c r="F3238" s="9"/>
      <c r="G3238" s="1"/>
      <c r="H3238" s="1"/>
      <c r="I3238" s="1"/>
      <c r="J3238" s="1"/>
    </row>
    <row r="3239" spans="1:10" s="6" customFormat="1">
      <c r="A3239" s="17"/>
      <c r="C3239" s="9"/>
      <c r="D3239" s="10"/>
      <c r="E3239" s="10"/>
      <c r="F3239" s="9"/>
      <c r="G3239" s="1"/>
      <c r="H3239" s="1"/>
      <c r="I3239" s="1"/>
      <c r="J3239" s="1"/>
    </row>
    <row r="3240" spans="1:10" s="6" customFormat="1">
      <c r="A3240" s="17"/>
      <c r="C3240" s="9"/>
      <c r="D3240" s="10"/>
      <c r="E3240" s="10"/>
      <c r="F3240" s="9"/>
      <c r="G3240" s="1"/>
      <c r="H3240" s="1"/>
      <c r="I3240" s="1"/>
      <c r="J3240" s="1"/>
    </row>
    <row r="3241" spans="1:10" s="6" customFormat="1">
      <c r="A3241" s="17"/>
      <c r="C3241" s="9"/>
      <c r="D3241" s="10"/>
      <c r="E3241" s="10"/>
      <c r="F3241" s="9"/>
      <c r="G3241" s="1"/>
      <c r="H3241" s="1"/>
      <c r="I3241" s="1"/>
      <c r="J3241" s="1"/>
    </row>
    <row r="3242" spans="1:10" s="6" customFormat="1">
      <c r="A3242" s="17"/>
      <c r="C3242" s="9"/>
      <c r="D3242" s="10"/>
      <c r="E3242" s="10"/>
      <c r="F3242" s="9"/>
      <c r="G3242" s="1"/>
      <c r="H3242" s="1"/>
      <c r="I3242" s="1"/>
      <c r="J3242" s="1"/>
    </row>
    <row r="3243" spans="1:10" s="6" customFormat="1">
      <c r="A3243" s="17"/>
      <c r="C3243" s="9"/>
      <c r="D3243" s="10"/>
      <c r="E3243" s="10"/>
      <c r="F3243" s="9"/>
      <c r="G3243" s="1"/>
      <c r="H3243" s="1"/>
      <c r="I3243" s="1"/>
      <c r="J3243" s="1"/>
    </row>
    <row r="3244" spans="1:10" s="6" customFormat="1">
      <c r="A3244" s="17"/>
      <c r="C3244" s="9"/>
      <c r="D3244" s="10"/>
      <c r="E3244" s="10"/>
      <c r="F3244" s="9"/>
      <c r="G3244" s="1"/>
      <c r="H3244" s="1"/>
      <c r="I3244" s="1"/>
      <c r="J3244" s="1"/>
    </row>
    <row r="3245" spans="1:10" s="6" customFormat="1">
      <c r="A3245" s="17"/>
      <c r="C3245" s="9"/>
      <c r="D3245" s="10"/>
      <c r="E3245" s="10"/>
      <c r="F3245" s="9"/>
      <c r="G3245" s="1"/>
      <c r="H3245" s="1"/>
      <c r="I3245" s="1"/>
      <c r="J3245" s="1"/>
    </row>
    <row r="3246" spans="1:10" s="6" customFormat="1">
      <c r="A3246" s="17"/>
      <c r="C3246" s="9"/>
      <c r="D3246" s="10"/>
      <c r="E3246" s="10"/>
      <c r="F3246" s="9"/>
      <c r="G3246" s="1"/>
      <c r="H3246" s="1"/>
      <c r="I3246" s="1"/>
      <c r="J3246" s="1"/>
    </row>
    <row r="3247" spans="1:10" s="6" customFormat="1">
      <c r="A3247" s="17"/>
      <c r="C3247" s="9"/>
      <c r="D3247" s="10"/>
      <c r="E3247" s="10"/>
      <c r="F3247" s="9"/>
      <c r="G3247" s="1"/>
      <c r="H3247" s="1"/>
      <c r="I3247" s="1"/>
      <c r="J3247" s="1"/>
    </row>
    <row r="3248" spans="1:10" s="6" customFormat="1">
      <c r="A3248" s="17"/>
      <c r="C3248" s="9"/>
      <c r="D3248" s="10"/>
      <c r="E3248" s="10"/>
      <c r="F3248" s="9"/>
      <c r="G3248" s="1"/>
      <c r="H3248" s="1"/>
      <c r="I3248" s="1"/>
      <c r="J3248" s="1"/>
    </row>
    <row r="3249" spans="1:10" s="6" customFormat="1">
      <c r="A3249" s="17"/>
      <c r="C3249" s="9"/>
      <c r="D3249" s="10"/>
      <c r="E3249" s="10"/>
      <c r="F3249" s="9"/>
      <c r="G3249" s="1"/>
      <c r="H3249" s="1"/>
      <c r="I3249" s="1"/>
      <c r="J3249" s="1"/>
    </row>
    <row r="3250" spans="1:10" s="6" customFormat="1">
      <c r="A3250" s="17"/>
      <c r="C3250" s="9"/>
      <c r="D3250" s="10"/>
      <c r="E3250" s="10"/>
      <c r="F3250" s="9"/>
      <c r="G3250" s="1"/>
      <c r="H3250" s="1"/>
      <c r="I3250" s="1"/>
      <c r="J3250" s="1"/>
    </row>
    <row r="3251" spans="1:10" s="6" customFormat="1">
      <c r="A3251" s="17"/>
      <c r="C3251" s="9"/>
      <c r="D3251" s="10"/>
      <c r="E3251" s="10"/>
      <c r="F3251" s="9"/>
      <c r="G3251" s="1"/>
      <c r="H3251" s="1"/>
      <c r="I3251" s="1"/>
      <c r="J3251" s="1"/>
    </row>
    <row r="3252" spans="1:10" s="6" customFormat="1">
      <c r="A3252" s="17"/>
      <c r="C3252" s="9"/>
      <c r="D3252" s="10"/>
      <c r="E3252" s="10"/>
      <c r="F3252" s="9"/>
      <c r="G3252" s="1"/>
      <c r="H3252" s="1"/>
      <c r="I3252" s="1"/>
      <c r="J3252" s="1"/>
    </row>
    <row r="3253" spans="1:10" s="6" customFormat="1">
      <c r="A3253" s="17"/>
      <c r="C3253" s="9"/>
      <c r="D3253" s="10"/>
      <c r="E3253" s="10"/>
      <c r="F3253" s="9"/>
      <c r="G3253" s="1"/>
      <c r="H3253" s="1"/>
      <c r="I3253" s="1"/>
      <c r="J3253" s="1"/>
    </row>
    <row r="3254" spans="1:10" s="6" customFormat="1">
      <c r="A3254" s="17"/>
      <c r="C3254" s="9"/>
      <c r="D3254" s="10"/>
      <c r="E3254" s="10"/>
      <c r="F3254" s="9"/>
      <c r="G3254" s="1"/>
      <c r="H3254" s="1"/>
      <c r="I3254" s="1"/>
      <c r="J3254" s="1"/>
    </row>
    <row r="3255" spans="1:10" s="6" customFormat="1">
      <c r="A3255" s="17"/>
      <c r="C3255" s="9"/>
      <c r="D3255" s="10"/>
      <c r="E3255" s="10"/>
      <c r="F3255" s="9"/>
      <c r="G3255" s="1"/>
      <c r="H3255" s="1"/>
      <c r="I3255" s="1"/>
      <c r="J3255" s="1"/>
    </row>
    <row r="3256" spans="1:10" s="6" customFormat="1">
      <c r="A3256" s="17"/>
      <c r="C3256" s="9"/>
      <c r="D3256" s="10"/>
      <c r="E3256" s="10"/>
      <c r="F3256" s="9"/>
      <c r="G3256" s="1"/>
      <c r="H3256" s="1"/>
      <c r="I3256" s="1"/>
      <c r="J3256" s="1"/>
    </row>
    <row r="3257" spans="1:10" s="6" customFormat="1">
      <c r="A3257" s="17"/>
      <c r="C3257" s="9"/>
      <c r="D3257" s="10"/>
      <c r="E3257" s="10"/>
      <c r="F3257" s="9"/>
      <c r="G3257" s="1"/>
      <c r="H3257" s="1"/>
      <c r="I3257" s="1"/>
      <c r="J3257" s="1"/>
    </row>
    <row r="3258" spans="1:10" s="6" customFormat="1">
      <c r="A3258" s="17"/>
      <c r="C3258" s="9"/>
      <c r="D3258" s="10"/>
      <c r="E3258" s="10"/>
      <c r="F3258" s="9"/>
      <c r="G3258" s="1"/>
      <c r="H3258" s="1"/>
      <c r="I3258" s="1"/>
      <c r="J3258" s="1"/>
    </row>
    <row r="3259" spans="1:10" s="6" customFormat="1">
      <c r="A3259" s="17"/>
      <c r="C3259" s="9"/>
      <c r="D3259" s="10"/>
      <c r="E3259" s="10"/>
      <c r="F3259" s="9"/>
      <c r="G3259" s="1"/>
      <c r="H3259" s="1"/>
      <c r="I3259" s="1"/>
      <c r="J3259" s="1"/>
    </row>
    <row r="3260" spans="1:10" s="6" customFormat="1">
      <c r="A3260" s="17"/>
      <c r="C3260" s="9"/>
      <c r="D3260" s="10"/>
      <c r="E3260" s="10"/>
      <c r="F3260" s="9"/>
      <c r="G3260" s="1"/>
      <c r="H3260" s="1"/>
      <c r="I3260" s="1"/>
      <c r="J3260" s="1"/>
    </row>
    <row r="3261" spans="1:10" s="6" customFormat="1">
      <c r="A3261" s="17"/>
      <c r="C3261" s="9"/>
      <c r="D3261" s="10"/>
      <c r="E3261" s="10"/>
      <c r="F3261" s="9"/>
      <c r="G3261" s="1"/>
      <c r="H3261" s="1"/>
      <c r="I3261" s="1"/>
      <c r="J3261" s="1"/>
    </row>
    <row r="3262" spans="1:10" s="6" customFormat="1">
      <c r="A3262" s="17"/>
      <c r="C3262" s="9"/>
      <c r="D3262" s="10"/>
      <c r="E3262" s="10"/>
      <c r="F3262" s="9"/>
      <c r="G3262" s="1"/>
      <c r="H3262" s="1"/>
      <c r="I3262" s="1"/>
      <c r="J3262" s="1"/>
    </row>
    <row r="3263" spans="1:10" s="6" customFormat="1">
      <c r="A3263" s="17"/>
      <c r="C3263" s="9"/>
      <c r="D3263" s="10"/>
      <c r="E3263" s="10"/>
      <c r="F3263" s="9"/>
      <c r="G3263" s="1"/>
      <c r="H3263" s="1"/>
      <c r="I3263" s="1"/>
      <c r="J3263" s="1"/>
    </row>
    <row r="3264" spans="1:10" s="6" customFormat="1">
      <c r="A3264" s="17"/>
      <c r="C3264" s="9"/>
      <c r="D3264" s="10"/>
      <c r="E3264" s="10"/>
      <c r="F3264" s="9"/>
      <c r="G3264" s="1"/>
      <c r="H3264" s="1"/>
      <c r="I3264" s="1"/>
      <c r="J3264" s="1"/>
    </row>
    <row r="3265" spans="1:10" s="6" customFormat="1">
      <c r="A3265" s="17"/>
      <c r="C3265" s="9"/>
      <c r="D3265" s="10"/>
      <c r="E3265" s="10"/>
      <c r="F3265" s="9"/>
      <c r="G3265" s="1"/>
      <c r="H3265" s="1"/>
      <c r="I3265" s="1"/>
      <c r="J3265" s="1"/>
    </row>
    <row r="3266" spans="1:10" s="6" customFormat="1">
      <c r="A3266" s="17"/>
      <c r="C3266" s="9"/>
      <c r="D3266" s="10"/>
      <c r="E3266" s="10"/>
      <c r="F3266" s="9"/>
      <c r="G3266" s="1"/>
      <c r="H3266" s="1"/>
      <c r="I3266" s="1"/>
      <c r="J3266" s="1"/>
    </row>
    <row r="3267" spans="1:10" s="6" customFormat="1">
      <c r="A3267" s="17"/>
      <c r="C3267" s="9"/>
      <c r="D3267" s="10"/>
      <c r="E3267" s="10"/>
      <c r="F3267" s="9"/>
      <c r="G3267" s="1"/>
      <c r="H3267" s="1"/>
      <c r="I3267" s="1"/>
      <c r="J3267" s="1"/>
    </row>
    <row r="3268" spans="1:10" s="6" customFormat="1">
      <c r="A3268" s="17"/>
      <c r="C3268" s="9"/>
      <c r="D3268" s="10"/>
      <c r="E3268" s="10"/>
      <c r="F3268" s="9"/>
      <c r="G3268" s="1"/>
      <c r="H3268" s="1"/>
      <c r="I3268" s="1"/>
      <c r="J3268" s="1"/>
    </row>
    <row r="3269" spans="1:10" s="6" customFormat="1">
      <c r="A3269" s="17"/>
      <c r="C3269" s="9"/>
      <c r="D3269" s="10"/>
      <c r="E3269" s="10"/>
      <c r="F3269" s="9"/>
      <c r="G3269" s="1"/>
      <c r="H3269" s="1"/>
      <c r="I3269" s="1"/>
      <c r="J3269" s="1"/>
    </row>
    <row r="3270" spans="1:10" s="6" customFormat="1">
      <c r="A3270" s="17"/>
      <c r="C3270" s="9"/>
      <c r="D3270" s="10"/>
      <c r="E3270" s="10"/>
      <c r="F3270" s="9"/>
      <c r="G3270" s="1"/>
      <c r="H3270" s="1"/>
      <c r="I3270" s="1"/>
      <c r="J3270" s="1"/>
    </row>
    <row r="3271" spans="1:10" s="6" customFormat="1">
      <c r="A3271" s="17"/>
      <c r="C3271" s="9"/>
      <c r="D3271" s="10"/>
      <c r="E3271" s="10"/>
      <c r="F3271" s="9"/>
      <c r="G3271" s="1"/>
      <c r="H3271" s="1"/>
      <c r="I3271" s="1"/>
      <c r="J3271" s="1"/>
    </row>
    <row r="3272" spans="1:10" s="6" customFormat="1">
      <c r="A3272" s="17"/>
      <c r="C3272" s="9"/>
      <c r="D3272" s="10"/>
      <c r="E3272" s="10"/>
      <c r="F3272" s="9"/>
      <c r="G3272" s="1"/>
      <c r="H3272" s="1"/>
      <c r="I3272" s="1"/>
      <c r="J3272" s="1"/>
    </row>
    <row r="3273" spans="1:10" s="6" customFormat="1">
      <c r="A3273" s="17"/>
      <c r="C3273" s="9"/>
      <c r="D3273" s="10"/>
      <c r="E3273" s="10"/>
      <c r="F3273" s="9"/>
      <c r="G3273" s="1"/>
      <c r="H3273" s="1"/>
      <c r="I3273" s="1"/>
      <c r="J3273" s="1"/>
    </row>
    <row r="3274" spans="1:10" s="6" customFormat="1">
      <c r="A3274" s="17"/>
      <c r="C3274" s="9"/>
      <c r="D3274" s="10"/>
      <c r="E3274" s="10"/>
      <c r="F3274" s="9"/>
      <c r="G3274" s="1"/>
      <c r="H3274" s="1"/>
      <c r="I3274" s="1"/>
      <c r="J3274" s="1"/>
    </row>
    <row r="3275" spans="1:10" s="6" customFormat="1">
      <c r="A3275" s="17"/>
      <c r="C3275" s="9"/>
      <c r="D3275" s="10"/>
      <c r="E3275" s="10"/>
      <c r="F3275" s="9"/>
      <c r="G3275" s="1"/>
      <c r="H3275" s="1"/>
      <c r="I3275" s="1"/>
      <c r="J3275" s="1"/>
    </row>
    <row r="3276" spans="1:10" s="6" customFormat="1">
      <c r="A3276" s="17"/>
      <c r="C3276" s="9"/>
      <c r="D3276" s="10"/>
      <c r="E3276" s="10"/>
      <c r="F3276" s="9"/>
      <c r="G3276" s="1"/>
      <c r="H3276" s="1"/>
      <c r="I3276" s="1"/>
      <c r="J3276" s="1"/>
    </row>
    <row r="3277" spans="1:10" s="6" customFormat="1">
      <c r="A3277" s="17"/>
      <c r="C3277" s="9"/>
      <c r="D3277" s="10"/>
      <c r="E3277" s="10"/>
      <c r="F3277" s="9"/>
      <c r="G3277" s="1"/>
      <c r="H3277" s="1"/>
      <c r="I3277" s="1"/>
      <c r="J3277" s="1"/>
    </row>
    <row r="3278" spans="1:10" s="6" customFormat="1">
      <c r="A3278" s="17"/>
      <c r="C3278" s="9"/>
      <c r="D3278" s="10"/>
      <c r="E3278" s="10"/>
      <c r="F3278" s="9"/>
      <c r="G3278" s="1"/>
      <c r="H3278" s="1"/>
      <c r="I3278" s="1"/>
      <c r="J3278" s="1"/>
    </row>
    <row r="3279" spans="1:10" s="6" customFormat="1">
      <c r="A3279" s="17"/>
      <c r="C3279" s="9"/>
      <c r="D3279" s="10"/>
      <c r="E3279" s="10"/>
      <c r="F3279" s="9"/>
      <c r="G3279" s="1"/>
      <c r="H3279" s="1"/>
      <c r="I3279" s="1"/>
      <c r="J3279" s="1"/>
    </row>
    <row r="3280" spans="1:10" s="6" customFormat="1">
      <c r="A3280" s="17"/>
      <c r="C3280" s="9"/>
      <c r="D3280" s="10"/>
      <c r="E3280" s="10"/>
      <c r="F3280" s="9"/>
      <c r="G3280" s="1"/>
      <c r="H3280" s="1"/>
      <c r="I3280" s="1"/>
      <c r="J3280" s="1"/>
    </row>
    <row r="3281" spans="1:10" s="6" customFormat="1">
      <c r="A3281" s="17"/>
      <c r="C3281" s="9"/>
      <c r="D3281" s="10"/>
      <c r="E3281" s="10"/>
      <c r="F3281" s="9"/>
      <c r="G3281" s="1"/>
      <c r="H3281" s="1"/>
      <c r="I3281" s="1"/>
      <c r="J3281" s="1"/>
    </row>
    <row r="3282" spans="1:10" s="6" customFormat="1">
      <c r="A3282" s="17"/>
      <c r="C3282" s="9"/>
      <c r="D3282" s="10"/>
      <c r="E3282" s="10"/>
      <c r="F3282" s="9"/>
      <c r="G3282" s="1"/>
      <c r="H3282" s="1"/>
      <c r="I3282" s="1"/>
      <c r="J3282" s="1"/>
    </row>
    <row r="3283" spans="1:10" s="6" customFormat="1">
      <c r="A3283" s="17"/>
      <c r="C3283" s="9"/>
      <c r="D3283" s="10"/>
      <c r="E3283" s="10"/>
      <c r="F3283" s="9"/>
      <c r="G3283" s="1"/>
      <c r="H3283" s="1"/>
      <c r="I3283" s="1"/>
      <c r="J3283" s="1"/>
    </row>
    <row r="3284" spans="1:10" s="6" customFormat="1">
      <c r="A3284" s="17"/>
      <c r="C3284" s="9"/>
      <c r="D3284" s="10"/>
      <c r="E3284" s="10"/>
      <c r="F3284" s="9"/>
      <c r="G3284" s="1"/>
      <c r="H3284" s="1"/>
      <c r="I3284" s="1"/>
      <c r="J3284" s="1"/>
    </row>
    <row r="3285" spans="1:10" s="6" customFormat="1">
      <c r="A3285" s="17"/>
      <c r="C3285" s="9"/>
      <c r="D3285" s="10"/>
      <c r="E3285" s="10"/>
      <c r="F3285" s="9"/>
      <c r="G3285" s="1"/>
      <c r="H3285" s="1"/>
      <c r="I3285" s="1"/>
      <c r="J3285" s="1"/>
    </row>
    <row r="3286" spans="1:10" s="6" customFormat="1">
      <c r="A3286" s="17"/>
      <c r="C3286" s="9"/>
      <c r="D3286" s="10"/>
      <c r="E3286" s="10"/>
      <c r="F3286" s="9"/>
      <c r="G3286" s="1"/>
      <c r="H3286" s="1"/>
      <c r="I3286" s="1"/>
      <c r="J3286" s="1"/>
    </row>
    <row r="3287" spans="1:10" s="6" customFormat="1">
      <c r="A3287" s="17"/>
      <c r="C3287" s="9"/>
      <c r="D3287" s="10"/>
      <c r="E3287" s="10"/>
      <c r="F3287" s="9"/>
      <c r="G3287" s="1"/>
      <c r="H3287" s="1"/>
      <c r="I3287" s="1"/>
      <c r="J3287" s="1"/>
    </row>
    <row r="3288" spans="1:10" s="6" customFormat="1">
      <c r="A3288" s="17"/>
      <c r="C3288" s="9"/>
      <c r="D3288" s="10"/>
      <c r="E3288" s="10"/>
      <c r="F3288" s="9"/>
      <c r="G3288" s="1"/>
      <c r="H3288" s="1"/>
      <c r="I3288" s="1"/>
      <c r="J3288" s="1"/>
    </row>
    <row r="3289" spans="1:10" s="6" customFormat="1">
      <c r="A3289" s="17"/>
      <c r="C3289" s="9"/>
      <c r="D3289" s="10"/>
      <c r="E3289" s="10"/>
      <c r="F3289" s="9"/>
      <c r="G3289" s="1"/>
      <c r="H3289" s="1"/>
      <c r="I3289" s="1"/>
      <c r="J3289" s="1"/>
    </row>
    <row r="3290" spans="1:10" s="6" customFormat="1">
      <c r="A3290" s="17"/>
      <c r="C3290" s="9"/>
      <c r="D3290" s="10"/>
      <c r="E3290" s="10"/>
      <c r="F3290" s="9"/>
      <c r="G3290" s="1"/>
      <c r="H3290" s="1"/>
      <c r="I3290" s="1"/>
      <c r="J3290" s="1"/>
    </row>
    <row r="3291" spans="1:10" s="6" customFormat="1">
      <c r="A3291" s="17"/>
      <c r="C3291" s="9"/>
      <c r="D3291" s="10"/>
      <c r="E3291" s="10"/>
      <c r="F3291" s="9"/>
      <c r="G3291" s="1"/>
      <c r="H3291" s="1"/>
      <c r="I3291" s="1"/>
      <c r="J3291" s="1"/>
    </row>
    <row r="3292" spans="1:10" s="6" customFormat="1">
      <c r="A3292" s="17"/>
      <c r="C3292" s="9"/>
      <c r="D3292" s="10"/>
      <c r="E3292" s="10"/>
      <c r="F3292" s="9"/>
      <c r="G3292" s="1"/>
      <c r="H3292" s="1"/>
      <c r="I3292" s="1"/>
      <c r="J3292" s="1"/>
    </row>
    <row r="3293" spans="1:10" s="6" customFormat="1">
      <c r="A3293" s="17"/>
      <c r="C3293" s="9"/>
      <c r="D3293" s="10"/>
      <c r="E3293" s="10"/>
      <c r="F3293" s="9"/>
      <c r="G3293" s="1"/>
      <c r="H3293" s="1"/>
      <c r="I3293" s="1"/>
      <c r="J3293" s="1"/>
    </row>
    <row r="3294" spans="1:10" s="6" customFormat="1">
      <c r="A3294" s="17"/>
      <c r="C3294" s="9"/>
      <c r="D3294" s="10"/>
      <c r="E3294" s="10"/>
      <c r="F3294" s="9"/>
      <c r="G3294" s="1"/>
      <c r="H3294" s="1"/>
      <c r="I3294" s="1"/>
      <c r="J3294" s="1"/>
    </row>
    <row r="3295" spans="1:10" s="6" customFormat="1">
      <c r="A3295" s="17"/>
      <c r="C3295" s="9"/>
      <c r="D3295" s="10"/>
      <c r="E3295" s="10"/>
      <c r="F3295" s="9"/>
      <c r="G3295" s="1"/>
      <c r="H3295" s="1"/>
      <c r="I3295" s="1"/>
      <c r="J3295" s="1"/>
    </row>
    <row r="3296" spans="1:10" s="6" customFormat="1">
      <c r="A3296" s="17"/>
      <c r="C3296" s="9"/>
      <c r="D3296" s="10"/>
      <c r="E3296" s="10"/>
      <c r="F3296" s="9"/>
      <c r="G3296" s="1"/>
      <c r="H3296" s="1"/>
      <c r="I3296" s="1"/>
      <c r="J3296" s="1"/>
    </row>
    <row r="3297" spans="1:10" s="6" customFormat="1">
      <c r="A3297" s="17"/>
      <c r="C3297" s="9"/>
      <c r="D3297" s="10"/>
      <c r="E3297" s="10"/>
      <c r="F3297" s="9"/>
      <c r="G3297" s="1"/>
      <c r="H3297" s="1"/>
      <c r="I3297" s="1"/>
      <c r="J3297" s="1"/>
    </row>
    <row r="3298" spans="1:10" s="6" customFormat="1">
      <c r="A3298" s="17"/>
      <c r="C3298" s="9"/>
      <c r="D3298" s="10"/>
      <c r="E3298" s="10"/>
      <c r="F3298" s="9"/>
      <c r="G3298" s="1"/>
      <c r="H3298" s="1"/>
      <c r="I3298" s="1"/>
      <c r="J3298" s="1"/>
    </row>
    <row r="3299" spans="1:10" s="6" customFormat="1">
      <c r="A3299" s="17"/>
      <c r="C3299" s="9"/>
      <c r="D3299" s="10"/>
      <c r="E3299" s="10"/>
      <c r="F3299" s="9"/>
      <c r="G3299" s="1"/>
      <c r="H3299" s="1"/>
      <c r="I3299" s="1"/>
      <c r="J3299" s="1"/>
    </row>
    <row r="3300" spans="1:10" s="6" customFormat="1">
      <c r="A3300" s="17"/>
      <c r="C3300" s="9"/>
      <c r="D3300" s="10"/>
      <c r="E3300" s="10"/>
      <c r="F3300" s="9"/>
      <c r="G3300" s="1"/>
      <c r="H3300" s="1"/>
      <c r="I3300" s="1"/>
      <c r="J3300" s="1"/>
    </row>
    <row r="3301" spans="1:10" s="6" customFormat="1">
      <c r="A3301" s="17"/>
      <c r="C3301" s="9"/>
      <c r="D3301" s="10"/>
      <c r="E3301" s="10"/>
      <c r="F3301" s="9"/>
      <c r="G3301" s="1"/>
      <c r="H3301" s="1"/>
      <c r="I3301" s="1"/>
      <c r="J3301" s="1"/>
    </row>
    <row r="3302" spans="1:10" s="6" customFormat="1">
      <c r="A3302" s="17"/>
      <c r="C3302" s="9"/>
      <c r="D3302" s="10"/>
      <c r="E3302" s="10"/>
      <c r="F3302" s="9"/>
      <c r="G3302" s="1"/>
      <c r="H3302" s="1"/>
      <c r="I3302" s="1"/>
      <c r="J3302" s="1"/>
    </row>
    <row r="3303" spans="1:10" s="6" customFormat="1">
      <c r="A3303" s="17"/>
      <c r="C3303" s="9"/>
      <c r="D3303" s="10"/>
      <c r="E3303" s="10"/>
      <c r="F3303" s="9"/>
      <c r="G3303" s="1"/>
      <c r="H3303" s="1"/>
      <c r="I3303" s="1"/>
      <c r="J3303" s="1"/>
    </row>
    <row r="3304" spans="1:10" s="6" customFormat="1">
      <c r="A3304" s="17"/>
      <c r="C3304" s="9"/>
      <c r="D3304" s="10"/>
      <c r="E3304" s="10"/>
      <c r="F3304" s="9"/>
      <c r="G3304" s="1"/>
      <c r="H3304" s="1"/>
      <c r="I3304" s="1"/>
      <c r="J3304" s="1"/>
    </row>
    <row r="3305" spans="1:10" s="6" customFormat="1">
      <c r="A3305" s="17"/>
      <c r="C3305" s="9"/>
      <c r="D3305" s="10"/>
      <c r="E3305" s="10"/>
      <c r="F3305" s="9"/>
      <c r="G3305" s="1"/>
      <c r="H3305" s="1"/>
      <c r="I3305" s="1"/>
      <c r="J3305" s="1"/>
    </row>
    <row r="3306" spans="1:10" s="6" customFormat="1">
      <c r="A3306" s="17"/>
      <c r="C3306" s="9"/>
      <c r="D3306" s="10"/>
      <c r="E3306" s="10"/>
      <c r="F3306" s="9"/>
      <c r="G3306" s="1"/>
      <c r="H3306" s="1"/>
      <c r="I3306" s="1"/>
      <c r="J3306" s="1"/>
    </row>
    <row r="3307" spans="1:10" s="6" customFormat="1">
      <c r="A3307" s="17"/>
      <c r="C3307" s="9"/>
      <c r="D3307" s="10"/>
      <c r="E3307" s="10"/>
      <c r="F3307" s="9"/>
      <c r="G3307" s="1"/>
      <c r="H3307" s="1"/>
      <c r="I3307" s="1"/>
      <c r="J3307" s="1"/>
    </row>
    <row r="3308" spans="1:10" s="6" customFormat="1">
      <c r="A3308" s="17"/>
      <c r="C3308" s="9"/>
      <c r="D3308" s="10"/>
      <c r="E3308" s="10"/>
      <c r="F3308" s="9"/>
      <c r="G3308" s="1"/>
      <c r="H3308" s="1"/>
      <c r="I3308" s="1"/>
      <c r="J3308" s="1"/>
    </row>
    <row r="3309" spans="1:10" s="6" customFormat="1">
      <c r="A3309" s="17"/>
      <c r="C3309" s="9"/>
      <c r="D3309" s="10"/>
      <c r="E3309" s="10"/>
      <c r="F3309" s="9"/>
      <c r="G3309" s="1"/>
      <c r="H3309" s="1"/>
      <c r="I3309" s="1"/>
      <c r="J3309" s="1"/>
    </row>
    <row r="3310" spans="1:10" s="6" customFormat="1">
      <c r="A3310" s="17"/>
      <c r="C3310" s="9"/>
      <c r="D3310" s="10"/>
      <c r="E3310" s="10"/>
      <c r="F3310" s="9"/>
      <c r="G3310" s="1"/>
      <c r="H3310" s="1"/>
      <c r="I3310" s="1"/>
      <c r="J3310" s="1"/>
    </row>
    <row r="3311" spans="1:10" s="6" customFormat="1">
      <c r="A3311" s="17"/>
      <c r="C3311" s="9"/>
      <c r="D3311" s="10"/>
      <c r="E3311" s="10"/>
      <c r="F3311" s="9"/>
      <c r="G3311" s="1"/>
      <c r="H3311" s="1"/>
      <c r="I3311" s="1"/>
      <c r="J3311" s="1"/>
    </row>
    <row r="3312" spans="1:10" s="6" customFormat="1">
      <c r="A3312" s="17"/>
      <c r="C3312" s="9"/>
      <c r="D3312" s="10"/>
      <c r="E3312" s="10"/>
      <c r="F3312" s="9"/>
      <c r="G3312" s="1"/>
      <c r="H3312" s="1"/>
      <c r="I3312" s="1"/>
      <c r="J3312" s="1"/>
    </row>
    <row r="3313" spans="1:10" s="6" customFormat="1">
      <c r="A3313" s="17"/>
      <c r="C3313" s="9"/>
      <c r="D3313" s="10"/>
      <c r="E3313" s="10"/>
      <c r="F3313" s="9"/>
      <c r="G3313" s="1"/>
      <c r="H3313" s="1"/>
      <c r="I3313" s="1"/>
      <c r="J3313" s="1"/>
    </row>
    <row r="3314" spans="1:10" s="6" customFormat="1">
      <c r="A3314" s="17"/>
      <c r="C3314" s="9"/>
      <c r="D3314" s="10"/>
      <c r="E3314" s="10"/>
      <c r="F3314" s="9"/>
      <c r="G3314" s="1"/>
      <c r="H3314" s="1"/>
      <c r="I3314" s="1"/>
      <c r="J3314" s="1"/>
    </row>
    <row r="3315" spans="1:10" s="6" customFormat="1">
      <c r="A3315" s="17"/>
      <c r="C3315" s="9"/>
      <c r="D3315" s="10"/>
      <c r="E3315" s="10"/>
      <c r="F3315" s="9"/>
      <c r="G3315" s="1"/>
      <c r="H3315" s="1"/>
      <c r="I3315" s="1"/>
      <c r="J3315" s="1"/>
    </row>
    <row r="3316" spans="1:10" s="6" customFormat="1">
      <c r="A3316" s="17"/>
      <c r="C3316" s="9"/>
      <c r="D3316" s="10"/>
      <c r="E3316" s="10"/>
      <c r="F3316" s="9"/>
      <c r="G3316" s="1"/>
      <c r="H3316" s="1"/>
      <c r="I3316" s="1"/>
      <c r="J3316" s="1"/>
    </row>
    <row r="3317" spans="1:10" s="6" customFormat="1">
      <c r="A3317" s="17"/>
      <c r="C3317" s="9"/>
      <c r="D3317" s="10"/>
      <c r="E3317" s="10"/>
      <c r="F3317" s="9"/>
      <c r="G3317" s="1"/>
      <c r="H3317" s="1"/>
      <c r="I3317" s="1"/>
      <c r="J3317" s="1"/>
    </row>
    <row r="3318" spans="1:10" s="6" customFormat="1">
      <c r="A3318" s="17"/>
      <c r="C3318" s="9"/>
      <c r="D3318" s="10"/>
      <c r="E3318" s="10"/>
      <c r="F3318" s="9"/>
      <c r="G3318" s="1"/>
      <c r="H3318" s="1"/>
      <c r="I3318" s="1"/>
      <c r="J3318" s="1"/>
    </row>
    <row r="3319" spans="1:10" s="6" customFormat="1">
      <c r="A3319" s="17"/>
      <c r="C3319" s="9"/>
      <c r="D3319" s="10"/>
      <c r="E3319" s="10"/>
      <c r="F3319" s="9"/>
      <c r="G3319" s="1"/>
      <c r="H3319" s="1"/>
      <c r="I3319" s="1"/>
      <c r="J3319" s="1"/>
    </row>
    <row r="3320" spans="1:10" s="6" customFormat="1">
      <c r="A3320" s="17"/>
      <c r="C3320" s="9"/>
      <c r="D3320" s="10"/>
      <c r="E3320" s="10"/>
      <c r="F3320" s="9"/>
      <c r="G3320" s="1"/>
      <c r="H3320" s="1"/>
      <c r="I3320" s="1"/>
      <c r="J3320" s="1"/>
    </row>
    <row r="3321" spans="1:10" s="6" customFormat="1">
      <c r="A3321" s="17"/>
      <c r="C3321" s="9"/>
      <c r="D3321" s="10"/>
      <c r="E3321" s="10"/>
      <c r="F3321" s="9"/>
      <c r="G3321" s="1"/>
      <c r="H3321" s="1"/>
      <c r="I3321" s="1"/>
      <c r="J3321" s="1"/>
    </row>
    <row r="3322" spans="1:10" s="6" customFormat="1">
      <c r="A3322" s="17"/>
      <c r="C3322" s="9"/>
      <c r="D3322" s="10"/>
      <c r="E3322" s="10"/>
      <c r="F3322" s="9"/>
      <c r="G3322" s="1"/>
      <c r="H3322" s="1"/>
      <c r="I3322" s="1"/>
      <c r="J3322" s="1"/>
    </row>
    <row r="3323" spans="1:10" s="6" customFormat="1">
      <c r="A3323" s="17"/>
      <c r="C3323" s="9"/>
      <c r="D3323" s="10"/>
      <c r="E3323" s="10"/>
      <c r="F3323" s="9"/>
      <c r="G3323" s="1"/>
      <c r="H3323" s="1"/>
      <c r="I3323" s="1"/>
      <c r="J3323" s="1"/>
    </row>
    <row r="3324" spans="1:10" s="6" customFormat="1">
      <c r="A3324" s="17"/>
      <c r="C3324" s="9"/>
      <c r="D3324" s="10"/>
      <c r="E3324" s="10"/>
      <c r="F3324" s="9"/>
      <c r="G3324" s="1"/>
      <c r="H3324" s="1"/>
      <c r="I3324" s="1"/>
      <c r="J3324" s="1"/>
    </row>
    <row r="3325" spans="1:10" s="6" customFormat="1">
      <c r="A3325" s="17"/>
      <c r="C3325" s="9"/>
      <c r="D3325" s="10"/>
      <c r="E3325" s="10"/>
      <c r="F3325" s="9"/>
      <c r="G3325" s="1"/>
      <c r="H3325" s="1"/>
      <c r="I3325" s="1"/>
      <c r="J3325" s="1"/>
    </row>
    <row r="3326" spans="1:10" s="6" customFormat="1">
      <c r="A3326" s="17"/>
      <c r="C3326" s="9"/>
      <c r="D3326" s="10"/>
      <c r="E3326" s="10"/>
      <c r="F3326" s="9"/>
      <c r="G3326" s="1"/>
      <c r="H3326" s="1"/>
      <c r="I3326" s="1"/>
      <c r="J3326" s="1"/>
    </row>
    <row r="3327" spans="1:10" s="6" customFormat="1">
      <c r="A3327" s="17"/>
      <c r="C3327" s="9"/>
      <c r="D3327" s="10"/>
      <c r="E3327" s="10"/>
      <c r="F3327" s="9"/>
      <c r="G3327" s="1"/>
      <c r="H3327" s="1"/>
      <c r="I3327" s="1"/>
      <c r="J3327" s="1"/>
    </row>
    <row r="3328" spans="1:10" s="6" customFormat="1">
      <c r="A3328" s="17"/>
      <c r="C3328" s="9"/>
      <c r="D3328" s="10"/>
      <c r="E3328" s="10"/>
      <c r="F3328" s="9"/>
      <c r="G3328" s="1"/>
      <c r="H3328" s="1"/>
      <c r="I3328" s="1"/>
      <c r="J3328" s="1"/>
    </row>
    <row r="3329" spans="1:10" s="6" customFormat="1">
      <c r="A3329" s="17"/>
      <c r="C3329" s="9"/>
      <c r="D3329" s="10"/>
      <c r="E3329" s="10"/>
      <c r="F3329" s="9"/>
      <c r="G3329" s="1"/>
      <c r="H3329" s="1"/>
      <c r="I3329" s="1"/>
      <c r="J3329" s="1"/>
    </row>
    <row r="3330" spans="1:10" s="6" customFormat="1">
      <c r="A3330" s="17"/>
      <c r="C3330" s="9"/>
      <c r="D3330" s="10"/>
      <c r="E3330" s="10"/>
      <c r="F3330" s="9"/>
      <c r="G3330" s="1"/>
      <c r="H3330" s="1"/>
      <c r="I3330" s="1"/>
      <c r="J3330" s="1"/>
    </row>
    <row r="3331" spans="1:10" s="6" customFormat="1">
      <c r="A3331" s="17"/>
      <c r="C3331" s="9"/>
      <c r="D3331" s="10"/>
      <c r="E3331" s="10"/>
      <c r="F3331" s="9"/>
      <c r="G3331" s="1"/>
      <c r="H3331" s="1"/>
      <c r="I3331" s="1"/>
      <c r="J3331" s="1"/>
    </row>
    <row r="3332" spans="1:10" s="6" customFormat="1">
      <c r="A3332" s="17"/>
      <c r="C3332" s="9"/>
      <c r="D3332" s="10"/>
      <c r="E3332" s="10"/>
      <c r="F3332" s="9"/>
      <c r="G3332" s="1"/>
      <c r="H3332" s="1"/>
      <c r="I3332" s="1"/>
      <c r="J3332" s="1"/>
    </row>
    <row r="3333" spans="1:10" s="6" customFormat="1">
      <c r="A3333" s="17"/>
      <c r="C3333" s="9"/>
      <c r="D3333" s="10"/>
      <c r="E3333" s="10"/>
      <c r="F3333" s="9"/>
      <c r="G3333" s="1"/>
      <c r="H3333" s="1"/>
      <c r="I3333" s="1"/>
      <c r="J3333" s="1"/>
    </row>
    <row r="3334" spans="1:10" s="6" customFormat="1">
      <c r="A3334" s="17"/>
      <c r="C3334" s="9"/>
      <c r="D3334" s="10"/>
      <c r="E3334" s="10"/>
      <c r="F3334" s="9"/>
      <c r="G3334" s="1"/>
      <c r="H3334" s="1"/>
      <c r="I3334" s="1"/>
      <c r="J3334" s="1"/>
    </row>
    <row r="3335" spans="1:10" s="6" customFormat="1">
      <c r="A3335" s="17"/>
      <c r="C3335" s="9"/>
      <c r="D3335" s="10"/>
      <c r="E3335" s="10"/>
      <c r="F3335" s="9"/>
      <c r="G3335" s="1"/>
      <c r="H3335" s="1"/>
      <c r="I3335" s="1"/>
      <c r="J3335" s="1"/>
    </row>
    <row r="3336" spans="1:10" s="6" customFormat="1">
      <c r="A3336" s="17"/>
      <c r="C3336" s="9"/>
      <c r="D3336" s="10"/>
      <c r="E3336" s="10"/>
      <c r="F3336" s="9"/>
      <c r="G3336" s="1"/>
      <c r="H3336" s="1"/>
      <c r="I3336" s="1"/>
      <c r="J3336" s="1"/>
    </row>
    <row r="3337" spans="1:10" s="6" customFormat="1">
      <c r="A3337" s="17"/>
      <c r="C3337" s="9"/>
      <c r="D3337" s="10"/>
      <c r="E3337" s="10"/>
      <c r="F3337" s="9"/>
      <c r="G3337" s="1"/>
      <c r="H3337" s="1"/>
      <c r="I3337" s="1"/>
      <c r="J3337" s="1"/>
    </row>
    <row r="3338" spans="1:10" s="6" customFormat="1">
      <c r="A3338" s="17"/>
      <c r="C3338" s="9"/>
      <c r="D3338" s="10"/>
      <c r="E3338" s="10"/>
      <c r="F3338" s="9"/>
      <c r="G3338" s="1"/>
      <c r="H3338" s="1"/>
      <c r="I3338" s="1"/>
      <c r="J3338" s="1"/>
    </row>
    <row r="3339" spans="1:10" s="6" customFormat="1">
      <c r="A3339" s="17"/>
      <c r="C3339" s="9"/>
      <c r="D3339" s="10"/>
      <c r="E3339" s="10"/>
      <c r="F3339" s="9"/>
      <c r="G3339" s="1"/>
      <c r="H3339" s="1"/>
      <c r="I3339" s="1"/>
      <c r="J3339" s="1"/>
    </row>
    <row r="3340" spans="1:10" s="6" customFormat="1">
      <c r="A3340" s="17"/>
      <c r="C3340" s="9"/>
      <c r="D3340" s="10"/>
      <c r="E3340" s="10"/>
      <c r="F3340" s="9"/>
      <c r="G3340" s="1"/>
      <c r="H3340" s="1"/>
      <c r="I3340" s="1"/>
      <c r="J3340" s="1"/>
    </row>
    <row r="3341" spans="1:10" s="6" customFormat="1">
      <c r="A3341" s="17"/>
      <c r="C3341" s="9"/>
      <c r="D3341" s="10"/>
      <c r="E3341" s="10"/>
      <c r="F3341" s="9"/>
      <c r="G3341" s="1"/>
      <c r="H3341" s="1"/>
      <c r="I3341" s="1"/>
      <c r="J3341" s="1"/>
    </row>
    <row r="3342" spans="1:10" s="6" customFormat="1">
      <c r="A3342" s="17"/>
      <c r="C3342" s="9"/>
      <c r="D3342" s="10"/>
      <c r="E3342" s="10"/>
      <c r="F3342" s="9"/>
      <c r="G3342" s="1"/>
      <c r="H3342" s="1"/>
      <c r="I3342" s="1"/>
      <c r="J3342" s="1"/>
    </row>
    <row r="3343" spans="1:10" s="6" customFormat="1">
      <c r="A3343" s="17"/>
      <c r="C3343" s="9"/>
      <c r="D3343" s="10"/>
      <c r="E3343" s="10"/>
      <c r="F3343" s="9"/>
      <c r="G3343" s="1"/>
      <c r="H3343" s="1"/>
      <c r="I3343" s="1"/>
      <c r="J3343" s="1"/>
    </row>
    <row r="3344" spans="1:10" s="6" customFormat="1">
      <c r="A3344" s="17"/>
      <c r="C3344" s="9"/>
      <c r="D3344" s="10"/>
      <c r="E3344" s="10"/>
      <c r="F3344" s="9"/>
      <c r="G3344" s="1"/>
      <c r="H3344" s="1"/>
      <c r="I3344" s="1"/>
      <c r="J3344" s="1"/>
    </row>
    <row r="3345" spans="1:10" s="6" customFormat="1">
      <c r="A3345" s="17"/>
      <c r="C3345" s="9"/>
      <c r="D3345" s="10"/>
      <c r="E3345" s="10"/>
      <c r="F3345" s="9"/>
      <c r="G3345" s="1"/>
      <c r="H3345" s="1"/>
      <c r="I3345" s="1"/>
      <c r="J3345" s="1"/>
    </row>
    <row r="3346" spans="1:10" s="6" customFormat="1">
      <c r="A3346" s="17"/>
      <c r="C3346" s="9"/>
      <c r="D3346" s="10"/>
      <c r="E3346" s="10"/>
      <c r="F3346" s="9"/>
      <c r="G3346" s="1"/>
      <c r="H3346" s="1"/>
      <c r="I3346" s="1"/>
      <c r="J3346" s="1"/>
    </row>
    <row r="3347" spans="1:10" s="6" customFormat="1">
      <c r="A3347" s="17"/>
      <c r="C3347" s="9"/>
      <c r="D3347" s="10"/>
      <c r="E3347" s="10"/>
      <c r="F3347" s="9"/>
      <c r="G3347" s="1"/>
      <c r="H3347" s="1"/>
      <c r="I3347" s="1"/>
      <c r="J3347" s="1"/>
    </row>
    <row r="3348" spans="1:10" s="6" customFormat="1">
      <c r="A3348" s="17"/>
      <c r="C3348" s="9"/>
      <c r="D3348" s="10"/>
      <c r="E3348" s="10"/>
      <c r="F3348" s="9"/>
      <c r="G3348" s="1"/>
      <c r="H3348" s="1"/>
      <c r="I3348" s="1"/>
      <c r="J3348" s="1"/>
    </row>
    <row r="3349" spans="1:10" s="6" customFormat="1">
      <c r="A3349" s="17"/>
      <c r="C3349" s="9"/>
      <c r="D3349" s="10"/>
      <c r="E3349" s="10"/>
      <c r="F3349" s="9"/>
      <c r="G3349" s="1"/>
      <c r="H3349" s="1"/>
      <c r="I3349" s="1"/>
      <c r="J3349" s="1"/>
    </row>
    <row r="3350" spans="1:10" s="6" customFormat="1">
      <c r="A3350" s="17"/>
      <c r="C3350" s="9"/>
      <c r="D3350" s="10"/>
      <c r="E3350" s="10"/>
      <c r="F3350" s="9"/>
      <c r="G3350" s="1"/>
      <c r="H3350" s="1"/>
      <c r="I3350" s="1"/>
      <c r="J3350" s="1"/>
    </row>
    <row r="3351" spans="1:10" s="6" customFormat="1">
      <c r="A3351" s="17"/>
      <c r="C3351" s="9"/>
      <c r="D3351" s="10"/>
      <c r="E3351" s="10"/>
      <c r="F3351" s="9"/>
      <c r="G3351" s="1"/>
      <c r="H3351" s="1"/>
      <c r="I3351" s="1"/>
      <c r="J3351" s="1"/>
    </row>
    <row r="3352" spans="1:10" s="6" customFormat="1">
      <c r="A3352" s="17"/>
      <c r="C3352" s="9"/>
      <c r="D3352" s="10"/>
      <c r="E3352" s="10"/>
      <c r="F3352" s="9"/>
      <c r="G3352" s="1"/>
      <c r="H3352" s="1"/>
      <c r="I3352" s="1"/>
      <c r="J3352" s="1"/>
    </row>
    <row r="3353" spans="1:10" s="6" customFormat="1">
      <c r="A3353" s="17"/>
      <c r="C3353" s="9"/>
      <c r="D3353" s="10"/>
      <c r="E3353" s="10"/>
      <c r="F3353" s="9"/>
      <c r="G3353" s="1"/>
      <c r="H3353" s="1"/>
      <c r="I3353" s="1"/>
      <c r="J3353" s="1"/>
    </row>
    <row r="3354" spans="1:10" s="6" customFormat="1">
      <c r="A3354" s="17"/>
      <c r="C3354" s="9"/>
      <c r="D3354" s="10"/>
      <c r="E3354" s="10"/>
      <c r="F3354" s="9"/>
      <c r="G3354" s="1"/>
      <c r="H3354" s="1"/>
      <c r="I3354" s="1"/>
      <c r="J3354" s="1"/>
    </row>
    <row r="3355" spans="1:10" s="6" customFormat="1">
      <c r="A3355" s="17"/>
      <c r="C3355" s="9"/>
      <c r="D3355" s="10"/>
      <c r="E3355" s="10"/>
      <c r="F3355" s="9"/>
      <c r="G3355" s="1"/>
      <c r="H3355" s="1"/>
      <c r="I3355" s="1"/>
      <c r="J3355" s="1"/>
    </row>
    <row r="3356" spans="1:10" s="6" customFormat="1">
      <c r="A3356" s="17"/>
      <c r="C3356" s="9"/>
      <c r="D3356" s="10"/>
      <c r="E3356" s="10"/>
      <c r="F3356" s="9"/>
      <c r="G3356" s="1"/>
      <c r="H3356" s="1"/>
      <c r="I3356" s="1"/>
      <c r="J3356" s="1"/>
    </row>
    <row r="3357" spans="1:10" s="6" customFormat="1">
      <c r="A3357" s="17"/>
      <c r="C3357" s="9"/>
      <c r="D3357" s="10"/>
      <c r="E3357" s="10"/>
      <c r="F3357" s="9"/>
      <c r="G3357" s="1"/>
      <c r="H3357" s="1"/>
      <c r="I3357" s="1"/>
      <c r="J3357" s="1"/>
    </row>
    <row r="3358" spans="1:10" s="6" customFormat="1">
      <c r="A3358" s="17"/>
      <c r="C3358" s="9"/>
      <c r="D3358" s="10"/>
      <c r="E3358" s="10"/>
      <c r="F3358" s="9"/>
      <c r="G3358" s="1"/>
      <c r="H3358" s="1"/>
      <c r="I3358" s="1"/>
      <c r="J3358" s="1"/>
    </row>
    <row r="3359" spans="1:10" s="6" customFormat="1">
      <c r="A3359" s="17"/>
      <c r="C3359" s="9"/>
      <c r="D3359" s="10"/>
      <c r="E3359" s="10"/>
      <c r="F3359" s="9"/>
      <c r="G3359" s="1"/>
      <c r="H3359" s="1"/>
      <c r="I3359" s="1"/>
      <c r="J3359" s="1"/>
    </row>
    <row r="3360" spans="1:10" s="6" customFormat="1">
      <c r="A3360" s="17"/>
      <c r="C3360" s="9"/>
      <c r="D3360" s="10"/>
      <c r="E3360" s="10"/>
      <c r="F3360" s="9"/>
      <c r="G3360" s="1"/>
      <c r="H3360" s="1"/>
      <c r="I3360" s="1"/>
      <c r="J3360" s="1"/>
    </row>
    <row r="3361" spans="1:10" s="6" customFormat="1">
      <c r="A3361" s="17"/>
      <c r="C3361" s="9"/>
      <c r="D3361" s="10"/>
      <c r="E3361" s="10"/>
      <c r="F3361" s="9"/>
      <c r="G3361" s="1"/>
      <c r="H3361" s="1"/>
      <c r="I3361" s="1"/>
      <c r="J3361" s="1"/>
    </row>
    <row r="3362" spans="1:10" s="6" customFormat="1">
      <c r="A3362" s="17"/>
      <c r="C3362" s="9"/>
      <c r="D3362" s="10"/>
      <c r="E3362" s="10"/>
      <c r="F3362" s="9"/>
      <c r="G3362" s="1"/>
      <c r="H3362" s="1"/>
      <c r="I3362" s="1"/>
      <c r="J3362" s="1"/>
    </row>
    <row r="3363" spans="1:10" s="6" customFormat="1">
      <c r="A3363" s="17"/>
      <c r="C3363" s="9"/>
      <c r="D3363" s="10"/>
      <c r="E3363" s="10"/>
      <c r="F3363" s="9"/>
      <c r="G3363" s="1"/>
      <c r="H3363" s="1"/>
      <c r="I3363" s="1"/>
      <c r="J3363" s="1"/>
    </row>
    <row r="3364" spans="1:10" s="6" customFormat="1">
      <c r="A3364" s="17"/>
      <c r="C3364" s="9"/>
      <c r="D3364" s="10"/>
      <c r="E3364" s="10"/>
      <c r="F3364" s="9"/>
      <c r="G3364" s="1"/>
      <c r="H3364" s="1"/>
      <c r="I3364" s="1"/>
      <c r="J3364" s="1"/>
    </row>
    <row r="3365" spans="1:10" s="6" customFormat="1">
      <c r="A3365" s="17"/>
      <c r="C3365" s="9"/>
      <c r="D3365" s="10"/>
      <c r="E3365" s="10"/>
      <c r="F3365" s="9"/>
      <c r="G3365" s="1"/>
      <c r="H3365" s="1"/>
      <c r="I3365" s="1"/>
      <c r="J3365" s="1"/>
    </row>
    <row r="3366" spans="1:10" s="6" customFormat="1">
      <c r="A3366" s="17"/>
      <c r="C3366" s="9"/>
      <c r="D3366" s="10"/>
      <c r="E3366" s="10"/>
      <c r="F3366" s="9"/>
      <c r="G3366" s="1"/>
      <c r="H3366" s="1"/>
      <c r="I3366" s="1"/>
      <c r="J3366" s="1"/>
    </row>
    <row r="3367" spans="1:10" s="6" customFormat="1">
      <c r="A3367" s="17"/>
      <c r="C3367" s="9"/>
      <c r="D3367" s="10"/>
      <c r="E3367" s="10"/>
      <c r="F3367" s="9"/>
      <c r="G3367" s="1"/>
      <c r="H3367" s="1"/>
      <c r="I3367" s="1"/>
      <c r="J3367" s="1"/>
    </row>
    <row r="3368" spans="1:10" s="6" customFormat="1">
      <c r="A3368" s="17"/>
      <c r="C3368" s="9"/>
      <c r="D3368" s="10"/>
      <c r="E3368" s="10"/>
      <c r="F3368" s="9"/>
      <c r="G3368" s="1"/>
      <c r="H3368" s="1"/>
      <c r="I3368" s="1"/>
      <c r="J3368" s="1"/>
    </row>
    <row r="3369" spans="1:10" s="6" customFormat="1">
      <c r="A3369" s="17"/>
      <c r="C3369" s="9"/>
      <c r="D3369" s="10"/>
      <c r="E3369" s="10"/>
      <c r="F3369" s="9"/>
      <c r="G3369" s="1"/>
      <c r="H3369" s="1"/>
      <c r="I3369" s="1"/>
      <c r="J3369" s="1"/>
    </row>
    <row r="3370" spans="1:10" s="6" customFormat="1">
      <c r="A3370" s="17"/>
      <c r="C3370" s="9"/>
      <c r="D3370" s="10"/>
      <c r="E3370" s="10"/>
      <c r="F3370" s="9"/>
      <c r="G3370" s="1"/>
      <c r="H3370" s="1"/>
      <c r="I3370" s="1"/>
      <c r="J3370" s="1"/>
    </row>
    <row r="3371" spans="1:10" s="6" customFormat="1">
      <c r="A3371" s="17"/>
      <c r="C3371" s="9"/>
      <c r="D3371" s="10"/>
      <c r="E3371" s="10"/>
      <c r="F3371" s="9"/>
      <c r="G3371" s="1"/>
      <c r="H3371" s="1"/>
      <c r="I3371" s="1"/>
      <c r="J3371" s="1"/>
    </row>
    <row r="3372" spans="1:10" s="6" customFormat="1">
      <c r="A3372" s="17"/>
      <c r="C3372" s="9"/>
      <c r="D3372" s="10"/>
      <c r="E3372" s="10"/>
      <c r="F3372" s="9"/>
      <c r="G3372" s="1"/>
      <c r="H3372" s="1"/>
      <c r="I3372" s="1"/>
      <c r="J3372" s="1"/>
    </row>
    <row r="3373" spans="1:10" s="6" customFormat="1">
      <c r="A3373" s="17"/>
      <c r="C3373" s="9"/>
      <c r="D3373" s="10"/>
      <c r="E3373" s="10"/>
      <c r="F3373" s="9"/>
      <c r="G3373" s="1"/>
      <c r="H3373" s="1"/>
      <c r="I3373" s="1"/>
      <c r="J3373" s="1"/>
    </row>
    <row r="3374" spans="1:10" s="6" customFormat="1">
      <c r="A3374" s="17"/>
      <c r="C3374" s="9"/>
      <c r="D3374" s="10"/>
      <c r="E3374" s="10"/>
      <c r="F3374" s="9"/>
      <c r="G3374" s="1"/>
      <c r="H3374" s="1"/>
      <c r="I3374" s="1"/>
      <c r="J3374" s="1"/>
    </row>
    <row r="3375" spans="1:10" s="6" customFormat="1">
      <c r="A3375" s="17"/>
      <c r="C3375" s="9"/>
      <c r="D3375" s="10"/>
      <c r="E3375" s="10"/>
      <c r="F3375" s="9"/>
      <c r="G3375" s="1"/>
      <c r="H3375" s="1"/>
      <c r="I3375" s="1"/>
      <c r="J3375" s="1"/>
    </row>
    <row r="3376" spans="1:10" s="6" customFormat="1">
      <c r="A3376" s="17"/>
      <c r="C3376" s="9"/>
      <c r="D3376" s="10"/>
      <c r="E3376" s="10"/>
      <c r="F3376" s="9"/>
      <c r="G3376" s="1"/>
      <c r="H3376" s="1"/>
      <c r="I3376" s="1"/>
      <c r="J3376" s="1"/>
    </row>
    <row r="3377" spans="1:10" s="6" customFormat="1">
      <c r="A3377" s="17"/>
      <c r="C3377" s="9"/>
      <c r="D3377" s="10"/>
      <c r="E3377" s="10"/>
      <c r="F3377" s="9"/>
      <c r="G3377" s="1"/>
      <c r="H3377" s="1"/>
      <c r="I3377" s="1"/>
      <c r="J3377" s="1"/>
    </row>
    <row r="3378" spans="1:10" s="6" customFormat="1">
      <c r="A3378" s="17"/>
      <c r="C3378" s="9"/>
      <c r="D3378" s="10"/>
      <c r="E3378" s="10"/>
      <c r="F3378" s="9"/>
      <c r="G3378" s="1"/>
      <c r="H3378" s="1"/>
      <c r="I3378" s="1"/>
      <c r="J3378" s="1"/>
    </row>
    <row r="3379" spans="1:10" s="6" customFormat="1">
      <c r="A3379" s="17"/>
      <c r="C3379" s="9"/>
      <c r="D3379" s="10"/>
      <c r="E3379" s="10"/>
      <c r="F3379" s="9"/>
      <c r="G3379" s="1"/>
      <c r="H3379" s="1"/>
      <c r="I3379" s="1"/>
      <c r="J3379" s="1"/>
    </row>
    <row r="3380" spans="1:10" s="6" customFormat="1">
      <c r="A3380" s="17"/>
      <c r="C3380" s="9"/>
      <c r="D3380" s="10"/>
      <c r="E3380" s="10"/>
      <c r="F3380" s="9"/>
      <c r="G3380" s="1"/>
      <c r="H3380" s="1"/>
      <c r="I3380" s="1"/>
      <c r="J3380" s="1"/>
    </row>
    <row r="3381" spans="1:10" s="6" customFormat="1">
      <c r="A3381" s="17"/>
      <c r="C3381" s="9"/>
      <c r="D3381" s="10"/>
      <c r="E3381" s="10"/>
      <c r="F3381" s="9"/>
      <c r="G3381" s="1"/>
      <c r="H3381" s="1"/>
      <c r="I3381" s="1"/>
      <c r="J3381" s="1"/>
    </row>
    <row r="3382" spans="1:10" s="6" customFormat="1">
      <c r="A3382" s="17"/>
      <c r="C3382" s="9"/>
      <c r="D3382" s="10"/>
      <c r="E3382" s="10"/>
      <c r="F3382" s="9"/>
      <c r="G3382" s="1"/>
      <c r="H3382" s="1"/>
      <c r="I3382" s="1"/>
      <c r="J3382" s="1"/>
    </row>
    <row r="3383" spans="1:10" s="6" customFormat="1">
      <c r="A3383" s="17"/>
      <c r="C3383" s="9"/>
      <c r="D3383" s="10"/>
      <c r="E3383" s="10"/>
      <c r="F3383" s="9"/>
      <c r="G3383" s="1"/>
      <c r="H3383" s="1"/>
      <c r="I3383" s="1"/>
      <c r="J3383" s="1"/>
    </row>
    <row r="3384" spans="1:10" s="6" customFormat="1">
      <c r="A3384" s="17"/>
      <c r="C3384" s="9"/>
      <c r="D3384" s="10"/>
      <c r="E3384" s="10"/>
      <c r="F3384" s="9"/>
      <c r="G3384" s="1"/>
      <c r="H3384" s="1"/>
      <c r="I3384" s="1"/>
      <c r="J3384" s="1"/>
    </row>
    <row r="3385" spans="1:10" s="6" customFormat="1">
      <c r="A3385" s="17"/>
      <c r="C3385" s="9"/>
      <c r="D3385" s="10"/>
      <c r="E3385" s="10"/>
      <c r="F3385" s="9"/>
      <c r="G3385" s="1"/>
      <c r="H3385" s="1"/>
      <c r="I3385" s="1"/>
      <c r="J3385" s="1"/>
    </row>
    <row r="3386" spans="1:10" s="6" customFormat="1">
      <c r="A3386" s="17"/>
      <c r="C3386" s="9"/>
      <c r="D3386" s="10"/>
      <c r="E3386" s="10"/>
      <c r="F3386" s="9"/>
      <c r="G3386" s="1"/>
      <c r="H3386" s="1"/>
      <c r="I3386" s="1"/>
      <c r="J3386" s="1"/>
    </row>
    <row r="3387" spans="1:10" s="6" customFormat="1">
      <c r="A3387" s="17"/>
      <c r="C3387" s="9"/>
      <c r="D3387" s="10"/>
      <c r="E3387" s="10"/>
      <c r="F3387" s="9"/>
      <c r="G3387" s="1"/>
      <c r="H3387" s="1"/>
      <c r="I3387" s="1"/>
      <c r="J3387" s="1"/>
    </row>
    <row r="3388" spans="1:10" s="6" customFormat="1">
      <c r="A3388" s="17"/>
      <c r="C3388" s="9"/>
      <c r="D3388" s="10"/>
      <c r="E3388" s="10"/>
      <c r="F3388" s="9"/>
      <c r="G3388" s="1"/>
      <c r="H3388" s="1"/>
      <c r="I3388" s="1"/>
      <c r="J3388" s="1"/>
    </row>
    <row r="3389" spans="1:10" s="6" customFormat="1">
      <c r="A3389" s="17"/>
      <c r="C3389" s="9"/>
      <c r="D3389" s="10"/>
      <c r="E3389" s="10"/>
      <c r="F3389" s="9"/>
      <c r="G3389" s="1"/>
      <c r="H3389" s="1"/>
      <c r="I3389" s="1"/>
      <c r="J3389" s="1"/>
    </row>
    <row r="3390" spans="1:10" s="6" customFormat="1">
      <c r="A3390" s="17"/>
      <c r="C3390" s="9"/>
      <c r="D3390" s="10"/>
      <c r="E3390" s="10"/>
      <c r="F3390" s="9"/>
      <c r="G3390" s="1"/>
      <c r="H3390" s="1"/>
      <c r="I3390" s="1"/>
      <c r="J3390" s="1"/>
    </row>
    <row r="3391" spans="1:10" s="6" customFormat="1">
      <c r="A3391" s="17"/>
      <c r="C3391" s="9"/>
      <c r="D3391" s="10"/>
      <c r="E3391" s="10"/>
      <c r="F3391" s="9"/>
      <c r="G3391" s="1"/>
      <c r="H3391" s="1"/>
      <c r="I3391" s="1"/>
      <c r="J3391" s="1"/>
    </row>
    <row r="3392" spans="1:10" s="6" customFormat="1">
      <c r="A3392" s="17"/>
      <c r="C3392" s="9"/>
      <c r="D3392" s="10"/>
      <c r="E3392" s="10"/>
      <c r="F3392" s="9"/>
      <c r="G3392" s="1"/>
      <c r="H3392" s="1"/>
      <c r="I3392" s="1"/>
      <c r="J3392" s="1"/>
    </row>
    <row r="3393" spans="1:10" s="6" customFormat="1">
      <c r="A3393" s="17"/>
      <c r="C3393" s="9"/>
      <c r="D3393" s="10"/>
      <c r="E3393" s="10"/>
      <c r="F3393" s="9"/>
      <c r="G3393" s="1"/>
      <c r="H3393" s="1"/>
      <c r="I3393" s="1"/>
      <c r="J3393" s="1"/>
    </row>
    <row r="3394" spans="1:10" s="6" customFormat="1">
      <c r="A3394" s="17"/>
      <c r="C3394" s="9"/>
      <c r="D3394" s="10"/>
      <c r="E3394" s="10"/>
      <c r="F3394" s="9"/>
      <c r="G3394" s="1"/>
      <c r="H3394" s="1"/>
      <c r="I3394" s="1"/>
      <c r="J3394" s="1"/>
    </row>
    <row r="3395" spans="1:10" s="6" customFormat="1">
      <c r="A3395" s="17"/>
      <c r="C3395" s="9"/>
      <c r="D3395" s="10"/>
      <c r="E3395" s="10"/>
      <c r="F3395" s="9"/>
      <c r="G3395" s="1"/>
      <c r="H3395" s="1"/>
      <c r="I3395" s="1"/>
      <c r="J3395" s="1"/>
    </row>
    <row r="3396" spans="1:10" s="6" customFormat="1">
      <c r="A3396" s="17"/>
      <c r="C3396" s="9"/>
      <c r="D3396" s="10"/>
      <c r="E3396" s="10"/>
      <c r="F3396" s="9"/>
      <c r="G3396" s="1"/>
      <c r="H3396" s="1"/>
      <c r="I3396" s="1"/>
      <c r="J3396" s="1"/>
    </row>
    <row r="3397" spans="1:10" s="6" customFormat="1">
      <c r="A3397" s="17"/>
      <c r="C3397" s="9"/>
      <c r="D3397" s="10"/>
      <c r="E3397" s="10"/>
      <c r="F3397" s="9"/>
      <c r="G3397" s="1"/>
      <c r="H3397" s="1"/>
      <c r="I3397" s="1"/>
      <c r="J3397" s="1"/>
    </row>
    <row r="3398" spans="1:10" s="6" customFormat="1">
      <c r="A3398" s="17"/>
      <c r="C3398" s="9"/>
      <c r="D3398" s="10"/>
      <c r="E3398" s="10"/>
      <c r="F3398" s="9"/>
      <c r="G3398" s="1"/>
      <c r="H3398" s="1"/>
      <c r="I3398" s="1"/>
      <c r="J3398" s="1"/>
    </row>
    <row r="3399" spans="1:10" s="6" customFormat="1">
      <c r="A3399" s="17"/>
      <c r="C3399" s="9"/>
      <c r="D3399" s="10"/>
      <c r="E3399" s="10"/>
      <c r="F3399" s="9"/>
      <c r="G3399" s="1"/>
      <c r="H3399" s="1"/>
      <c r="I3399" s="1"/>
      <c r="J3399" s="1"/>
    </row>
    <row r="3400" spans="1:10" s="6" customFormat="1">
      <c r="A3400" s="17"/>
      <c r="C3400" s="9"/>
      <c r="D3400" s="10"/>
      <c r="E3400" s="10"/>
      <c r="F3400" s="9"/>
      <c r="G3400" s="1"/>
      <c r="H3400" s="1"/>
      <c r="I3400" s="1"/>
      <c r="J3400" s="1"/>
    </row>
    <row r="3401" spans="1:10" s="6" customFormat="1">
      <c r="A3401" s="17"/>
      <c r="C3401" s="9"/>
      <c r="D3401" s="10"/>
      <c r="E3401" s="10"/>
      <c r="F3401" s="9"/>
      <c r="G3401" s="1"/>
      <c r="H3401" s="1"/>
      <c r="I3401" s="1"/>
      <c r="J3401" s="1"/>
    </row>
    <row r="3402" spans="1:10" s="6" customFormat="1">
      <c r="A3402" s="17"/>
      <c r="C3402" s="9"/>
      <c r="D3402" s="10"/>
      <c r="E3402" s="10"/>
      <c r="F3402" s="9"/>
      <c r="G3402" s="1"/>
      <c r="H3402" s="1"/>
      <c r="I3402" s="1"/>
      <c r="J3402" s="1"/>
    </row>
    <row r="3403" spans="1:10" s="6" customFormat="1">
      <c r="A3403" s="17"/>
      <c r="C3403" s="9"/>
      <c r="D3403" s="10"/>
      <c r="E3403" s="10"/>
      <c r="F3403" s="9"/>
      <c r="G3403" s="1"/>
      <c r="H3403" s="1"/>
      <c r="I3403" s="1"/>
      <c r="J3403" s="1"/>
    </row>
    <row r="3404" spans="1:10" s="6" customFormat="1">
      <c r="A3404" s="17"/>
      <c r="C3404" s="9"/>
      <c r="D3404" s="10"/>
      <c r="E3404" s="10"/>
      <c r="F3404" s="9"/>
      <c r="G3404" s="1"/>
      <c r="H3404" s="1"/>
      <c r="I3404" s="1"/>
      <c r="J3404" s="1"/>
    </row>
    <row r="3405" spans="1:10" s="6" customFormat="1">
      <c r="A3405" s="17"/>
      <c r="C3405" s="9"/>
      <c r="D3405" s="10"/>
      <c r="E3405" s="10"/>
      <c r="F3405" s="9"/>
      <c r="G3405" s="1"/>
      <c r="H3405" s="1"/>
      <c r="I3405" s="1"/>
      <c r="J3405" s="1"/>
    </row>
    <row r="3406" spans="1:10" s="6" customFormat="1">
      <c r="A3406" s="17"/>
      <c r="C3406" s="9"/>
      <c r="D3406" s="10"/>
      <c r="E3406" s="10"/>
      <c r="F3406" s="9"/>
      <c r="G3406" s="1"/>
      <c r="H3406" s="1"/>
      <c r="I3406" s="1"/>
      <c r="J3406" s="1"/>
    </row>
    <row r="3407" spans="1:10" s="6" customFormat="1">
      <c r="A3407" s="17"/>
      <c r="C3407" s="9"/>
      <c r="D3407" s="10"/>
      <c r="E3407" s="10"/>
      <c r="F3407" s="9"/>
      <c r="G3407" s="1"/>
      <c r="H3407" s="1"/>
      <c r="I3407" s="1"/>
      <c r="J3407" s="1"/>
    </row>
    <row r="3408" spans="1:10" s="6" customFormat="1">
      <c r="A3408" s="17"/>
      <c r="C3408" s="9"/>
      <c r="D3408" s="10"/>
      <c r="E3408" s="10"/>
      <c r="F3408" s="9"/>
      <c r="G3408" s="1"/>
      <c r="H3408" s="1"/>
      <c r="I3408" s="1"/>
      <c r="J3408" s="1"/>
    </row>
    <row r="3409" spans="1:10" s="6" customFormat="1">
      <c r="A3409" s="17"/>
      <c r="C3409" s="9"/>
      <c r="D3409" s="10"/>
      <c r="E3409" s="10"/>
      <c r="F3409" s="9"/>
      <c r="G3409" s="1"/>
      <c r="H3409" s="1"/>
      <c r="I3409" s="1"/>
      <c r="J3409" s="1"/>
    </row>
    <row r="3410" spans="1:10" s="6" customFormat="1">
      <c r="A3410" s="17"/>
      <c r="C3410" s="9"/>
      <c r="D3410" s="10"/>
      <c r="E3410" s="10"/>
      <c r="F3410" s="9"/>
      <c r="G3410" s="1"/>
      <c r="H3410" s="1"/>
      <c r="I3410" s="1"/>
      <c r="J3410" s="1"/>
    </row>
    <row r="3411" spans="1:10" s="6" customFormat="1">
      <c r="A3411" s="17"/>
      <c r="C3411" s="9"/>
      <c r="D3411" s="10"/>
      <c r="E3411" s="10"/>
      <c r="F3411" s="9"/>
      <c r="G3411" s="1"/>
      <c r="H3411" s="1"/>
      <c r="I3411" s="1"/>
      <c r="J3411" s="1"/>
    </row>
    <row r="3412" spans="1:10" s="6" customFormat="1">
      <c r="A3412" s="17"/>
      <c r="C3412" s="9"/>
      <c r="D3412" s="10"/>
      <c r="E3412" s="10"/>
      <c r="F3412" s="9"/>
      <c r="G3412" s="1"/>
      <c r="H3412" s="1"/>
      <c r="I3412" s="1"/>
      <c r="J3412" s="1"/>
    </row>
    <row r="3413" spans="1:10" s="6" customFormat="1">
      <c r="A3413" s="17"/>
      <c r="C3413" s="9"/>
      <c r="D3413" s="10"/>
      <c r="E3413" s="10"/>
      <c r="F3413" s="9"/>
      <c r="G3413" s="1"/>
      <c r="H3413" s="1"/>
      <c r="I3413" s="1"/>
      <c r="J3413" s="1"/>
    </row>
    <row r="3414" spans="1:10" s="6" customFormat="1">
      <c r="A3414" s="17"/>
      <c r="C3414" s="9"/>
      <c r="D3414" s="10"/>
      <c r="E3414" s="10"/>
      <c r="F3414" s="9"/>
      <c r="G3414" s="1"/>
      <c r="H3414" s="1"/>
      <c r="I3414" s="1"/>
      <c r="J3414" s="1"/>
    </row>
    <row r="3415" spans="1:10" s="6" customFormat="1">
      <c r="A3415" s="17"/>
      <c r="C3415" s="9"/>
      <c r="D3415" s="10"/>
      <c r="E3415" s="10"/>
      <c r="F3415" s="9"/>
      <c r="G3415" s="1"/>
      <c r="H3415" s="1"/>
      <c r="I3415" s="1"/>
      <c r="J3415" s="1"/>
    </row>
    <row r="3416" spans="1:10" s="6" customFormat="1">
      <c r="A3416" s="17"/>
      <c r="C3416" s="9"/>
      <c r="D3416" s="10"/>
      <c r="E3416" s="10"/>
      <c r="F3416" s="9"/>
      <c r="G3416" s="1"/>
      <c r="H3416" s="1"/>
      <c r="I3416" s="1"/>
      <c r="J3416" s="1"/>
    </row>
    <row r="3417" spans="1:10" s="6" customFormat="1">
      <c r="A3417" s="17"/>
      <c r="C3417" s="9"/>
      <c r="D3417" s="10"/>
      <c r="E3417" s="10"/>
      <c r="F3417" s="9"/>
      <c r="G3417" s="1"/>
      <c r="H3417" s="1"/>
      <c r="I3417" s="1"/>
      <c r="J3417" s="1"/>
    </row>
    <row r="3418" spans="1:10" s="6" customFormat="1">
      <c r="A3418" s="17"/>
      <c r="C3418" s="9"/>
      <c r="D3418" s="10"/>
      <c r="E3418" s="10"/>
      <c r="F3418" s="9"/>
      <c r="G3418" s="1"/>
      <c r="H3418" s="1"/>
      <c r="I3418" s="1"/>
      <c r="J3418" s="1"/>
    </row>
    <row r="3419" spans="1:10" s="6" customFormat="1">
      <c r="A3419" s="17"/>
      <c r="C3419" s="9"/>
      <c r="D3419" s="10"/>
      <c r="E3419" s="10"/>
      <c r="F3419" s="9"/>
      <c r="G3419" s="1"/>
      <c r="H3419" s="1"/>
      <c r="I3419" s="1"/>
      <c r="J3419" s="1"/>
    </row>
    <row r="3420" spans="1:10" s="6" customFormat="1">
      <c r="A3420" s="17"/>
      <c r="C3420" s="9"/>
      <c r="D3420" s="10"/>
      <c r="E3420" s="10"/>
      <c r="F3420" s="9"/>
      <c r="G3420" s="1"/>
      <c r="H3420" s="1"/>
      <c r="I3420" s="1"/>
      <c r="J3420" s="1"/>
    </row>
    <row r="3421" spans="1:10" s="6" customFormat="1">
      <c r="A3421" s="17"/>
      <c r="C3421" s="9"/>
      <c r="D3421" s="10"/>
      <c r="E3421" s="10"/>
      <c r="F3421" s="9"/>
      <c r="G3421" s="1"/>
      <c r="H3421" s="1"/>
      <c r="I3421" s="1"/>
      <c r="J3421" s="1"/>
    </row>
    <row r="3422" spans="1:10" s="6" customFormat="1">
      <c r="A3422" s="17"/>
      <c r="C3422" s="9"/>
      <c r="D3422" s="10"/>
      <c r="E3422" s="10"/>
      <c r="F3422" s="9"/>
      <c r="G3422" s="1"/>
      <c r="H3422" s="1"/>
      <c r="I3422" s="1"/>
      <c r="J3422" s="1"/>
    </row>
    <row r="3423" spans="1:10" s="6" customFormat="1">
      <c r="A3423" s="17"/>
      <c r="C3423" s="9"/>
      <c r="D3423" s="10"/>
      <c r="E3423" s="10"/>
      <c r="F3423" s="9"/>
      <c r="G3423" s="1"/>
      <c r="H3423" s="1"/>
      <c r="I3423" s="1"/>
      <c r="J3423" s="1"/>
    </row>
    <row r="3424" spans="1:10" s="6" customFormat="1">
      <c r="A3424" s="17"/>
      <c r="C3424" s="9"/>
      <c r="D3424" s="10"/>
      <c r="E3424" s="10"/>
      <c r="F3424" s="9"/>
      <c r="G3424" s="1"/>
      <c r="H3424" s="1"/>
      <c r="I3424" s="1"/>
      <c r="J3424" s="1"/>
    </row>
    <row r="3425" spans="1:10" s="6" customFormat="1">
      <c r="A3425" s="17"/>
      <c r="C3425" s="9"/>
      <c r="D3425" s="10"/>
      <c r="E3425" s="10"/>
      <c r="F3425" s="9"/>
      <c r="G3425" s="1"/>
      <c r="H3425" s="1"/>
      <c r="I3425" s="1"/>
      <c r="J3425" s="1"/>
    </row>
    <row r="3426" spans="1:10" s="6" customFormat="1">
      <c r="A3426" s="17"/>
      <c r="C3426" s="9"/>
      <c r="D3426" s="10"/>
      <c r="E3426" s="10"/>
      <c r="F3426" s="9"/>
      <c r="G3426" s="1"/>
      <c r="H3426" s="1"/>
      <c r="I3426" s="1"/>
      <c r="J3426" s="1"/>
    </row>
    <row r="3427" spans="1:10" s="6" customFormat="1">
      <c r="A3427" s="17"/>
      <c r="C3427" s="9"/>
      <c r="D3427" s="10"/>
      <c r="E3427" s="10"/>
      <c r="F3427" s="9"/>
      <c r="G3427" s="1"/>
      <c r="H3427" s="1"/>
      <c r="I3427" s="1"/>
      <c r="J3427" s="1"/>
    </row>
    <row r="3428" spans="1:10" s="6" customFormat="1">
      <c r="A3428" s="17"/>
      <c r="C3428" s="9"/>
      <c r="D3428" s="10"/>
      <c r="E3428" s="10"/>
      <c r="F3428" s="9"/>
      <c r="G3428" s="1"/>
      <c r="H3428" s="1"/>
      <c r="I3428" s="1"/>
      <c r="J3428" s="1"/>
    </row>
    <row r="3429" spans="1:10" s="6" customFormat="1">
      <c r="A3429" s="17"/>
      <c r="C3429" s="9"/>
      <c r="D3429" s="10"/>
      <c r="E3429" s="10"/>
      <c r="F3429" s="9"/>
      <c r="G3429" s="1"/>
      <c r="H3429" s="1"/>
      <c r="I3429" s="1"/>
      <c r="J3429" s="1"/>
    </row>
    <row r="3430" spans="1:10" s="6" customFormat="1">
      <c r="A3430" s="17"/>
      <c r="C3430" s="9"/>
      <c r="D3430" s="10"/>
      <c r="E3430" s="10"/>
      <c r="F3430" s="9"/>
      <c r="G3430" s="1"/>
      <c r="H3430" s="1"/>
      <c r="I3430" s="1"/>
      <c r="J3430" s="1"/>
    </row>
    <row r="3431" spans="1:10" s="6" customFormat="1">
      <c r="A3431" s="17"/>
      <c r="C3431" s="9"/>
      <c r="D3431" s="10"/>
      <c r="E3431" s="10"/>
      <c r="F3431" s="9"/>
      <c r="G3431" s="1"/>
      <c r="H3431" s="1"/>
      <c r="I3431" s="1"/>
      <c r="J3431" s="1"/>
    </row>
    <row r="3432" spans="1:10" s="6" customFormat="1">
      <c r="A3432" s="17"/>
      <c r="C3432" s="9"/>
      <c r="D3432" s="10"/>
      <c r="E3432" s="10"/>
      <c r="F3432" s="9"/>
      <c r="G3432" s="1"/>
      <c r="H3432" s="1"/>
      <c r="I3432" s="1"/>
      <c r="J3432" s="1"/>
    </row>
    <row r="3433" spans="1:10" s="6" customFormat="1">
      <c r="A3433" s="17"/>
      <c r="C3433" s="9"/>
      <c r="D3433" s="10"/>
      <c r="E3433" s="10"/>
      <c r="F3433" s="9"/>
      <c r="G3433" s="1"/>
      <c r="H3433" s="1"/>
      <c r="I3433" s="1"/>
      <c r="J3433" s="1"/>
    </row>
    <row r="3434" spans="1:10" s="6" customFormat="1">
      <c r="A3434" s="17"/>
      <c r="C3434" s="9"/>
      <c r="D3434" s="10"/>
      <c r="E3434" s="10"/>
      <c r="F3434" s="9"/>
      <c r="G3434" s="1"/>
      <c r="H3434" s="1"/>
      <c r="I3434" s="1"/>
      <c r="J3434" s="1"/>
    </row>
    <row r="3435" spans="1:10" s="6" customFormat="1">
      <c r="A3435" s="17"/>
      <c r="C3435" s="9"/>
      <c r="D3435" s="10"/>
      <c r="E3435" s="10"/>
      <c r="F3435" s="9"/>
      <c r="G3435" s="1"/>
      <c r="H3435" s="1"/>
      <c r="I3435" s="1"/>
      <c r="J3435" s="1"/>
    </row>
    <row r="3436" spans="1:10" s="6" customFormat="1">
      <c r="A3436" s="17"/>
      <c r="C3436" s="9"/>
      <c r="D3436" s="10"/>
      <c r="E3436" s="10"/>
      <c r="F3436" s="9"/>
      <c r="G3436" s="1"/>
      <c r="H3436" s="1"/>
      <c r="I3436" s="1"/>
      <c r="J3436" s="1"/>
    </row>
    <row r="3437" spans="1:10" s="6" customFormat="1">
      <c r="A3437" s="17"/>
      <c r="C3437" s="9"/>
      <c r="D3437" s="10"/>
      <c r="E3437" s="10"/>
      <c r="F3437" s="9"/>
      <c r="G3437" s="1"/>
      <c r="H3437" s="1"/>
      <c r="I3437" s="1"/>
      <c r="J3437" s="1"/>
    </row>
    <row r="3438" spans="1:10" s="6" customFormat="1">
      <c r="A3438" s="17"/>
      <c r="C3438" s="9"/>
      <c r="D3438" s="10"/>
      <c r="E3438" s="10"/>
      <c r="F3438" s="9"/>
      <c r="G3438" s="1"/>
      <c r="H3438" s="1"/>
      <c r="I3438" s="1"/>
      <c r="J3438" s="1"/>
    </row>
    <row r="3439" spans="1:10" s="6" customFormat="1">
      <c r="A3439" s="17"/>
      <c r="C3439" s="9"/>
      <c r="D3439" s="10"/>
      <c r="E3439" s="10"/>
      <c r="F3439" s="9"/>
      <c r="G3439" s="1"/>
      <c r="H3439" s="1"/>
      <c r="I3439" s="1"/>
      <c r="J3439" s="1"/>
    </row>
    <row r="3440" spans="1:10" s="6" customFormat="1">
      <c r="A3440" s="17"/>
      <c r="C3440" s="9"/>
      <c r="D3440" s="10"/>
      <c r="E3440" s="10"/>
      <c r="F3440" s="9"/>
      <c r="G3440" s="1"/>
      <c r="H3440" s="1"/>
      <c r="I3440" s="1"/>
      <c r="J3440" s="1"/>
    </row>
    <row r="3441" spans="1:10" s="6" customFormat="1">
      <c r="A3441" s="17"/>
      <c r="C3441" s="9"/>
      <c r="D3441" s="10"/>
      <c r="E3441" s="10"/>
      <c r="F3441" s="9"/>
      <c r="G3441" s="1"/>
      <c r="H3441" s="1"/>
      <c r="I3441" s="1"/>
      <c r="J3441" s="1"/>
    </row>
    <row r="3442" spans="1:10" s="6" customFormat="1">
      <c r="A3442" s="17"/>
      <c r="C3442" s="9"/>
      <c r="D3442" s="10"/>
      <c r="E3442" s="10"/>
      <c r="F3442" s="9"/>
      <c r="G3442" s="1"/>
      <c r="H3442" s="1"/>
      <c r="I3442" s="1"/>
      <c r="J3442" s="1"/>
    </row>
    <row r="3443" spans="1:10" s="6" customFormat="1">
      <c r="A3443" s="17"/>
      <c r="C3443" s="9"/>
      <c r="D3443" s="10"/>
      <c r="E3443" s="10"/>
      <c r="F3443" s="9"/>
      <c r="G3443" s="1"/>
      <c r="H3443" s="1"/>
      <c r="I3443" s="1"/>
      <c r="J3443" s="1"/>
    </row>
    <row r="3444" spans="1:10" s="6" customFormat="1">
      <c r="A3444" s="17"/>
      <c r="C3444" s="9"/>
      <c r="D3444" s="10"/>
      <c r="E3444" s="10"/>
      <c r="F3444" s="9"/>
      <c r="G3444" s="1"/>
      <c r="H3444" s="1"/>
      <c r="I3444" s="1"/>
      <c r="J3444" s="1"/>
    </row>
    <row r="3445" spans="1:10" s="6" customFormat="1">
      <c r="A3445" s="17"/>
      <c r="C3445" s="9"/>
      <c r="D3445" s="10"/>
      <c r="E3445" s="10"/>
      <c r="F3445" s="9"/>
      <c r="G3445" s="1"/>
      <c r="H3445" s="1"/>
      <c r="I3445" s="1"/>
      <c r="J3445" s="1"/>
    </row>
    <row r="3446" spans="1:10" s="6" customFormat="1">
      <c r="A3446" s="17"/>
      <c r="C3446" s="9"/>
      <c r="D3446" s="10"/>
      <c r="E3446" s="10"/>
      <c r="F3446" s="9"/>
      <c r="G3446" s="1"/>
      <c r="H3446" s="1"/>
      <c r="I3446" s="1"/>
      <c r="J3446" s="1"/>
    </row>
    <row r="3447" spans="1:10" s="6" customFormat="1">
      <c r="A3447" s="17"/>
      <c r="C3447" s="9"/>
      <c r="D3447" s="10"/>
      <c r="E3447" s="10"/>
      <c r="F3447" s="9"/>
      <c r="G3447" s="1"/>
      <c r="H3447" s="1"/>
      <c r="I3447" s="1"/>
      <c r="J3447" s="1"/>
    </row>
    <row r="3448" spans="1:10" s="6" customFormat="1">
      <c r="A3448" s="17"/>
      <c r="C3448" s="9"/>
      <c r="D3448" s="10"/>
      <c r="E3448" s="10"/>
      <c r="F3448" s="9"/>
      <c r="G3448" s="1"/>
      <c r="H3448" s="1"/>
      <c r="I3448" s="1"/>
      <c r="J3448" s="1"/>
    </row>
    <row r="3449" spans="1:10" s="6" customFormat="1">
      <c r="A3449" s="17"/>
      <c r="C3449" s="9"/>
      <c r="D3449" s="10"/>
      <c r="E3449" s="10"/>
      <c r="F3449" s="9"/>
      <c r="G3449" s="1"/>
      <c r="H3449" s="1"/>
      <c r="I3449" s="1"/>
      <c r="J3449" s="1"/>
    </row>
    <row r="3450" spans="1:10" s="6" customFormat="1">
      <c r="A3450" s="17"/>
      <c r="C3450" s="9"/>
      <c r="D3450" s="10"/>
      <c r="E3450" s="10"/>
      <c r="F3450" s="9"/>
      <c r="G3450" s="1"/>
      <c r="H3450" s="1"/>
      <c r="I3450" s="1"/>
      <c r="J3450" s="1"/>
    </row>
    <row r="3451" spans="1:10" s="6" customFormat="1">
      <c r="A3451" s="17"/>
      <c r="C3451" s="9"/>
      <c r="D3451" s="10"/>
      <c r="E3451" s="10"/>
      <c r="F3451" s="9"/>
      <c r="G3451" s="1"/>
      <c r="H3451" s="1"/>
      <c r="I3451" s="1"/>
      <c r="J3451" s="1"/>
    </row>
    <row r="3452" spans="1:10" s="6" customFormat="1">
      <c r="A3452" s="17"/>
      <c r="C3452" s="9"/>
      <c r="D3452" s="10"/>
      <c r="E3452" s="10"/>
      <c r="F3452" s="9"/>
      <c r="G3452" s="1"/>
      <c r="H3452" s="1"/>
      <c r="I3452" s="1"/>
      <c r="J3452" s="1"/>
    </row>
    <row r="3453" spans="1:10" s="6" customFormat="1">
      <c r="A3453" s="17"/>
      <c r="C3453" s="9"/>
      <c r="D3453" s="10"/>
      <c r="E3453" s="10"/>
      <c r="F3453" s="9"/>
      <c r="G3453" s="1"/>
      <c r="H3453" s="1"/>
      <c r="I3453" s="1"/>
      <c r="J3453" s="1"/>
    </row>
    <row r="3454" spans="1:10" s="6" customFormat="1">
      <c r="A3454" s="17"/>
      <c r="C3454" s="9"/>
      <c r="D3454" s="10"/>
      <c r="E3454" s="10"/>
      <c r="F3454" s="9"/>
      <c r="G3454" s="1"/>
      <c r="H3454" s="1"/>
      <c r="I3454" s="1"/>
      <c r="J3454" s="1"/>
    </row>
    <row r="3455" spans="1:10" s="6" customFormat="1">
      <c r="A3455" s="17"/>
      <c r="C3455" s="9"/>
      <c r="D3455" s="10"/>
      <c r="E3455" s="10"/>
      <c r="F3455" s="9"/>
      <c r="G3455" s="1"/>
      <c r="H3455" s="1"/>
      <c r="I3455" s="1"/>
      <c r="J3455" s="1"/>
    </row>
    <row r="3456" spans="1:10" s="6" customFormat="1">
      <c r="A3456" s="17"/>
      <c r="C3456" s="9"/>
      <c r="D3456" s="10"/>
      <c r="E3456" s="10"/>
      <c r="F3456" s="9"/>
      <c r="G3456" s="1"/>
      <c r="H3456" s="1"/>
      <c r="I3456" s="1"/>
      <c r="J3456" s="1"/>
    </row>
    <row r="3457" spans="1:10" s="6" customFormat="1">
      <c r="A3457" s="17"/>
      <c r="C3457" s="9"/>
      <c r="D3457" s="10"/>
      <c r="E3457" s="10"/>
      <c r="F3457" s="9"/>
      <c r="G3457" s="1"/>
      <c r="H3457" s="1"/>
      <c r="I3457" s="1"/>
      <c r="J3457" s="1"/>
    </row>
    <row r="3458" spans="1:10" s="6" customFormat="1">
      <c r="A3458" s="17"/>
      <c r="C3458" s="9"/>
      <c r="D3458" s="10"/>
      <c r="E3458" s="10"/>
      <c r="F3458" s="9"/>
      <c r="G3458" s="1"/>
      <c r="H3458" s="1"/>
      <c r="I3458" s="1"/>
      <c r="J3458" s="1"/>
    </row>
    <row r="3459" spans="1:10" s="6" customFormat="1">
      <c r="A3459" s="17"/>
      <c r="C3459" s="9"/>
      <c r="D3459" s="10"/>
      <c r="E3459" s="10"/>
      <c r="F3459" s="9"/>
      <c r="G3459" s="1"/>
      <c r="H3459" s="1"/>
      <c r="I3459" s="1"/>
      <c r="J3459" s="1"/>
    </row>
    <row r="3460" spans="1:10" s="6" customFormat="1">
      <c r="A3460" s="17"/>
      <c r="C3460" s="9"/>
      <c r="D3460" s="10"/>
      <c r="E3460" s="10"/>
      <c r="F3460" s="9"/>
      <c r="G3460" s="1"/>
      <c r="H3460" s="1"/>
      <c r="I3460" s="1"/>
      <c r="J3460" s="1"/>
    </row>
    <row r="3461" spans="1:10" s="6" customFormat="1">
      <c r="A3461" s="17"/>
      <c r="C3461" s="9"/>
      <c r="D3461" s="10"/>
      <c r="E3461" s="10"/>
      <c r="F3461" s="9"/>
      <c r="G3461" s="1"/>
      <c r="H3461" s="1"/>
      <c r="I3461" s="1"/>
      <c r="J3461" s="1"/>
    </row>
    <row r="3462" spans="1:10" s="6" customFormat="1">
      <c r="A3462" s="17"/>
      <c r="C3462" s="9"/>
      <c r="D3462" s="10"/>
      <c r="E3462" s="10"/>
      <c r="F3462" s="9"/>
      <c r="G3462" s="1"/>
      <c r="H3462" s="1"/>
      <c r="I3462" s="1"/>
      <c r="J3462" s="1"/>
    </row>
    <row r="3463" spans="1:10" s="6" customFormat="1">
      <c r="A3463" s="17"/>
      <c r="C3463" s="9"/>
      <c r="D3463" s="10"/>
      <c r="E3463" s="10"/>
      <c r="F3463" s="9"/>
      <c r="G3463" s="1"/>
      <c r="H3463" s="1"/>
      <c r="I3463" s="1"/>
      <c r="J3463" s="1"/>
    </row>
    <row r="3464" spans="1:10" s="6" customFormat="1">
      <c r="A3464" s="17"/>
      <c r="C3464" s="9"/>
      <c r="D3464" s="10"/>
      <c r="E3464" s="10"/>
      <c r="F3464" s="9"/>
      <c r="G3464" s="1"/>
      <c r="H3464" s="1"/>
      <c r="I3464" s="1"/>
      <c r="J3464" s="1"/>
    </row>
    <row r="3465" spans="1:10" s="6" customFormat="1">
      <c r="A3465" s="17"/>
      <c r="C3465" s="9"/>
      <c r="D3465" s="10"/>
      <c r="E3465" s="10"/>
      <c r="F3465" s="9"/>
      <c r="G3465" s="1"/>
      <c r="H3465" s="1"/>
      <c r="I3465" s="1"/>
      <c r="J3465" s="1"/>
    </row>
    <row r="3466" spans="1:10" s="6" customFormat="1">
      <c r="A3466" s="17"/>
      <c r="C3466" s="9"/>
      <c r="D3466" s="10"/>
      <c r="E3466" s="10"/>
      <c r="F3466" s="9"/>
      <c r="G3466" s="1"/>
      <c r="H3466" s="1"/>
      <c r="I3466" s="1"/>
      <c r="J3466" s="1"/>
    </row>
    <row r="3467" spans="1:10" s="6" customFormat="1">
      <c r="A3467" s="17"/>
      <c r="C3467" s="9"/>
      <c r="D3467" s="10"/>
      <c r="E3467" s="10"/>
      <c r="F3467" s="9"/>
      <c r="G3467" s="1"/>
      <c r="H3467" s="1"/>
      <c r="I3467" s="1"/>
      <c r="J3467" s="1"/>
    </row>
    <row r="3468" spans="1:10" s="6" customFormat="1">
      <c r="A3468" s="17"/>
      <c r="C3468" s="9"/>
      <c r="D3468" s="10"/>
      <c r="E3468" s="10"/>
      <c r="F3468" s="9"/>
      <c r="G3468" s="1"/>
      <c r="H3468" s="1"/>
      <c r="I3468" s="1"/>
      <c r="J3468" s="1"/>
    </row>
    <row r="3469" spans="1:10" s="6" customFormat="1">
      <c r="A3469" s="17"/>
      <c r="C3469" s="9"/>
      <c r="D3469" s="10"/>
      <c r="E3469" s="10"/>
      <c r="F3469" s="9"/>
      <c r="G3469" s="1"/>
      <c r="H3469" s="1"/>
      <c r="I3469" s="1"/>
      <c r="J3469" s="1"/>
    </row>
    <row r="3470" spans="1:10" s="6" customFormat="1">
      <c r="A3470" s="17"/>
      <c r="C3470" s="9"/>
      <c r="D3470" s="10"/>
      <c r="E3470" s="10"/>
      <c r="F3470" s="9"/>
      <c r="G3470" s="1"/>
      <c r="H3470" s="1"/>
      <c r="I3470" s="1"/>
      <c r="J3470" s="1"/>
    </row>
    <row r="3471" spans="1:10" s="6" customFormat="1">
      <c r="A3471" s="17"/>
      <c r="C3471" s="9"/>
      <c r="D3471" s="10"/>
      <c r="E3471" s="10"/>
      <c r="F3471" s="9"/>
      <c r="G3471" s="1"/>
      <c r="H3471" s="1"/>
      <c r="I3471" s="1"/>
      <c r="J3471" s="1"/>
    </row>
    <row r="3472" spans="1:10" s="6" customFormat="1">
      <c r="A3472" s="17"/>
      <c r="C3472" s="9"/>
      <c r="D3472" s="10"/>
      <c r="E3472" s="10"/>
      <c r="F3472" s="9"/>
      <c r="G3472" s="1"/>
      <c r="H3472" s="1"/>
      <c r="I3472" s="1"/>
      <c r="J3472" s="1"/>
    </row>
    <row r="3473" spans="1:10" s="6" customFormat="1">
      <c r="A3473" s="17"/>
      <c r="C3473" s="9"/>
      <c r="D3473" s="10"/>
      <c r="E3473" s="10"/>
      <c r="F3473" s="9"/>
      <c r="G3473" s="1"/>
      <c r="H3473" s="1"/>
      <c r="I3473" s="1"/>
      <c r="J3473" s="1"/>
    </row>
    <row r="3474" spans="1:10" s="6" customFormat="1">
      <c r="A3474" s="17"/>
      <c r="C3474" s="9"/>
      <c r="D3474" s="10"/>
      <c r="E3474" s="10"/>
      <c r="F3474" s="9"/>
      <c r="G3474" s="1"/>
      <c r="H3474" s="1"/>
      <c r="I3474" s="1"/>
      <c r="J3474" s="1"/>
    </row>
    <row r="3475" spans="1:10" s="6" customFormat="1">
      <c r="A3475" s="17"/>
      <c r="C3475" s="9"/>
      <c r="D3475" s="10"/>
      <c r="E3475" s="10"/>
      <c r="F3475" s="9"/>
      <c r="G3475" s="1"/>
      <c r="H3475" s="1"/>
      <c r="I3475" s="1"/>
      <c r="J3475" s="1"/>
    </row>
    <row r="3476" spans="1:10" s="6" customFormat="1">
      <c r="A3476" s="17"/>
      <c r="C3476" s="9"/>
      <c r="D3476" s="10"/>
      <c r="E3476" s="10"/>
      <c r="F3476" s="9"/>
      <c r="G3476" s="1"/>
      <c r="H3476" s="1"/>
      <c r="I3476" s="1"/>
      <c r="J3476" s="1"/>
    </row>
    <row r="3477" spans="1:10" s="6" customFormat="1">
      <c r="A3477" s="17"/>
      <c r="C3477" s="9"/>
      <c r="D3477" s="10"/>
      <c r="E3477" s="10"/>
      <c r="F3477" s="9"/>
      <c r="G3477" s="1"/>
      <c r="H3477" s="1"/>
      <c r="I3477" s="1"/>
      <c r="J3477" s="1"/>
    </row>
    <row r="3478" spans="1:10" s="6" customFormat="1">
      <c r="A3478" s="17"/>
      <c r="C3478" s="9"/>
      <c r="D3478" s="10"/>
      <c r="E3478" s="10"/>
      <c r="F3478" s="9"/>
      <c r="G3478" s="1"/>
      <c r="H3478" s="1"/>
      <c r="I3478" s="1"/>
      <c r="J3478" s="1"/>
    </row>
    <row r="3479" spans="1:10" s="6" customFormat="1">
      <c r="A3479" s="17"/>
      <c r="C3479" s="9"/>
      <c r="D3479" s="10"/>
      <c r="E3479" s="10"/>
      <c r="F3479" s="9"/>
      <c r="G3479" s="1"/>
      <c r="H3479" s="1"/>
      <c r="I3479" s="1"/>
      <c r="J3479" s="1"/>
    </row>
    <row r="3480" spans="1:10" s="6" customFormat="1">
      <c r="A3480" s="17"/>
      <c r="C3480" s="9"/>
      <c r="D3480" s="10"/>
      <c r="E3480" s="10"/>
      <c r="F3480" s="9"/>
      <c r="G3480" s="1"/>
      <c r="H3480" s="1"/>
      <c r="I3480" s="1"/>
      <c r="J3480" s="1"/>
    </row>
    <row r="3481" spans="1:10" s="6" customFormat="1">
      <c r="A3481" s="17"/>
      <c r="C3481" s="9"/>
      <c r="D3481" s="10"/>
      <c r="E3481" s="10"/>
      <c r="F3481" s="9"/>
      <c r="G3481" s="1"/>
      <c r="H3481" s="1"/>
      <c r="I3481" s="1"/>
      <c r="J3481" s="1"/>
    </row>
    <row r="3482" spans="1:10" s="6" customFormat="1">
      <c r="A3482" s="17"/>
      <c r="C3482" s="9"/>
      <c r="D3482" s="10"/>
      <c r="E3482" s="10"/>
      <c r="F3482" s="9"/>
      <c r="G3482" s="1"/>
      <c r="H3482" s="1"/>
      <c r="I3482" s="1"/>
      <c r="J3482" s="1"/>
    </row>
    <row r="3483" spans="1:10" s="6" customFormat="1">
      <c r="A3483" s="17"/>
      <c r="C3483" s="9"/>
      <c r="D3483" s="10"/>
      <c r="E3483" s="10"/>
      <c r="F3483" s="9"/>
      <c r="G3483" s="1"/>
      <c r="H3483" s="1"/>
      <c r="I3483" s="1"/>
      <c r="J3483" s="1"/>
    </row>
    <row r="3484" spans="1:10" s="6" customFormat="1">
      <c r="A3484" s="17"/>
      <c r="C3484" s="9"/>
      <c r="D3484" s="10"/>
      <c r="E3484" s="10"/>
      <c r="F3484" s="9"/>
      <c r="G3484" s="1"/>
      <c r="H3484" s="1"/>
      <c r="I3484" s="1"/>
      <c r="J3484" s="1"/>
    </row>
    <row r="3485" spans="1:10" s="6" customFormat="1">
      <c r="A3485" s="17"/>
      <c r="C3485" s="9"/>
      <c r="D3485" s="10"/>
      <c r="E3485" s="10"/>
      <c r="F3485" s="9"/>
      <c r="G3485" s="1"/>
      <c r="H3485" s="1"/>
      <c r="I3485" s="1"/>
      <c r="J3485" s="1"/>
    </row>
    <row r="3486" spans="1:10" s="6" customFormat="1">
      <c r="A3486" s="17"/>
      <c r="C3486" s="9"/>
      <c r="D3486" s="10"/>
      <c r="E3486" s="10"/>
      <c r="F3486" s="9"/>
      <c r="G3486" s="1"/>
      <c r="H3486" s="1"/>
      <c r="I3486" s="1"/>
      <c r="J3486" s="1"/>
    </row>
    <row r="3487" spans="1:10" s="6" customFormat="1">
      <c r="A3487" s="17"/>
      <c r="C3487" s="9"/>
      <c r="D3487" s="10"/>
      <c r="E3487" s="10"/>
      <c r="F3487" s="9"/>
      <c r="G3487" s="1"/>
      <c r="H3487" s="1"/>
      <c r="I3487" s="1"/>
      <c r="J3487" s="1"/>
    </row>
    <row r="3488" spans="1:10" s="6" customFormat="1">
      <c r="A3488" s="17"/>
      <c r="C3488" s="9"/>
      <c r="D3488" s="10"/>
      <c r="E3488" s="10"/>
      <c r="F3488" s="9"/>
      <c r="G3488" s="1"/>
      <c r="H3488" s="1"/>
      <c r="I3488" s="1"/>
      <c r="J3488" s="1"/>
    </row>
    <row r="3489" spans="1:10" s="6" customFormat="1">
      <c r="A3489" s="17"/>
      <c r="C3489" s="9"/>
      <c r="D3489" s="10"/>
      <c r="E3489" s="10"/>
      <c r="F3489" s="9"/>
      <c r="G3489" s="1"/>
      <c r="H3489" s="1"/>
      <c r="I3489" s="1"/>
      <c r="J3489" s="1"/>
    </row>
    <row r="3490" spans="1:10" s="6" customFormat="1">
      <c r="A3490" s="17"/>
      <c r="C3490" s="9"/>
      <c r="D3490" s="10"/>
      <c r="E3490" s="10"/>
      <c r="F3490" s="9"/>
      <c r="G3490" s="1"/>
      <c r="H3490" s="1"/>
      <c r="I3490" s="1"/>
      <c r="J3490" s="1"/>
    </row>
    <row r="3491" spans="1:10" s="6" customFormat="1">
      <c r="A3491" s="17"/>
      <c r="C3491" s="9"/>
      <c r="D3491" s="10"/>
      <c r="E3491" s="10"/>
      <c r="F3491" s="9"/>
      <c r="G3491" s="1"/>
      <c r="H3491" s="1"/>
      <c r="I3491" s="1"/>
      <c r="J3491" s="1"/>
    </row>
    <row r="3492" spans="1:10" s="6" customFormat="1">
      <c r="A3492" s="17"/>
      <c r="C3492" s="9"/>
      <c r="D3492" s="10"/>
      <c r="E3492" s="10"/>
      <c r="F3492" s="9"/>
      <c r="G3492" s="1"/>
      <c r="H3492" s="1"/>
      <c r="I3492" s="1"/>
      <c r="J3492" s="1"/>
    </row>
    <row r="3493" spans="1:10" s="6" customFormat="1">
      <c r="A3493" s="17"/>
      <c r="C3493" s="9"/>
      <c r="D3493" s="10"/>
      <c r="E3493" s="10"/>
      <c r="F3493" s="9"/>
      <c r="G3493" s="1"/>
      <c r="H3493" s="1"/>
      <c r="I3493" s="1"/>
      <c r="J3493" s="1"/>
    </row>
    <row r="3494" spans="1:10" s="6" customFormat="1">
      <c r="A3494" s="17"/>
      <c r="C3494" s="9"/>
      <c r="D3494" s="10"/>
      <c r="E3494" s="10"/>
      <c r="F3494" s="9"/>
      <c r="G3494" s="1"/>
      <c r="H3494" s="1"/>
      <c r="I3494" s="1"/>
      <c r="J3494" s="1"/>
    </row>
    <row r="3495" spans="1:10" s="6" customFormat="1">
      <c r="A3495" s="17"/>
      <c r="C3495" s="9"/>
      <c r="D3495" s="10"/>
      <c r="E3495" s="10"/>
      <c r="F3495" s="9"/>
      <c r="G3495" s="1"/>
      <c r="H3495" s="1"/>
      <c r="I3495" s="1"/>
      <c r="J3495" s="1"/>
    </row>
    <row r="3496" spans="1:10" s="6" customFormat="1">
      <c r="A3496" s="17"/>
      <c r="C3496" s="9"/>
      <c r="D3496" s="10"/>
      <c r="E3496" s="10"/>
      <c r="F3496" s="9"/>
      <c r="G3496" s="1"/>
      <c r="H3496" s="1"/>
      <c r="I3496" s="1"/>
      <c r="J3496" s="1"/>
    </row>
    <row r="3497" spans="1:10" s="6" customFormat="1">
      <c r="A3497" s="17"/>
      <c r="C3497" s="9"/>
      <c r="D3497" s="10"/>
      <c r="E3497" s="10"/>
      <c r="F3497" s="9"/>
      <c r="G3497" s="1"/>
      <c r="H3497" s="1"/>
      <c r="I3497" s="1"/>
      <c r="J3497" s="1"/>
    </row>
    <row r="3498" spans="1:10" s="6" customFormat="1">
      <c r="A3498" s="17"/>
      <c r="C3498" s="9"/>
      <c r="D3498" s="10"/>
      <c r="E3498" s="10"/>
      <c r="F3498" s="9"/>
      <c r="G3498" s="1"/>
      <c r="H3498" s="1"/>
      <c r="I3498" s="1"/>
      <c r="J3498" s="1"/>
    </row>
    <row r="3499" spans="1:10" s="6" customFormat="1">
      <c r="A3499" s="17"/>
      <c r="C3499" s="9"/>
      <c r="D3499" s="10"/>
      <c r="E3499" s="10"/>
      <c r="F3499" s="9"/>
      <c r="G3499" s="1"/>
      <c r="H3499" s="1"/>
      <c r="I3499" s="1"/>
      <c r="J3499" s="1"/>
    </row>
    <row r="3500" spans="1:10" s="6" customFormat="1">
      <c r="A3500" s="17"/>
      <c r="C3500" s="9"/>
      <c r="D3500" s="10"/>
      <c r="E3500" s="10"/>
      <c r="F3500" s="9"/>
      <c r="G3500" s="1"/>
      <c r="H3500" s="1"/>
      <c r="I3500" s="1"/>
      <c r="J3500" s="1"/>
    </row>
    <row r="3501" spans="1:10" s="6" customFormat="1">
      <c r="A3501" s="17"/>
      <c r="C3501" s="9"/>
      <c r="D3501" s="10"/>
      <c r="E3501" s="10"/>
      <c r="F3501" s="9"/>
      <c r="G3501" s="1"/>
      <c r="H3501" s="1"/>
      <c r="I3501" s="1"/>
      <c r="J3501" s="1"/>
    </row>
    <row r="3502" spans="1:10" s="6" customFormat="1">
      <c r="A3502" s="17"/>
      <c r="C3502" s="9"/>
      <c r="D3502" s="10"/>
      <c r="E3502" s="10"/>
      <c r="F3502" s="9"/>
      <c r="G3502" s="1"/>
      <c r="H3502" s="1"/>
      <c r="I3502" s="1"/>
      <c r="J3502" s="1"/>
    </row>
    <row r="3503" spans="1:10" s="6" customFormat="1">
      <c r="A3503" s="17"/>
      <c r="C3503" s="9"/>
      <c r="D3503" s="10"/>
      <c r="E3503" s="10"/>
      <c r="F3503" s="9"/>
      <c r="G3503" s="1"/>
      <c r="H3503" s="1"/>
      <c r="I3503" s="1"/>
      <c r="J3503" s="1"/>
    </row>
    <row r="3504" spans="1:10" s="6" customFormat="1">
      <c r="A3504" s="17"/>
      <c r="C3504" s="9"/>
      <c r="D3504" s="10"/>
      <c r="E3504" s="10"/>
      <c r="F3504" s="9"/>
      <c r="G3504" s="1"/>
      <c r="H3504" s="1"/>
      <c r="I3504" s="1"/>
      <c r="J3504" s="1"/>
    </row>
    <row r="3505" spans="1:10" s="6" customFormat="1">
      <c r="A3505" s="17"/>
      <c r="C3505" s="9"/>
      <c r="D3505" s="10"/>
      <c r="E3505" s="10"/>
      <c r="F3505" s="9"/>
      <c r="G3505" s="1"/>
      <c r="H3505" s="1"/>
      <c r="I3505" s="1"/>
      <c r="J3505" s="1"/>
    </row>
    <row r="3506" spans="1:10" s="6" customFormat="1">
      <c r="A3506" s="17"/>
      <c r="C3506" s="9"/>
      <c r="D3506" s="10"/>
      <c r="E3506" s="10"/>
      <c r="F3506" s="9"/>
      <c r="G3506" s="1"/>
      <c r="H3506" s="1"/>
      <c r="I3506" s="1"/>
      <c r="J3506" s="1"/>
    </row>
    <row r="3507" spans="1:10" s="6" customFormat="1">
      <c r="A3507" s="17"/>
      <c r="C3507" s="9"/>
      <c r="D3507" s="10"/>
      <c r="E3507" s="10"/>
      <c r="F3507" s="9"/>
      <c r="G3507" s="1"/>
      <c r="H3507" s="1"/>
      <c r="I3507" s="1"/>
      <c r="J3507" s="1"/>
    </row>
    <row r="3508" spans="1:10" s="6" customFormat="1">
      <c r="A3508" s="17"/>
      <c r="C3508" s="9"/>
      <c r="D3508" s="10"/>
      <c r="E3508" s="10"/>
      <c r="F3508" s="9"/>
      <c r="G3508" s="1"/>
      <c r="H3508" s="1"/>
      <c r="I3508" s="1"/>
      <c r="J3508" s="1"/>
    </row>
    <row r="3509" spans="1:10" s="6" customFormat="1">
      <c r="A3509" s="17"/>
      <c r="C3509" s="9"/>
      <c r="D3509" s="10"/>
      <c r="E3509" s="10"/>
      <c r="F3509" s="9"/>
      <c r="G3509" s="1"/>
      <c r="H3509" s="1"/>
      <c r="I3509" s="1"/>
      <c r="J3509" s="1"/>
    </row>
    <row r="3510" spans="1:10" s="6" customFormat="1">
      <c r="A3510" s="17"/>
      <c r="C3510" s="9"/>
      <c r="D3510" s="10"/>
      <c r="E3510" s="10"/>
      <c r="F3510" s="9"/>
      <c r="G3510" s="1"/>
      <c r="H3510" s="1"/>
      <c r="I3510" s="1"/>
      <c r="J3510" s="1"/>
    </row>
    <row r="3511" spans="1:10" s="6" customFormat="1">
      <c r="A3511" s="17"/>
      <c r="C3511" s="9"/>
      <c r="D3511" s="10"/>
      <c r="E3511" s="10"/>
      <c r="F3511" s="9"/>
      <c r="G3511" s="1"/>
      <c r="H3511" s="1"/>
      <c r="I3511" s="1"/>
      <c r="J3511" s="1"/>
    </row>
    <row r="3512" spans="1:10" s="6" customFormat="1">
      <c r="A3512" s="17"/>
      <c r="C3512" s="9"/>
      <c r="D3512" s="10"/>
      <c r="E3512" s="10"/>
      <c r="F3512" s="9"/>
      <c r="G3512" s="1"/>
      <c r="H3512" s="1"/>
      <c r="I3512" s="1"/>
      <c r="J3512" s="1"/>
    </row>
    <row r="3513" spans="1:10" s="6" customFormat="1">
      <c r="A3513" s="17"/>
      <c r="C3513" s="9"/>
      <c r="D3513" s="10"/>
      <c r="E3513" s="10"/>
      <c r="F3513" s="9"/>
      <c r="G3513" s="1"/>
      <c r="H3513" s="1"/>
      <c r="I3513" s="1"/>
      <c r="J3513" s="1"/>
    </row>
    <row r="3514" spans="1:10" s="6" customFormat="1">
      <c r="A3514" s="17"/>
      <c r="C3514" s="9"/>
      <c r="D3514" s="10"/>
      <c r="E3514" s="10"/>
      <c r="F3514" s="9"/>
      <c r="G3514" s="1"/>
      <c r="H3514" s="1"/>
      <c r="I3514" s="1"/>
      <c r="J3514" s="1"/>
    </row>
    <row r="3515" spans="1:10" s="6" customFormat="1">
      <c r="A3515" s="17"/>
      <c r="C3515" s="9"/>
      <c r="D3515" s="10"/>
      <c r="E3515" s="10"/>
      <c r="F3515" s="9"/>
      <c r="G3515" s="1"/>
      <c r="H3515" s="1"/>
      <c r="I3515" s="1"/>
      <c r="J3515" s="1"/>
    </row>
    <row r="3516" spans="1:10" s="6" customFormat="1">
      <c r="A3516" s="17"/>
      <c r="C3516" s="9"/>
      <c r="D3516" s="10"/>
      <c r="E3516" s="10"/>
      <c r="F3516" s="9"/>
      <c r="G3516" s="1"/>
      <c r="H3516" s="1"/>
      <c r="I3516" s="1"/>
      <c r="J3516" s="1"/>
    </row>
    <row r="3517" spans="1:10" s="6" customFormat="1">
      <c r="A3517" s="17"/>
      <c r="C3517" s="9"/>
      <c r="D3517" s="10"/>
      <c r="E3517" s="10"/>
      <c r="F3517" s="9"/>
      <c r="G3517" s="1"/>
      <c r="H3517" s="1"/>
      <c r="I3517" s="1"/>
      <c r="J3517" s="1"/>
    </row>
    <row r="3518" spans="1:10" s="6" customFormat="1">
      <c r="A3518" s="17"/>
      <c r="C3518" s="9"/>
      <c r="D3518" s="10"/>
      <c r="E3518" s="10"/>
      <c r="F3518" s="9"/>
      <c r="G3518" s="1"/>
      <c r="H3518" s="1"/>
      <c r="I3518" s="1"/>
      <c r="J3518" s="1"/>
    </row>
    <row r="3519" spans="1:10" s="6" customFormat="1">
      <c r="A3519" s="17"/>
      <c r="C3519" s="9"/>
      <c r="D3519" s="10"/>
      <c r="E3519" s="10"/>
      <c r="F3519" s="9"/>
      <c r="G3519" s="1"/>
      <c r="H3519" s="1"/>
      <c r="I3519" s="1"/>
      <c r="J3519" s="1"/>
    </row>
    <row r="3520" spans="1:10" s="6" customFormat="1">
      <c r="A3520" s="17"/>
      <c r="C3520" s="9"/>
      <c r="D3520" s="10"/>
      <c r="E3520" s="10"/>
      <c r="F3520" s="9"/>
      <c r="G3520" s="1"/>
      <c r="H3520" s="1"/>
      <c r="I3520" s="1"/>
      <c r="J3520" s="1"/>
    </row>
    <row r="3521" spans="1:10" s="6" customFormat="1">
      <c r="A3521" s="17"/>
      <c r="C3521" s="9"/>
      <c r="D3521" s="10"/>
      <c r="E3521" s="10"/>
      <c r="F3521" s="9"/>
      <c r="G3521" s="1"/>
      <c r="H3521" s="1"/>
      <c r="I3521" s="1"/>
      <c r="J3521" s="1"/>
    </row>
    <row r="3522" spans="1:10" s="6" customFormat="1">
      <c r="A3522" s="17"/>
      <c r="C3522" s="9"/>
      <c r="D3522" s="10"/>
      <c r="E3522" s="10"/>
      <c r="F3522" s="9"/>
      <c r="G3522" s="1"/>
      <c r="H3522" s="1"/>
      <c r="I3522" s="1"/>
      <c r="J3522" s="1"/>
    </row>
    <row r="3523" spans="1:10" s="6" customFormat="1">
      <c r="A3523" s="17"/>
      <c r="C3523" s="9"/>
      <c r="D3523" s="10"/>
      <c r="E3523" s="10"/>
      <c r="F3523" s="9"/>
      <c r="G3523" s="1"/>
      <c r="H3523" s="1"/>
      <c r="I3523" s="1"/>
      <c r="J3523" s="1"/>
    </row>
    <row r="3524" spans="1:10" s="6" customFormat="1">
      <c r="A3524" s="17"/>
      <c r="C3524" s="9"/>
      <c r="D3524" s="10"/>
      <c r="E3524" s="10"/>
      <c r="F3524" s="9"/>
      <c r="G3524" s="1"/>
      <c r="H3524" s="1"/>
      <c r="I3524" s="1"/>
      <c r="J3524" s="1"/>
    </row>
    <row r="3525" spans="1:10" s="6" customFormat="1">
      <c r="A3525" s="17"/>
      <c r="C3525" s="9"/>
      <c r="D3525" s="10"/>
      <c r="E3525" s="10"/>
      <c r="F3525" s="9"/>
      <c r="G3525" s="1"/>
      <c r="H3525" s="1"/>
      <c r="I3525" s="1"/>
      <c r="J3525" s="1"/>
    </row>
    <row r="3526" spans="1:10" s="6" customFormat="1">
      <c r="A3526" s="17"/>
      <c r="C3526" s="9"/>
      <c r="D3526" s="10"/>
      <c r="E3526" s="10"/>
      <c r="F3526" s="9"/>
      <c r="G3526" s="1"/>
      <c r="H3526" s="1"/>
      <c r="I3526" s="1"/>
      <c r="J3526" s="1"/>
    </row>
    <row r="3527" spans="1:10" s="6" customFormat="1">
      <c r="A3527" s="17"/>
      <c r="C3527" s="9"/>
      <c r="D3527" s="10"/>
      <c r="E3527" s="10"/>
      <c r="F3527" s="9"/>
      <c r="G3527" s="1"/>
      <c r="H3527" s="1"/>
      <c r="I3527" s="1"/>
      <c r="J3527" s="1"/>
    </row>
    <row r="3528" spans="1:10" s="6" customFormat="1">
      <c r="A3528" s="17"/>
      <c r="C3528" s="9"/>
      <c r="D3528" s="10"/>
      <c r="E3528" s="10"/>
      <c r="F3528" s="9"/>
      <c r="G3528" s="1"/>
      <c r="H3528" s="1"/>
      <c r="I3528" s="1"/>
      <c r="J3528" s="1"/>
    </row>
    <row r="3529" spans="1:10" s="6" customFormat="1">
      <c r="A3529" s="17"/>
      <c r="C3529" s="9"/>
      <c r="D3529" s="10"/>
      <c r="E3529" s="10"/>
      <c r="F3529" s="9"/>
      <c r="G3529" s="1"/>
      <c r="H3529" s="1"/>
      <c r="I3529" s="1"/>
      <c r="J3529" s="1"/>
    </row>
    <row r="3530" spans="1:10" s="6" customFormat="1">
      <c r="A3530" s="17"/>
      <c r="C3530" s="9"/>
      <c r="D3530" s="10"/>
      <c r="E3530" s="10"/>
      <c r="F3530" s="9"/>
      <c r="G3530" s="1"/>
      <c r="H3530" s="1"/>
      <c r="I3530" s="1"/>
      <c r="J3530" s="1"/>
    </row>
    <row r="3531" spans="1:10" s="6" customFormat="1">
      <c r="A3531" s="17"/>
      <c r="C3531" s="9"/>
      <c r="D3531" s="10"/>
      <c r="E3531" s="10"/>
      <c r="F3531" s="9"/>
      <c r="G3531" s="1"/>
      <c r="H3531" s="1"/>
      <c r="I3531" s="1"/>
      <c r="J3531" s="1"/>
    </row>
    <row r="3532" spans="1:10" s="6" customFormat="1">
      <c r="A3532" s="17"/>
      <c r="C3532" s="9"/>
      <c r="D3532" s="10"/>
      <c r="E3532" s="10"/>
      <c r="F3532" s="9"/>
      <c r="G3532" s="1"/>
      <c r="H3532" s="1"/>
      <c r="I3532" s="1"/>
      <c r="J3532" s="1"/>
    </row>
    <row r="3533" spans="1:10" s="6" customFormat="1">
      <c r="A3533" s="17"/>
      <c r="C3533" s="9"/>
      <c r="D3533" s="10"/>
      <c r="E3533" s="10"/>
      <c r="F3533" s="9"/>
      <c r="G3533" s="1"/>
      <c r="H3533" s="1"/>
      <c r="I3533" s="1"/>
      <c r="J3533" s="1"/>
    </row>
    <row r="3534" spans="1:10" s="6" customFormat="1">
      <c r="A3534" s="17"/>
      <c r="C3534" s="9"/>
      <c r="D3534" s="10"/>
      <c r="E3534" s="10"/>
      <c r="F3534" s="9"/>
      <c r="G3534" s="1"/>
      <c r="H3534" s="1"/>
      <c r="I3534" s="1"/>
      <c r="J3534" s="1"/>
    </row>
    <row r="3535" spans="1:10" s="6" customFormat="1">
      <c r="A3535" s="17"/>
      <c r="C3535" s="9"/>
      <c r="D3535" s="10"/>
      <c r="E3535" s="10"/>
      <c r="F3535" s="9"/>
      <c r="G3535" s="1"/>
      <c r="H3535" s="1"/>
      <c r="I3535" s="1"/>
      <c r="J3535" s="1"/>
    </row>
    <row r="3536" spans="1:10" s="6" customFormat="1">
      <c r="A3536" s="17"/>
      <c r="C3536" s="9"/>
      <c r="D3536" s="10"/>
      <c r="E3536" s="10"/>
      <c r="F3536" s="9"/>
      <c r="G3536" s="1"/>
      <c r="H3536" s="1"/>
      <c r="I3536" s="1"/>
      <c r="J3536" s="1"/>
    </row>
    <row r="3537" spans="1:10" s="6" customFormat="1">
      <c r="A3537" s="17"/>
      <c r="C3537" s="9"/>
      <c r="D3537" s="10"/>
      <c r="E3537" s="10"/>
      <c r="F3537" s="9"/>
      <c r="G3537" s="1"/>
      <c r="H3537" s="1"/>
      <c r="I3537" s="1"/>
      <c r="J3537" s="1"/>
    </row>
    <row r="3538" spans="1:10" s="6" customFormat="1">
      <c r="A3538" s="17"/>
      <c r="C3538" s="9"/>
      <c r="D3538" s="10"/>
      <c r="E3538" s="10"/>
      <c r="F3538" s="9"/>
      <c r="G3538" s="1"/>
      <c r="H3538" s="1"/>
      <c r="I3538" s="1"/>
      <c r="J3538" s="1"/>
    </row>
    <row r="3539" spans="1:10" s="6" customFormat="1">
      <c r="A3539" s="17"/>
      <c r="C3539" s="9"/>
      <c r="D3539" s="10"/>
      <c r="E3539" s="10"/>
      <c r="F3539" s="9"/>
      <c r="G3539" s="1"/>
      <c r="H3539" s="1"/>
      <c r="I3539" s="1"/>
      <c r="J3539" s="1"/>
    </row>
    <row r="3540" spans="1:10" s="6" customFormat="1">
      <c r="A3540" s="17"/>
      <c r="C3540" s="9"/>
      <c r="D3540" s="10"/>
      <c r="E3540" s="10"/>
      <c r="F3540" s="9"/>
      <c r="G3540" s="1"/>
      <c r="H3540" s="1"/>
      <c r="I3540" s="1"/>
      <c r="J3540" s="1"/>
    </row>
    <row r="3541" spans="1:10" s="6" customFormat="1">
      <c r="A3541" s="17"/>
      <c r="C3541" s="9"/>
      <c r="D3541" s="10"/>
      <c r="E3541" s="10"/>
      <c r="F3541" s="9"/>
      <c r="G3541" s="1"/>
      <c r="H3541" s="1"/>
      <c r="I3541" s="1"/>
      <c r="J3541" s="1"/>
    </row>
    <row r="3542" spans="1:10" s="6" customFormat="1">
      <c r="A3542" s="17"/>
      <c r="C3542" s="9"/>
      <c r="D3542" s="10"/>
      <c r="E3542" s="10"/>
      <c r="F3542" s="9"/>
      <c r="G3542" s="1"/>
      <c r="H3542" s="1"/>
      <c r="I3542" s="1"/>
      <c r="J3542" s="1"/>
    </row>
    <row r="3543" spans="1:10" s="6" customFormat="1">
      <c r="A3543" s="17"/>
      <c r="C3543" s="9"/>
      <c r="D3543" s="10"/>
      <c r="E3543" s="10"/>
      <c r="F3543" s="9"/>
      <c r="G3543" s="1"/>
      <c r="H3543" s="1"/>
      <c r="I3543" s="1"/>
      <c r="J3543" s="1"/>
    </row>
    <row r="3544" spans="1:10" s="6" customFormat="1">
      <c r="A3544" s="17"/>
      <c r="C3544" s="9"/>
      <c r="D3544" s="10"/>
      <c r="E3544" s="10"/>
      <c r="F3544" s="9"/>
      <c r="G3544" s="1"/>
      <c r="H3544" s="1"/>
      <c r="I3544" s="1"/>
      <c r="J3544" s="1"/>
    </row>
    <row r="3545" spans="1:10" s="6" customFormat="1">
      <c r="A3545" s="17"/>
      <c r="C3545" s="9"/>
      <c r="D3545" s="10"/>
      <c r="E3545" s="10"/>
      <c r="F3545" s="9"/>
      <c r="G3545" s="1"/>
      <c r="H3545" s="1"/>
      <c r="I3545" s="1"/>
      <c r="J3545" s="1"/>
    </row>
    <row r="3546" spans="1:10" s="6" customFormat="1">
      <c r="A3546" s="17"/>
      <c r="C3546" s="9"/>
      <c r="D3546" s="10"/>
      <c r="E3546" s="10"/>
      <c r="F3546" s="9"/>
      <c r="G3546" s="1"/>
      <c r="H3546" s="1"/>
      <c r="I3546" s="1"/>
      <c r="J3546" s="1"/>
    </row>
    <row r="3547" spans="1:10" s="6" customFormat="1">
      <c r="A3547" s="17"/>
      <c r="C3547" s="9"/>
      <c r="D3547" s="10"/>
      <c r="E3547" s="10"/>
      <c r="F3547" s="9"/>
      <c r="G3547" s="1"/>
      <c r="H3547" s="1"/>
      <c r="I3547" s="1"/>
      <c r="J3547" s="1"/>
    </row>
    <row r="3548" spans="1:10" s="6" customFormat="1">
      <c r="A3548" s="17"/>
      <c r="C3548" s="9"/>
      <c r="D3548" s="10"/>
      <c r="E3548" s="10"/>
      <c r="F3548" s="9"/>
      <c r="G3548" s="1"/>
      <c r="H3548" s="1"/>
      <c r="I3548" s="1"/>
      <c r="J3548" s="1"/>
    </row>
    <row r="3549" spans="1:10" s="6" customFormat="1">
      <c r="A3549" s="17"/>
      <c r="C3549" s="9"/>
      <c r="D3549" s="10"/>
      <c r="E3549" s="10"/>
      <c r="F3549" s="9"/>
      <c r="G3549" s="1"/>
      <c r="H3549" s="1"/>
      <c r="I3549" s="1"/>
      <c r="J3549" s="1"/>
    </row>
    <row r="3550" spans="1:10" s="6" customFormat="1">
      <c r="A3550" s="17"/>
      <c r="C3550" s="9"/>
      <c r="D3550" s="10"/>
      <c r="E3550" s="10"/>
      <c r="F3550" s="9"/>
      <c r="G3550" s="1"/>
      <c r="H3550" s="1"/>
      <c r="I3550" s="1"/>
      <c r="J3550" s="1"/>
    </row>
    <row r="3551" spans="1:10" s="6" customFormat="1">
      <c r="A3551" s="17"/>
      <c r="C3551" s="9"/>
      <c r="D3551" s="10"/>
      <c r="E3551" s="10"/>
      <c r="F3551" s="9"/>
      <c r="G3551" s="1"/>
      <c r="H3551" s="1"/>
      <c r="I3551" s="1"/>
      <c r="J3551" s="1"/>
    </row>
    <row r="3552" spans="1:10" s="6" customFormat="1">
      <c r="A3552" s="17"/>
      <c r="C3552" s="9"/>
      <c r="D3552" s="10"/>
      <c r="E3552" s="10"/>
      <c r="F3552" s="9"/>
      <c r="G3552" s="1"/>
      <c r="H3552" s="1"/>
      <c r="I3552" s="1"/>
      <c r="J3552" s="1"/>
    </row>
    <row r="3553" spans="1:10" s="6" customFormat="1">
      <c r="A3553" s="17"/>
      <c r="C3553" s="9"/>
      <c r="D3553" s="10"/>
      <c r="E3553" s="10"/>
      <c r="F3553" s="9"/>
      <c r="G3553" s="1"/>
      <c r="H3553" s="1"/>
      <c r="I3553" s="1"/>
      <c r="J3553" s="1"/>
    </row>
    <row r="3554" spans="1:10" s="6" customFormat="1">
      <c r="A3554" s="17"/>
      <c r="C3554" s="9"/>
      <c r="D3554" s="10"/>
      <c r="E3554" s="10"/>
      <c r="F3554" s="9"/>
      <c r="G3554" s="1"/>
      <c r="H3554" s="1"/>
      <c r="I3554" s="1"/>
      <c r="J3554" s="1"/>
    </row>
    <row r="3555" spans="1:10" s="6" customFormat="1">
      <c r="A3555" s="17"/>
      <c r="C3555" s="9"/>
      <c r="D3555" s="10"/>
      <c r="E3555" s="10"/>
      <c r="F3555" s="9"/>
      <c r="G3555" s="1"/>
      <c r="H3555" s="1"/>
      <c r="I3555" s="1"/>
      <c r="J3555" s="1"/>
    </row>
    <row r="3556" spans="1:10" s="6" customFormat="1">
      <c r="A3556" s="17"/>
      <c r="C3556" s="9"/>
      <c r="D3556" s="10"/>
      <c r="E3556" s="10"/>
      <c r="F3556" s="9"/>
      <c r="G3556" s="1"/>
      <c r="H3556" s="1"/>
      <c r="I3556" s="1"/>
      <c r="J3556" s="1"/>
    </row>
    <row r="3557" spans="1:10" s="6" customFormat="1">
      <c r="A3557" s="17"/>
      <c r="C3557" s="9"/>
      <c r="D3557" s="10"/>
      <c r="E3557" s="10"/>
      <c r="F3557" s="9"/>
      <c r="G3557" s="1"/>
      <c r="H3557" s="1"/>
      <c r="I3557" s="1"/>
      <c r="J3557" s="1"/>
    </row>
    <row r="3558" spans="1:10" s="6" customFormat="1">
      <c r="A3558" s="17"/>
      <c r="C3558" s="9"/>
      <c r="D3558" s="10"/>
      <c r="E3558" s="10"/>
      <c r="F3558" s="9"/>
      <c r="G3558" s="1"/>
      <c r="H3558" s="1"/>
      <c r="I3558" s="1"/>
      <c r="J3558" s="1"/>
    </row>
    <row r="3559" spans="1:10" s="6" customFormat="1">
      <c r="A3559" s="17"/>
      <c r="C3559" s="9"/>
      <c r="D3559" s="10"/>
      <c r="E3559" s="10"/>
      <c r="F3559" s="9"/>
      <c r="G3559" s="1"/>
      <c r="H3559" s="1"/>
      <c r="I3559" s="1"/>
      <c r="J3559" s="1"/>
    </row>
    <row r="3560" spans="1:10" s="6" customFormat="1">
      <c r="A3560" s="17"/>
      <c r="C3560" s="9"/>
      <c r="D3560" s="10"/>
      <c r="E3560" s="10"/>
      <c r="F3560" s="9"/>
      <c r="G3560" s="1"/>
      <c r="H3560" s="1"/>
      <c r="I3560" s="1"/>
      <c r="J3560" s="1"/>
    </row>
    <row r="3561" spans="1:10" s="6" customFormat="1">
      <c r="A3561" s="17"/>
      <c r="C3561" s="9"/>
      <c r="D3561" s="10"/>
      <c r="E3561" s="10"/>
      <c r="F3561" s="9"/>
      <c r="G3561" s="1"/>
      <c r="H3561" s="1"/>
      <c r="I3561" s="1"/>
      <c r="J3561" s="1"/>
    </row>
    <row r="3562" spans="1:10" s="6" customFormat="1">
      <c r="A3562" s="17"/>
      <c r="C3562" s="9"/>
      <c r="D3562" s="10"/>
      <c r="E3562" s="10"/>
      <c r="F3562" s="9"/>
      <c r="G3562" s="1"/>
      <c r="H3562" s="1"/>
      <c r="I3562" s="1"/>
      <c r="J3562" s="1"/>
    </row>
    <row r="3563" spans="1:10" s="6" customFormat="1">
      <c r="A3563" s="17"/>
      <c r="C3563" s="9"/>
      <c r="D3563" s="10"/>
      <c r="E3563" s="10"/>
      <c r="F3563" s="9"/>
      <c r="G3563" s="1"/>
      <c r="H3563" s="1"/>
      <c r="I3563" s="1"/>
      <c r="J3563" s="1"/>
    </row>
    <row r="3564" spans="1:10" s="6" customFormat="1">
      <c r="A3564" s="17"/>
      <c r="C3564" s="9"/>
      <c r="D3564" s="10"/>
      <c r="E3564" s="10"/>
      <c r="F3564" s="9"/>
      <c r="G3564" s="1"/>
      <c r="H3564" s="1"/>
      <c r="I3564" s="1"/>
      <c r="J3564" s="1"/>
    </row>
    <row r="3565" spans="1:10" s="6" customFormat="1">
      <c r="A3565" s="17"/>
      <c r="C3565" s="9"/>
      <c r="D3565" s="10"/>
      <c r="E3565" s="10"/>
      <c r="F3565" s="9"/>
      <c r="G3565" s="1"/>
      <c r="H3565" s="1"/>
      <c r="I3565" s="1"/>
      <c r="J3565" s="1"/>
    </row>
    <row r="3566" spans="1:10" s="6" customFormat="1">
      <c r="A3566" s="17"/>
      <c r="C3566" s="9"/>
      <c r="D3566" s="10"/>
      <c r="E3566" s="10"/>
      <c r="F3566" s="9"/>
      <c r="G3566" s="1"/>
      <c r="H3566" s="1"/>
      <c r="I3566" s="1"/>
      <c r="J3566" s="1"/>
    </row>
    <row r="3567" spans="1:10" s="6" customFormat="1">
      <c r="A3567" s="17"/>
      <c r="C3567" s="9"/>
      <c r="D3567" s="10"/>
      <c r="E3567" s="10"/>
      <c r="F3567" s="9"/>
      <c r="G3567" s="1"/>
      <c r="H3567" s="1"/>
      <c r="I3567" s="1"/>
      <c r="J3567" s="1"/>
    </row>
    <row r="3568" spans="1:10" s="6" customFormat="1">
      <c r="A3568" s="17"/>
      <c r="C3568" s="9"/>
      <c r="D3568" s="10"/>
      <c r="E3568" s="10"/>
      <c r="F3568" s="9"/>
      <c r="G3568" s="1"/>
      <c r="H3568" s="1"/>
      <c r="I3568" s="1"/>
      <c r="J3568" s="1"/>
    </row>
    <row r="3569" spans="1:10" s="6" customFormat="1">
      <c r="A3569" s="17"/>
      <c r="C3569" s="9"/>
      <c r="D3569" s="10"/>
      <c r="E3569" s="10"/>
      <c r="F3569" s="9"/>
      <c r="G3569" s="1"/>
      <c r="H3569" s="1"/>
      <c r="I3569" s="1"/>
      <c r="J3569" s="1"/>
    </row>
    <row r="3570" spans="1:10" s="6" customFormat="1">
      <c r="A3570" s="17"/>
      <c r="C3570" s="9"/>
      <c r="D3570" s="10"/>
      <c r="E3570" s="10"/>
      <c r="F3570" s="9"/>
      <c r="G3570" s="1"/>
      <c r="H3570" s="1"/>
      <c r="I3570" s="1"/>
      <c r="J3570" s="1"/>
    </row>
    <row r="3571" spans="1:10" s="6" customFormat="1">
      <c r="A3571" s="17"/>
      <c r="C3571" s="9"/>
      <c r="D3571" s="10"/>
      <c r="E3571" s="10"/>
      <c r="F3571" s="9"/>
      <c r="G3571" s="1"/>
      <c r="H3571" s="1"/>
      <c r="I3571" s="1"/>
      <c r="J3571" s="1"/>
    </row>
    <row r="3572" spans="1:10" s="6" customFormat="1">
      <c r="A3572" s="17"/>
      <c r="C3572" s="9"/>
      <c r="D3572" s="10"/>
      <c r="E3572" s="10"/>
      <c r="F3572" s="9"/>
      <c r="G3572" s="1"/>
      <c r="H3572" s="1"/>
      <c r="I3572" s="1"/>
      <c r="J3572" s="1"/>
    </row>
    <row r="3573" spans="1:10" s="6" customFormat="1">
      <c r="A3573" s="17"/>
      <c r="C3573" s="9"/>
      <c r="D3573" s="10"/>
      <c r="E3573" s="10"/>
      <c r="F3573" s="9"/>
      <c r="G3573" s="1"/>
      <c r="H3573" s="1"/>
      <c r="I3573" s="1"/>
      <c r="J3573" s="1"/>
    </row>
    <row r="3574" spans="1:10" s="6" customFormat="1">
      <c r="A3574" s="17"/>
      <c r="C3574" s="9"/>
      <c r="D3574" s="10"/>
      <c r="E3574" s="10"/>
      <c r="F3574" s="9"/>
      <c r="G3574" s="1"/>
      <c r="H3574" s="1"/>
      <c r="I3574" s="1"/>
      <c r="J3574" s="1"/>
    </row>
    <row r="3575" spans="1:10" s="6" customFormat="1">
      <c r="A3575" s="17"/>
      <c r="C3575" s="9"/>
      <c r="D3575" s="10"/>
      <c r="E3575" s="10"/>
      <c r="F3575" s="9"/>
      <c r="G3575" s="1"/>
      <c r="H3575" s="1"/>
      <c r="I3575" s="1"/>
      <c r="J3575" s="1"/>
    </row>
    <row r="3576" spans="1:10" s="6" customFormat="1">
      <c r="A3576" s="17"/>
      <c r="C3576" s="9"/>
      <c r="D3576" s="10"/>
      <c r="E3576" s="10"/>
      <c r="F3576" s="9"/>
      <c r="G3576" s="1"/>
      <c r="H3576" s="1"/>
      <c r="I3576" s="1"/>
      <c r="J3576" s="1"/>
    </row>
    <row r="3577" spans="1:10" s="6" customFormat="1">
      <c r="A3577" s="17"/>
      <c r="C3577" s="9"/>
      <c r="D3577" s="10"/>
      <c r="E3577" s="10"/>
      <c r="F3577" s="9"/>
      <c r="G3577" s="1"/>
      <c r="H3577" s="1"/>
      <c r="I3577" s="1"/>
      <c r="J3577" s="1"/>
    </row>
    <row r="3578" spans="1:10" s="6" customFormat="1">
      <c r="A3578" s="17"/>
      <c r="C3578" s="9"/>
      <c r="D3578" s="10"/>
      <c r="E3578" s="10"/>
      <c r="F3578" s="9"/>
      <c r="G3578" s="1"/>
      <c r="H3578" s="1"/>
      <c r="I3578" s="1"/>
      <c r="J3578" s="1"/>
    </row>
    <row r="3579" spans="1:10" s="6" customFormat="1">
      <c r="A3579" s="17"/>
      <c r="C3579" s="9"/>
      <c r="D3579" s="10"/>
      <c r="E3579" s="10"/>
      <c r="F3579" s="9"/>
      <c r="G3579" s="1"/>
      <c r="H3579" s="1"/>
      <c r="I3579" s="1"/>
      <c r="J3579" s="1"/>
    </row>
    <row r="3580" spans="1:10" s="6" customFormat="1">
      <c r="A3580" s="17"/>
      <c r="C3580" s="9"/>
      <c r="D3580" s="10"/>
      <c r="E3580" s="10"/>
      <c r="F3580" s="9"/>
      <c r="G3580" s="1"/>
      <c r="H3580" s="1"/>
      <c r="I3580" s="1"/>
      <c r="J3580" s="1"/>
    </row>
    <row r="3581" spans="1:10" s="6" customFormat="1">
      <c r="A3581" s="17"/>
      <c r="C3581" s="9"/>
      <c r="D3581" s="10"/>
      <c r="E3581" s="10"/>
      <c r="F3581" s="9"/>
      <c r="G3581" s="1"/>
      <c r="H3581" s="1"/>
      <c r="I3581" s="1"/>
      <c r="J3581" s="1"/>
    </row>
    <row r="3582" spans="1:10" s="6" customFormat="1">
      <c r="A3582" s="17"/>
      <c r="C3582" s="9"/>
      <c r="D3582" s="10"/>
      <c r="E3582" s="10"/>
      <c r="F3582" s="9"/>
      <c r="G3582" s="1"/>
      <c r="H3582" s="1"/>
      <c r="I3582" s="1"/>
      <c r="J3582" s="1"/>
    </row>
    <row r="3583" spans="1:10" s="6" customFormat="1">
      <c r="A3583" s="17"/>
      <c r="C3583" s="9"/>
      <c r="D3583" s="10"/>
      <c r="E3583" s="10"/>
      <c r="F3583" s="9"/>
      <c r="G3583" s="1"/>
      <c r="H3583" s="1"/>
      <c r="I3583" s="1"/>
      <c r="J3583" s="1"/>
    </row>
    <row r="3584" spans="1:10" s="6" customFormat="1">
      <c r="A3584" s="17"/>
      <c r="C3584" s="9"/>
      <c r="D3584" s="10"/>
      <c r="E3584" s="10"/>
      <c r="F3584" s="9"/>
      <c r="G3584" s="1"/>
      <c r="H3584" s="1"/>
      <c r="I3584" s="1"/>
      <c r="J3584" s="1"/>
    </row>
    <row r="3585" spans="1:10" s="6" customFormat="1">
      <c r="A3585" s="17"/>
      <c r="C3585" s="9"/>
      <c r="D3585" s="10"/>
      <c r="E3585" s="10"/>
      <c r="F3585" s="9"/>
      <c r="G3585" s="1"/>
      <c r="H3585" s="1"/>
      <c r="I3585" s="1"/>
      <c r="J3585" s="1"/>
    </row>
    <row r="3586" spans="1:10" s="6" customFormat="1">
      <c r="A3586" s="17"/>
      <c r="C3586" s="9"/>
      <c r="D3586" s="10"/>
      <c r="E3586" s="10"/>
      <c r="F3586" s="9"/>
      <c r="G3586" s="1"/>
      <c r="H3586" s="1"/>
      <c r="I3586" s="1"/>
      <c r="J3586" s="1"/>
    </row>
    <row r="3587" spans="1:10" s="6" customFormat="1">
      <c r="A3587" s="17"/>
      <c r="C3587" s="9"/>
      <c r="D3587" s="10"/>
      <c r="E3587" s="10"/>
      <c r="F3587" s="9"/>
      <c r="G3587" s="1"/>
      <c r="H3587" s="1"/>
      <c r="I3587" s="1"/>
      <c r="J3587" s="1"/>
    </row>
    <row r="3588" spans="1:10" s="6" customFormat="1">
      <c r="A3588" s="17"/>
      <c r="C3588" s="9"/>
      <c r="D3588" s="10"/>
      <c r="E3588" s="10"/>
      <c r="F3588" s="9"/>
      <c r="G3588" s="1"/>
      <c r="H3588" s="1"/>
      <c r="I3588" s="1"/>
      <c r="J3588" s="1"/>
    </row>
    <row r="3589" spans="1:10" s="6" customFormat="1">
      <c r="A3589" s="17"/>
      <c r="C3589" s="9"/>
      <c r="D3589" s="10"/>
      <c r="E3589" s="10"/>
      <c r="F3589" s="9"/>
      <c r="G3589" s="1"/>
      <c r="H3589" s="1"/>
      <c r="I3589" s="1"/>
      <c r="J3589" s="1"/>
    </row>
    <row r="3590" spans="1:10" s="6" customFormat="1">
      <c r="A3590" s="17"/>
      <c r="C3590" s="9"/>
      <c r="D3590" s="10"/>
      <c r="E3590" s="10"/>
      <c r="F3590" s="9"/>
      <c r="G3590" s="1"/>
      <c r="H3590" s="1"/>
      <c r="I3590" s="1"/>
      <c r="J3590" s="1"/>
    </row>
    <row r="3591" spans="1:10" s="6" customFormat="1">
      <c r="A3591" s="17"/>
      <c r="C3591" s="9"/>
      <c r="D3591" s="10"/>
      <c r="E3591" s="10"/>
      <c r="F3591" s="9"/>
      <c r="G3591" s="1"/>
      <c r="H3591" s="1"/>
      <c r="I3591" s="1"/>
      <c r="J3591" s="1"/>
    </row>
    <row r="3592" spans="1:10" s="6" customFormat="1">
      <c r="A3592" s="17"/>
      <c r="C3592" s="9"/>
      <c r="D3592" s="10"/>
      <c r="E3592" s="10"/>
      <c r="F3592" s="9"/>
      <c r="G3592" s="1"/>
      <c r="H3592" s="1"/>
      <c r="I3592" s="1"/>
      <c r="J3592" s="1"/>
    </row>
    <row r="3593" spans="1:10" s="6" customFormat="1">
      <c r="A3593" s="17"/>
      <c r="C3593" s="9"/>
      <c r="D3593" s="10"/>
      <c r="E3593" s="10"/>
      <c r="F3593" s="9"/>
      <c r="G3593" s="1"/>
      <c r="H3593" s="1"/>
      <c r="I3593" s="1"/>
      <c r="J3593" s="1"/>
    </row>
    <row r="3594" spans="1:10" s="6" customFormat="1">
      <c r="A3594" s="17"/>
      <c r="C3594" s="9"/>
      <c r="D3594" s="10"/>
      <c r="E3594" s="10"/>
      <c r="F3594" s="9"/>
      <c r="G3594" s="1"/>
      <c r="H3594" s="1"/>
      <c r="I3594" s="1"/>
      <c r="J3594" s="1"/>
    </row>
    <row r="3595" spans="1:10" s="6" customFormat="1">
      <c r="A3595" s="17"/>
      <c r="C3595" s="9"/>
      <c r="D3595" s="10"/>
      <c r="E3595" s="10"/>
      <c r="F3595" s="9"/>
      <c r="G3595" s="1"/>
      <c r="H3595" s="1"/>
      <c r="I3595" s="1"/>
      <c r="J3595" s="1"/>
    </row>
    <row r="3596" spans="1:10" s="6" customFormat="1">
      <c r="A3596" s="17"/>
      <c r="C3596" s="9"/>
      <c r="D3596" s="10"/>
      <c r="E3596" s="10"/>
      <c r="F3596" s="9"/>
      <c r="G3596" s="1"/>
      <c r="H3596" s="1"/>
      <c r="I3596" s="1"/>
      <c r="J3596" s="1"/>
    </row>
    <row r="3597" spans="1:10" s="6" customFormat="1">
      <c r="A3597" s="17"/>
      <c r="C3597" s="9"/>
      <c r="D3597" s="10"/>
      <c r="E3597" s="10"/>
      <c r="F3597" s="9"/>
      <c r="G3597" s="1"/>
      <c r="H3597" s="1"/>
      <c r="I3597" s="1"/>
      <c r="J3597" s="1"/>
    </row>
    <row r="3598" spans="1:10" s="6" customFormat="1">
      <c r="A3598" s="17"/>
      <c r="C3598" s="9"/>
      <c r="D3598" s="10"/>
      <c r="E3598" s="10"/>
      <c r="F3598" s="9"/>
      <c r="G3598" s="1"/>
      <c r="H3598" s="1"/>
      <c r="I3598" s="1"/>
      <c r="J3598" s="1"/>
    </row>
    <row r="3599" spans="1:10" s="6" customFormat="1">
      <c r="A3599" s="17"/>
      <c r="C3599" s="9"/>
      <c r="D3599" s="10"/>
      <c r="E3599" s="10"/>
      <c r="F3599" s="9"/>
      <c r="G3599" s="1"/>
      <c r="H3599" s="1"/>
      <c r="I3599" s="1"/>
      <c r="J3599" s="1"/>
    </row>
    <row r="3600" spans="1:10" s="6" customFormat="1">
      <c r="A3600" s="17"/>
      <c r="C3600" s="9"/>
      <c r="D3600" s="10"/>
      <c r="E3600" s="10"/>
      <c r="F3600" s="9"/>
      <c r="G3600" s="1"/>
      <c r="H3600" s="1"/>
      <c r="I3600" s="1"/>
      <c r="J3600" s="1"/>
    </row>
    <row r="3601" spans="1:10" s="6" customFormat="1">
      <c r="A3601" s="17"/>
      <c r="C3601" s="9"/>
      <c r="D3601" s="10"/>
      <c r="E3601" s="10"/>
      <c r="F3601" s="9"/>
      <c r="G3601" s="1"/>
      <c r="H3601" s="1"/>
      <c r="I3601" s="1"/>
      <c r="J3601" s="1"/>
    </row>
    <row r="3602" spans="1:10" s="6" customFormat="1">
      <c r="A3602" s="17"/>
      <c r="C3602" s="9"/>
      <c r="D3602" s="10"/>
      <c r="E3602" s="10"/>
      <c r="F3602" s="9"/>
      <c r="G3602" s="1"/>
      <c r="H3602" s="1"/>
      <c r="I3602" s="1"/>
      <c r="J3602" s="1"/>
    </row>
    <row r="3603" spans="1:10" s="6" customFormat="1">
      <c r="A3603" s="17"/>
      <c r="C3603" s="9"/>
      <c r="D3603" s="10"/>
      <c r="E3603" s="10"/>
      <c r="F3603" s="9"/>
      <c r="G3603" s="1"/>
      <c r="H3603" s="1"/>
      <c r="I3603" s="1"/>
      <c r="J3603" s="1"/>
    </row>
    <row r="3604" spans="1:10" s="6" customFormat="1">
      <c r="A3604" s="17"/>
      <c r="C3604" s="9"/>
      <c r="D3604" s="10"/>
      <c r="E3604" s="10"/>
      <c r="F3604" s="9"/>
      <c r="G3604" s="1"/>
      <c r="H3604" s="1"/>
      <c r="I3604" s="1"/>
      <c r="J3604" s="1"/>
    </row>
    <row r="3605" spans="1:10" s="6" customFormat="1">
      <c r="A3605" s="17"/>
      <c r="C3605" s="9"/>
      <c r="D3605" s="10"/>
      <c r="E3605" s="10"/>
      <c r="F3605" s="9"/>
      <c r="G3605" s="1"/>
      <c r="H3605" s="1"/>
      <c r="I3605" s="1"/>
      <c r="J3605" s="1"/>
    </row>
    <row r="3606" spans="1:10" s="6" customFormat="1">
      <c r="A3606" s="17"/>
      <c r="C3606" s="9"/>
      <c r="D3606" s="10"/>
      <c r="E3606" s="10"/>
      <c r="F3606" s="9"/>
      <c r="G3606" s="1"/>
      <c r="H3606" s="1"/>
      <c r="I3606" s="1"/>
      <c r="J3606" s="1"/>
    </row>
    <row r="3607" spans="1:10" s="6" customFormat="1">
      <c r="A3607" s="17"/>
      <c r="C3607" s="9"/>
      <c r="D3607" s="10"/>
      <c r="E3607" s="10"/>
      <c r="F3607" s="9"/>
      <c r="G3607" s="1"/>
      <c r="H3607" s="1"/>
      <c r="I3607" s="1"/>
      <c r="J3607" s="1"/>
    </row>
    <row r="3608" spans="1:10" s="6" customFormat="1">
      <c r="A3608" s="17"/>
      <c r="C3608" s="9"/>
      <c r="D3608" s="10"/>
      <c r="E3608" s="10"/>
      <c r="F3608" s="9"/>
      <c r="G3608" s="1"/>
      <c r="H3608" s="1"/>
      <c r="I3608" s="1"/>
      <c r="J3608" s="1"/>
    </row>
    <row r="3609" spans="1:10" s="6" customFormat="1">
      <c r="A3609" s="17"/>
      <c r="C3609" s="9"/>
      <c r="D3609" s="10"/>
      <c r="E3609" s="10"/>
      <c r="F3609" s="9"/>
      <c r="G3609" s="1"/>
      <c r="H3609" s="1"/>
      <c r="I3609" s="1"/>
      <c r="J3609" s="1"/>
    </row>
    <row r="3610" spans="1:10" s="6" customFormat="1">
      <c r="A3610" s="17"/>
      <c r="C3610" s="9"/>
      <c r="D3610" s="10"/>
      <c r="E3610" s="10"/>
      <c r="F3610" s="9"/>
      <c r="G3610" s="1"/>
      <c r="H3610" s="1"/>
      <c r="I3610" s="1"/>
      <c r="J3610" s="1"/>
    </row>
    <row r="3611" spans="1:10" s="6" customFormat="1">
      <c r="A3611" s="17"/>
      <c r="C3611" s="9"/>
      <c r="D3611" s="10"/>
      <c r="E3611" s="10"/>
      <c r="F3611" s="9"/>
      <c r="G3611" s="1"/>
      <c r="H3611" s="1"/>
      <c r="I3611" s="1"/>
      <c r="J3611" s="1"/>
    </row>
    <row r="3612" spans="1:10" s="6" customFormat="1">
      <c r="A3612" s="17"/>
      <c r="C3612" s="9"/>
      <c r="D3612" s="10"/>
      <c r="E3612" s="10"/>
      <c r="F3612" s="9"/>
      <c r="G3612" s="1"/>
      <c r="H3612" s="1"/>
      <c r="I3612" s="1"/>
      <c r="J3612" s="1"/>
    </row>
    <row r="3613" spans="1:10" s="6" customFormat="1">
      <c r="A3613" s="17"/>
      <c r="C3613" s="9"/>
      <c r="D3613" s="10"/>
      <c r="E3613" s="10"/>
      <c r="F3613" s="9"/>
      <c r="G3613" s="1"/>
      <c r="H3613" s="1"/>
      <c r="I3613" s="1"/>
      <c r="J3613" s="1"/>
    </row>
    <row r="3614" spans="1:10" s="6" customFormat="1">
      <c r="A3614" s="17"/>
      <c r="C3614" s="9"/>
      <c r="D3614" s="10"/>
      <c r="E3614" s="10"/>
      <c r="F3614" s="9"/>
      <c r="G3614" s="1"/>
      <c r="H3614" s="1"/>
      <c r="I3614" s="1"/>
      <c r="J3614" s="1"/>
    </row>
    <row r="3615" spans="1:10" s="6" customFormat="1">
      <c r="A3615" s="17"/>
      <c r="C3615" s="9"/>
      <c r="D3615" s="10"/>
      <c r="E3615" s="10"/>
      <c r="F3615" s="9"/>
      <c r="G3615" s="1"/>
      <c r="H3615" s="1"/>
      <c r="I3615" s="1"/>
      <c r="J3615" s="1"/>
    </row>
    <row r="3616" spans="1:10" s="6" customFormat="1">
      <c r="A3616" s="17"/>
      <c r="C3616" s="9"/>
      <c r="D3616" s="10"/>
      <c r="E3616" s="10"/>
      <c r="F3616" s="9"/>
      <c r="G3616" s="1"/>
      <c r="H3616" s="1"/>
      <c r="I3616" s="1"/>
      <c r="J3616" s="1"/>
    </row>
    <row r="3617" spans="1:10" s="6" customFormat="1">
      <c r="A3617" s="17"/>
      <c r="C3617" s="9"/>
      <c r="D3617" s="10"/>
      <c r="E3617" s="10"/>
      <c r="F3617" s="9"/>
      <c r="G3617" s="1"/>
      <c r="H3617" s="1"/>
      <c r="I3617" s="1"/>
      <c r="J3617" s="1"/>
    </row>
    <row r="3618" spans="1:10" s="6" customFormat="1">
      <c r="A3618" s="17"/>
      <c r="C3618" s="9"/>
      <c r="D3618" s="10"/>
      <c r="E3618" s="10"/>
      <c r="F3618" s="9"/>
      <c r="G3618" s="1"/>
      <c r="H3618" s="1"/>
      <c r="I3618" s="1"/>
      <c r="J3618" s="1"/>
    </row>
    <row r="3619" spans="1:10" s="6" customFormat="1">
      <c r="A3619" s="17"/>
      <c r="C3619" s="9"/>
      <c r="D3619" s="10"/>
      <c r="E3619" s="10"/>
      <c r="F3619" s="9"/>
      <c r="G3619" s="1"/>
      <c r="H3619" s="1"/>
      <c r="I3619" s="1"/>
      <c r="J3619" s="1"/>
    </row>
    <row r="3620" spans="1:10" s="6" customFormat="1">
      <c r="A3620" s="17"/>
      <c r="C3620" s="9"/>
      <c r="D3620" s="10"/>
      <c r="E3620" s="10"/>
      <c r="F3620" s="9"/>
      <c r="G3620" s="1"/>
      <c r="H3620" s="1"/>
      <c r="I3620" s="1"/>
      <c r="J3620" s="1"/>
    </row>
    <row r="3621" spans="1:10" s="6" customFormat="1">
      <c r="A3621" s="17"/>
      <c r="C3621" s="9"/>
      <c r="D3621" s="10"/>
      <c r="E3621" s="10"/>
      <c r="F3621" s="9"/>
      <c r="G3621" s="1"/>
      <c r="H3621" s="1"/>
      <c r="I3621" s="1"/>
      <c r="J3621" s="1"/>
    </row>
    <row r="3622" spans="1:10" s="6" customFormat="1">
      <c r="A3622" s="17"/>
      <c r="C3622" s="9"/>
      <c r="D3622" s="10"/>
      <c r="E3622" s="10"/>
      <c r="F3622" s="9"/>
      <c r="G3622" s="1"/>
      <c r="H3622" s="1"/>
      <c r="I3622" s="1"/>
      <c r="J3622" s="1"/>
    </row>
    <row r="3623" spans="1:10" s="6" customFormat="1">
      <c r="A3623" s="17"/>
      <c r="C3623" s="9"/>
      <c r="D3623" s="10"/>
      <c r="E3623" s="10"/>
      <c r="F3623" s="9"/>
      <c r="G3623" s="1"/>
      <c r="H3623" s="1"/>
      <c r="I3623" s="1"/>
      <c r="J3623" s="1"/>
    </row>
    <row r="3624" spans="1:10" s="6" customFormat="1">
      <c r="A3624" s="17"/>
      <c r="C3624" s="9"/>
      <c r="D3624" s="10"/>
      <c r="E3624" s="10"/>
      <c r="F3624" s="9"/>
      <c r="G3624" s="1"/>
      <c r="H3624" s="1"/>
      <c r="I3624" s="1"/>
      <c r="J3624" s="1"/>
    </row>
    <row r="3625" spans="1:10" s="6" customFormat="1">
      <c r="A3625" s="17"/>
      <c r="C3625" s="9"/>
      <c r="D3625" s="10"/>
      <c r="E3625" s="10"/>
      <c r="F3625" s="9"/>
      <c r="G3625" s="1"/>
      <c r="H3625" s="1"/>
      <c r="I3625" s="1"/>
      <c r="J3625" s="1"/>
    </row>
    <row r="3626" spans="1:10" s="6" customFormat="1">
      <c r="A3626" s="17"/>
      <c r="C3626" s="9"/>
      <c r="D3626" s="10"/>
      <c r="E3626" s="10"/>
      <c r="F3626" s="9"/>
      <c r="G3626" s="1"/>
      <c r="H3626" s="1"/>
      <c r="I3626" s="1"/>
      <c r="J3626" s="1"/>
    </row>
    <row r="3627" spans="1:10" s="6" customFormat="1">
      <c r="A3627" s="17"/>
      <c r="C3627" s="9"/>
      <c r="D3627" s="10"/>
      <c r="E3627" s="10"/>
      <c r="F3627" s="9"/>
      <c r="G3627" s="1"/>
      <c r="H3627" s="1"/>
      <c r="I3627" s="1"/>
      <c r="J3627" s="1"/>
    </row>
    <row r="3628" spans="1:10" s="6" customFormat="1">
      <c r="A3628" s="17"/>
      <c r="C3628" s="9"/>
      <c r="D3628" s="10"/>
      <c r="E3628" s="10"/>
      <c r="F3628" s="9"/>
      <c r="G3628" s="1"/>
      <c r="H3628" s="1"/>
      <c r="I3628" s="1"/>
      <c r="J3628" s="1"/>
    </row>
    <row r="3629" spans="1:10" s="6" customFormat="1">
      <c r="A3629" s="17"/>
      <c r="C3629" s="9"/>
      <c r="D3629" s="10"/>
      <c r="E3629" s="10"/>
      <c r="F3629" s="9"/>
      <c r="G3629" s="1"/>
      <c r="H3629" s="1"/>
      <c r="I3629" s="1"/>
      <c r="J3629" s="1"/>
    </row>
    <row r="3630" spans="1:10" s="6" customFormat="1">
      <c r="A3630" s="17"/>
      <c r="C3630" s="9"/>
      <c r="D3630" s="10"/>
      <c r="E3630" s="10"/>
      <c r="F3630" s="9"/>
      <c r="G3630" s="1"/>
      <c r="H3630" s="1"/>
      <c r="I3630" s="1"/>
      <c r="J3630" s="1"/>
    </row>
    <row r="3631" spans="1:10" s="6" customFormat="1">
      <c r="A3631" s="17"/>
      <c r="C3631" s="9"/>
      <c r="D3631" s="10"/>
      <c r="E3631" s="10"/>
      <c r="F3631" s="9"/>
      <c r="G3631" s="1"/>
      <c r="H3631" s="1"/>
      <c r="I3631" s="1"/>
      <c r="J3631" s="1"/>
    </row>
    <row r="3632" spans="1:10" s="6" customFormat="1">
      <c r="A3632" s="17"/>
      <c r="C3632" s="9"/>
      <c r="D3632" s="10"/>
      <c r="E3632" s="10"/>
      <c r="F3632" s="9"/>
      <c r="G3632" s="1"/>
      <c r="H3632" s="1"/>
      <c r="I3632" s="1"/>
      <c r="J3632" s="1"/>
    </row>
    <row r="3633" spans="1:10" s="6" customFormat="1">
      <c r="A3633" s="17"/>
      <c r="C3633" s="9"/>
      <c r="D3633" s="10"/>
      <c r="E3633" s="10"/>
      <c r="F3633" s="9"/>
      <c r="G3633" s="1"/>
      <c r="H3633" s="1"/>
      <c r="I3633" s="1"/>
      <c r="J3633" s="1"/>
    </row>
    <row r="3634" spans="1:10" s="6" customFormat="1">
      <c r="A3634" s="17"/>
      <c r="C3634" s="9"/>
      <c r="D3634" s="10"/>
      <c r="E3634" s="10"/>
      <c r="F3634" s="9"/>
      <c r="G3634" s="1"/>
      <c r="H3634" s="1"/>
      <c r="I3634" s="1"/>
      <c r="J3634" s="1"/>
    </row>
    <row r="3635" spans="1:10" s="6" customFormat="1">
      <c r="A3635" s="17"/>
      <c r="C3635" s="9"/>
      <c r="D3635" s="10"/>
      <c r="E3635" s="10"/>
      <c r="F3635" s="9"/>
      <c r="G3635" s="1"/>
      <c r="H3635" s="1"/>
      <c r="I3635" s="1"/>
      <c r="J3635" s="1"/>
    </row>
    <row r="3636" spans="1:10" s="6" customFormat="1">
      <c r="A3636" s="17"/>
      <c r="C3636" s="9"/>
      <c r="D3636" s="10"/>
      <c r="E3636" s="10"/>
      <c r="F3636" s="9"/>
      <c r="G3636" s="1"/>
      <c r="H3636" s="1"/>
      <c r="I3636" s="1"/>
      <c r="J3636" s="1"/>
    </row>
    <row r="3637" spans="1:10" s="6" customFormat="1">
      <c r="A3637" s="17"/>
      <c r="C3637" s="9"/>
      <c r="D3637" s="10"/>
      <c r="E3637" s="10"/>
      <c r="F3637" s="9"/>
      <c r="G3637" s="1"/>
      <c r="H3637" s="1"/>
      <c r="I3637" s="1"/>
      <c r="J3637" s="1"/>
    </row>
    <row r="3638" spans="1:10" s="6" customFormat="1">
      <c r="A3638" s="17"/>
      <c r="C3638" s="9"/>
      <c r="D3638" s="10"/>
      <c r="E3638" s="10"/>
      <c r="F3638" s="9"/>
      <c r="G3638" s="1"/>
      <c r="H3638" s="1"/>
      <c r="I3638" s="1"/>
      <c r="J3638" s="1"/>
    </row>
    <row r="3639" spans="1:10" s="6" customFormat="1">
      <c r="A3639" s="17"/>
      <c r="C3639" s="9"/>
      <c r="D3639" s="10"/>
      <c r="E3639" s="10"/>
      <c r="F3639" s="9"/>
      <c r="G3639" s="1"/>
      <c r="H3639" s="1"/>
      <c r="I3639" s="1"/>
      <c r="J3639" s="1"/>
    </row>
    <row r="3640" spans="1:10" s="6" customFormat="1">
      <c r="A3640" s="17"/>
      <c r="C3640" s="9"/>
      <c r="D3640" s="10"/>
      <c r="E3640" s="10"/>
      <c r="F3640" s="9"/>
      <c r="G3640" s="1"/>
      <c r="H3640" s="1"/>
      <c r="I3640" s="1"/>
      <c r="J3640" s="1"/>
    </row>
    <row r="3641" spans="1:10" s="6" customFormat="1">
      <c r="A3641" s="17"/>
      <c r="C3641" s="9"/>
      <c r="D3641" s="10"/>
      <c r="E3641" s="10"/>
      <c r="F3641" s="9"/>
      <c r="G3641" s="1"/>
      <c r="H3641" s="1"/>
      <c r="I3641" s="1"/>
      <c r="J3641" s="1"/>
    </row>
    <row r="3642" spans="1:10" s="6" customFormat="1">
      <c r="A3642" s="17"/>
      <c r="C3642" s="9"/>
      <c r="D3642" s="10"/>
      <c r="E3642" s="10"/>
      <c r="F3642" s="9"/>
      <c r="G3642" s="1"/>
      <c r="H3642" s="1"/>
      <c r="I3642" s="1"/>
      <c r="J3642" s="1"/>
    </row>
    <row r="3643" spans="1:10" s="6" customFormat="1">
      <c r="A3643" s="17"/>
      <c r="C3643" s="9"/>
      <c r="D3643" s="10"/>
      <c r="E3643" s="10"/>
      <c r="F3643" s="9"/>
      <c r="G3643" s="1"/>
      <c r="H3643" s="1"/>
      <c r="I3643" s="1"/>
      <c r="J3643" s="1"/>
    </row>
    <row r="3644" spans="1:10" s="6" customFormat="1">
      <c r="A3644" s="17"/>
      <c r="C3644" s="9"/>
      <c r="D3644" s="10"/>
      <c r="E3644" s="10"/>
      <c r="F3644" s="9"/>
      <c r="G3644" s="1"/>
      <c r="H3644" s="1"/>
      <c r="I3644" s="1"/>
      <c r="J3644" s="1"/>
    </row>
    <row r="3645" spans="1:10" s="6" customFormat="1">
      <c r="A3645" s="17"/>
      <c r="C3645" s="9"/>
      <c r="D3645" s="10"/>
      <c r="E3645" s="10"/>
      <c r="F3645" s="9"/>
      <c r="G3645" s="1"/>
      <c r="H3645" s="1"/>
      <c r="I3645" s="1"/>
      <c r="J3645" s="1"/>
    </row>
    <row r="3646" spans="1:10" s="6" customFormat="1">
      <c r="A3646" s="17"/>
      <c r="C3646" s="9"/>
      <c r="D3646" s="10"/>
      <c r="E3646" s="10"/>
      <c r="F3646" s="9"/>
      <c r="G3646" s="1"/>
      <c r="H3646" s="1"/>
      <c r="I3646" s="1"/>
      <c r="J3646" s="1"/>
    </row>
    <row r="3647" spans="1:10" s="6" customFormat="1">
      <c r="A3647" s="17"/>
      <c r="C3647" s="9"/>
      <c r="D3647" s="10"/>
      <c r="E3647" s="10"/>
      <c r="F3647" s="9"/>
      <c r="G3647" s="1"/>
      <c r="H3647" s="1"/>
      <c r="I3647" s="1"/>
      <c r="J3647" s="1"/>
    </row>
    <row r="3648" spans="1:10" s="6" customFormat="1">
      <c r="A3648" s="17"/>
      <c r="C3648" s="9"/>
      <c r="D3648" s="10"/>
      <c r="E3648" s="10"/>
      <c r="F3648" s="9"/>
      <c r="G3648" s="1"/>
      <c r="H3648" s="1"/>
      <c r="I3648" s="1"/>
      <c r="J3648" s="1"/>
    </row>
    <row r="3649" spans="1:10" s="6" customFormat="1">
      <c r="A3649" s="17"/>
      <c r="C3649" s="9"/>
      <c r="D3649" s="10"/>
      <c r="E3649" s="10"/>
      <c r="F3649" s="9"/>
      <c r="G3649" s="1"/>
      <c r="H3649" s="1"/>
      <c r="I3649" s="1"/>
      <c r="J3649" s="1"/>
    </row>
    <row r="3650" spans="1:10" s="6" customFormat="1">
      <c r="A3650" s="17"/>
      <c r="C3650" s="9"/>
      <c r="D3650" s="10"/>
      <c r="E3650" s="10"/>
      <c r="F3650" s="9"/>
      <c r="G3650" s="1"/>
      <c r="H3650" s="1"/>
      <c r="I3650" s="1"/>
      <c r="J3650" s="1"/>
    </row>
    <row r="3651" spans="1:10" s="6" customFormat="1">
      <c r="A3651" s="17"/>
      <c r="C3651" s="9"/>
      <c r="D3651" s="10"/>
      <c r="E3651" s="10"/>
      <c r="F3651" s="9"/>
      <c r="G3651" s="1"/>
      <c r="H3651" s="1"/>
      <c r="I3651" s="1"/>
      <c r="J3651" s="1"/>
    </row>
    <row r="3652" spans="1:10" s="6" customFormat="1">
      <c r="A3652" s="17"/>
      <c r="C3652" s="9"/>
      <c r="D3652" s="10"/>
      <c r="E3652" s="10"/>
      <c r="F3652" s="9"/>
      <c r="G3652" s="1"/>
      <c r="H3652" s="1"/>
      <c r="I3652" s="1"/>
      <c r="J3652" s="1"/>
    </row>
    <row r="3653" spans="1:10" s="6" customFormat="1">
      <c r="A3653" s="17"/>
      <c r="C3653" s="9"/>
      <c r="D3653" s="10"/>
      <c r="E3653" s="10"/>
      <c r="F3653" s="9"/>
      <c r="G3653" s="1"/>
      <c r="H3653" s="1"/>
      <c r="I3653" s="1"/>
      <c r="J3653" s="1"/>
    </row>
    <row r="3654" spans="1:10" s="6" customFormat="1">
      <c r="A3654" s="17"/>
      <c r="C3654" s="9"/>
      <c r="D3654" s="10"/>
      <c r="E3654" s="10"/>
      <c r="F3654" s="9"/>
      <c r="G3654" s="1"/>
      <c r="H3654" s="1"/>
      <c r="I3654" s="1"/>
      <c r="J3654" s="1"/>
    </row>
    <row r="3655" spans="1:10" s="6" customFormat="1">
      <c r="A3655" s="17"/>
      <c r="C3655" s="9"/>
      <c r="D3655" s="10"/>
      <c r="E3655" s="10"/>
      <c r="F3655" s="9"/>
      <c r="G3655" s="1"/>
      <c r="H3655" s="1"/>
      <c r="I3655" s="1"/>
      <c r="J3655" s="1"/>
    </row>
    <row r="3656" spans="1:10" s="6" customFormat="1">
      <c r="A3656" s="17"/>
      <c r="C3656" s="9"/>
      <c r="D3656" s="10"/>
      <c r="E3656" s="10"/>
      <c r="F3656" s="9"/>
      <c r="G3656" s="1"/>
      <c r="H3656" s="1"/>
      <c r="I3656" s="1"/>
      <c r="J3656" s="1"/>
    </row>
    <row r="3657" spans="1:10" s="6" customFormat="1">
      <c r="A3657" s="17"/>
      <c r="C3657" s="9"/>
      <c r="D3657" s="10"/>
      <c r="E3657" s="10"/>
      <c r="F3657" s="9"/>
      <c r="G3657" s="1"/>
      <c r="H3657" s="1"/>
      <c r="I3657" s="1"/>
      <c r="J3657" s="1"/>
    </row>
    <row r="3658" spans="1:10" s="6" customFormat="1">
      <c r="A3658" s="17"/>
      <c r="C3658" s="9"/>
      <c r="D3658" s="10"/>
      <c r="E3658" s="10"/>
      <c r="F3658" s="9"/>
      <c r="G3658" s="1"/>
      <c r="H3658" s="1"/>
      <c r="I3658" s="1"/>
      <c r="J3658" s="1"/>
    </row>
    <row r="3659" spans="1:10" s="6" customFormat="1">
      <c r="A3659" s="17"/>
      <c r="C3659" s="9"/>
      <c r="D3659" s="10"/>
      <c r="E3659" s="10"/>
      <c r="F3659" s="9"/>
      <c r="G3659" s="1"/>
      <c r="H3659" s="1"/>
      <c r="I3659" s="1"/>
      <c r="J3659" s="1"/>
    </row>
    <row r="3660" spans="1:10" s="6" customFormat="1">
      <c r="A3660" s="17"/>
      <c r="C3660" s="9"/>
      <c r="D3660" s="10"/>
      <c r="E3660" s="10"/>
      <c r="F3660" s="9"/>
      <c r="G3660" s="1"/>
      <c r="H3660" s="1"/>
      <c r="I3660" s="1"/>
      <c r="J3660" s="1"/>
    </row>
    <row r="3661" spans="1:10" s="6" customFormat="1">
      <c r="A3661" s="17"/>
      <c r="C3661" s="9"/>
      <c r="D3661" s="10"/>
      <c r="E3661" s="10"/>
      <c r="F3661" s="9"/>
      <c r="G3661" s="1"/>
      <c r="H3661" s="1"/>
      <c r="I3661" s="1"/>
      <c r="J3661" s="1"/>
    </row>
    <row r="3662" spans="1:10" s="6" customFormat="1">
      <c r="A3662" s="17"/>
      <c r="C3662" s="9"/>
      <c r="D3662" s="10"/>
      <c r="E3662" s="10"/>
      <c r="F3662" s="9"/>
      <c r="G3662" s="1"/>
      <c r="H3662" s="1"/>
      <c r="I3662" s="1"/>
      <c r="J3662" s="1"/>
    </row>
    <row r="3663" spans="1:10" s="6" customFormat="1">
      <c r="A3663" s="17"/>
      <c r="C3663" s="9"/>
      <c r="D3663" s="10"/>
      <c r="E3663" s="10"/>
      <c r="F3663" s="9"/>
      <c r="G3663" s="1"/>
      <c r="H3663" s="1"/>
      <c r="I3663" s="1"/>
      <c r="J3663" s="1"/>
    </row>
    <row r="3664" spans="1:10" s="6" customFormat="1">
      <c r="A3664" s="17"/>
      <c r="C3664" s="9"/>
      <c r="D3664" s="10"/>
      <c r="E3664" s="10"/>
      <c r="F3664" s="9"/>
      <c r="G3664" s="1"/>
      <c r="H3664" s="1"/>
      <c r="I3664" s="1"/>
      <c r="J3664" s="1"/>
    </row>
    <row r="3665" spans="1:10" s="6" customFormat="1">
      <c r="A3665" s="17"/>
      <c r="C3665" s="9"/>
      <c r="D3665" s="10"/>
      <c r="E3665" s="10"/>
      <c r="F3665" s="9"/>
      <c r="G3665" s="1"/>
      <c r="H3665" s="1"/>
      <c r="I3665" s="1"/>
      <c r="J3665" s="1"/>
    </row>
    <row r="3666" spans="1:10" s="6" customFormat="1">
      <c r="A3666" s="17"/>
      <c r="C3666" s="9"/>
      <c r="D3666" s="10"/>
      <c r="E3666" s="10"/>
      <c r="F3666" s="9"/>
      <c r="G3666" s="1"/>
      <c r="H3666" s="1"/>
      <c r="I3666" s="1"/>
      <c r="J3666" s="1"/>
    </row>
    <row r="3667" spans="1:10" s="6" customFormat="1">
      <c r="A3667" s="17"/>
      <c r="C3667" s="9"/>
      <c r="D3667" s="10"/>
      <c r="E3667" s="10"/>
      <c r="F3667" s="9"/>
      <c r="G3667" s="1"/>
      <c r="H3667" s="1"/>
      <c r="I3667" s="1"/>
      <c r="J3667" s="1"/>
    </row>
    <row r="3668" spans="1:10" s="6" customFormat="1">
      <c r="A3668" s="17"/>
      <c r="C3668" s="9"/>
      <c r="D3668" s="10"/>
      <c r="E3668" s="10"/>
      <c r="F3668" s="9"/>
      <c r="G3668" s="1"/>
      <c r="H3668" s="1"/>
      <c r="I3668" s="1"/>
      <c r="J3668" s="1"/>
    </row>
    <row r="3669" spans="1:10" s="6" customFormat="1">
      <c r="A3669" s="17"/>
      <c r="C3669" s="9"/>
      <c r="D3669" s="10"/>
      <c r="E3669" s="10"/>
      <c r="F3669" s="9"/>
      <c r="G3669" s="1"/>
      <c r="H3669" s="1"/>
      <c r="I3669" s="1"/>
      <c r="J3669" s="1"/>
    </row>
    <row r="3670" spans="1:10" s="6" customFormat="1">
      <c r="A3670" s="17"/>
      <c r="C3670" s="9"/>
      <c r="D3670" s="10"/>
      <c r="E3670" s="10"/>
      <c r="F3670" s="9"/>
      <c r="G3670" s="1"/>
      <c r="H3670" s="1"/>
      <c r="I3670" s="1"/>
      <c r="J3670" s="1"/>
    </row>
    <row r="3671" spans="1:10" s="6" customFormat="1">
      <c r="A3671" s="17"/>
      <c r="C3671" s="9"/>
      <c r="D3671" s="10"/>
      <c r="E3671" s="10"/>
      <c r="F3671" s="9"/>
      <c r="G3671" s="1"/>
      <c r="H3671" s="1"/>
      <c r="I3671" s="1"/>
      <c r="J3671" s="1"/>
    </row>
    <row r="3672" spans="1:10" s="6" customFormat="1">
      <c r="A3672" s="17"/>
      <c r="C3672" s="9"/>
      <c r="D3672" s="10"/>
      <c r="E3672" s="10"/>
      <c r="F3672" s="9"/>
      <c r="G3672" s="1"/>
      <c r="H3672" s="1"/>
      <c r="I3672" s="1"/>
      <c r="J3672" s="1"/>
    </row>
    <row r="3673" spans="1:10" s="6" customFormat="1">
      <c r="A3673" s="17"/>
      <c r="C3673" s="9"/>
      <c r="D3673" s="10"/>
      <c r="E3673" s="10"/>
      <c r="F3673" s="9"/>
      <c r="G3673" s="1"/>
      <c r="H3673" s="1"/>
      <c r="I3673" s="1"/>
      <c r="J3673" s="1"/>
    </row>
    <row r="3674" spans="1:10" s="6" customFormat="1">
      <c r="A3674" s="17"/>
      <c r="C3674" s="9"/>
      <c r="D3674" s="10"/>
      <c r="E3674" s="10"/>
      <c r="F3674" s="9"/>
      <c r="G3674" s="1"/>
      <c r="H3674" s="1"/>
      <c r="I3674" s="1"/>
      <c r="J3674" s="1"/>
    </row>
    <row r="3675" spans="1:10" s="6" customFormat="1">
      <c r="A3675" s="17"/>
      <c r="C3675" s="9"/>
      <c r="D3675" s="10"/>
      <c r="E3675" s="10"/>
      <c r="F3675" s="9"/>
      <c r="G3675" s="1"/>
      <c r="H3675" s="1"/>
      <c r="I3675" s="1"/>
      <c r="J3675" s="1"/>
    </row>
    <row r="3676" spans="1:10" s="6" customFormat="1">
      <c r="A3676" s="17"/>
      <c r="C3676" s="9"/>
      <c r="D3676" s="10"/>
      <c r="E3676" s="10"/>
      <c r="F3676" s="9"/>
      <c r="G3676" s="1"/>
      <c r="H3676" s="1"/>
      <c r="I3676" s="1"/>
      <c r="J3676" s="1"/>
    </row>
    <row r="3677" spans="1:10" s="6" customFormat="1">
      <c r="A3677" s="17"/>
      <c r="C3677" s="9"/>
      <c r="D3677" s="10"/>
      <c r="E3677" s="10"/>
      <c r="F3677" s="9"/>
      <c r="G3677" s="1"/>
      <c r="H3677" s="1"/>
      <c r="I3677" s="1"/>
      <c r="J3677" s="1"/>
    </row>
    <row r="3678" spans="1:10" s="6" customFormat="1">
      <c r="A3678" s="17"/>
      <c r="C3678" s="9"/>
      <c r="D3678" s="10"/>
      <c r="E3678" s="10"/>
      <c r="F3678" s="9"/>
      <c r="G3678" s="1"/>
      <c r="H3678" s="1"/>
      <c r="I3678" s="1"/>
      <c r="J3678" s="1"/>
    </row>
    <row r="3679" spans="1:10" s="6" customFormat="1">
      <c r="A3679" s="17"/>
      <c r="C3679" s="9"/>
      <c r="D3679" s="10"/>
      <c r="E3679" s="10"/>
      <c r="F3679" s="9"/>
      <c r="G3679" s="1"/>
      <c r="H3679" s="1"/>
      <c r="I3679" s="1"/>
      <c r="J3679" s="1"/>
    </row>
    <row r="3680" spans="1:10" s="6" customFormat="1">
      <c r="A3680" s="17"/>
      <c r="C3680" s="9"/>
      <c r="D3680" s="10"/>
      <c r="E3680" s="10"/>
      <c r="F3680" s="9"/>
      <c r="G3680" s="1"/>
      <c r="H3680" s="1"/>
      <c r="I3680" s="1"/>
      <c r="J3680" s="1"/>
    </row>
    <row r="3681" spans="1:10" s="6" customFormat="1">
      <c r="A3681" s="17"/>
      <c r="C3681" s="9"/>
      <c r="D3681" s="10"/>
      <c r="E3681" s="10"/>
      <c r="F3681" s="9"/>
      <c r="G3681" s="1"/>
      <c r="H3681" s="1"/>
      <c r="I3681" s="1"/>
      <c r="J3681" s="1"/>
    </row>
    <row r="3682" spans="1:10" s="6" customFormat="1">
      <c r="A3682" s="17"/>
      <c r="C3682" s="9"/>
      <c r="D3682" s="10"/>
      <c r="E3682" s="10"/>
      <c r="F3682" s="9"/>
      <c r="G3682" s="1"/>
      <c r="H3682" s="1"/>
      <c r="I3682" s="1"/>
      <c r="J3682" s="1"/>
    </row>
    <row r="3683" spans="1:10" s="6" customFormat="1">
      <c r="A3683" s="17"/>
      <c r="C3683" s="9"/>
      <c r="D3683" s="10"/>
      <c r="E3683" s="10"/>
      <c r="F3683" s="9"/>
      <c r="G3683" s="1"/>
      <c r="H3683" s="1"/>
      <c r="I3683" s="1"/>
      <c r="J3683" s="1"/>
    </row>
    <row r="3684" spans="1:10" s="6" customFormat="1">
      <c r="A3684" s="17"/>
      <c r="C3684" s="9"/>
      <c r="D3684" s="10"/>
      <c r="E3684" s="10"/>
      <c r="F3684" s="9"/>
      <c r="G3684" s="1"/>
      <c r="H3684" s="1"/>
      <c r="I3684" s="1"/>
      <c r="J3684" s="1"/>
    </row>
    <row r="3685" spans="1:10" s="6" customFormat="1">
      <c r="A3685" s="17"/>
      <c r="C3685" s="9"/>
      <c r="D3685" s="10"/>
      <c r="E3685" s="10"/>
      <c r="F3685" s="9"/>
      <c r="G3685" s="1"/>
      <c r="H3685" s="1"/>
      <c r="I3685" s="1"/>
      <c r="J3685" s="1"/>
    </row>
    <row r="3686" spans="1:10" s="6" customFormat="1">
      <c r="A3686" s="17"/>
      <c r="C3686" s="9"/>
      <c r="D3686" s="10"/>
      <c r="E3686" s="10"/>
      <c r="F3686" s="9"/>
      <c r="G3686" s="1"/>
      <c r="H3686" s="1"/>
      <c r="I3686" s="1"/>
      <c r="J3686" s="1"/>
    </row>
    <row r="3687" spans="1:10" s="6" customFormat="1">
      <c r="A3687" s="17"/>
      <c r="C3687" s="9"/>
      <c r="D3687" s="10"/>
      <c r="E3687" s="10"/>
      <c r="F3687" s="9"/>
      <c r="G3687" s="1"/>
      <c r="H3687" s="1"/>
      <c r="I3687" s="1"/>
      <c r="J3687" s="1"/>
    </row>
    <row r="3688" spans="1:10" s="6" customFormat="1">
      <c r="A3688" s="17"/>
      <c r="C3688" s="9"/>
      <c r="D3688" s="10"/>
      <c r="E3688" s="10"/>
      <c r="F3688" s="9"/>
      <c r="G3688" s="1"/>
      <c r="H3688" s="1"/>
      <c r="I3688" s="1"/>
      <c r="J3688" s="1"/>
    </row>
    <row r="3689" spans="1:10" s="6" customFormat="1">
      <c r="A3689" s="17"/>
      <c r="C3689" s="9"/>
      <c r="D3689" s="10"/>
      <c r="E3689" s="10"/>
      <c r="F3689" s="9"/>
      <c r="G3689" s="1"/>
      <c r="H3689" s="1"/>
      <c r="I3689" s="1"/>
      <c r="J3689" s="1"/>
    </row>
    <row r="3690" spans="1:10" s="6" customFormat="1">
      <c r="A3690" s="17"/>
      <c r="C3690" s="9"/>
      <c r="D3690" s="10"/>
      <c r="E3690" s="10"/>
      <c r="F3690" s="9"/>
      <c r="G3690" s="1"/>
      <c r="H3690" s="1"/>
      <c r="I3690" s="1"/>
      <c r="J3690" s="1"/>
    </row>
    <row r="3691" spans="1:10" s="6" customFormat="1">
      <c r="A3691" s="17"/>
      <c r="C3691" s="9"/>
      <c r="D3691" s="10"/>
      <c r="E3691" s="10"/>
      <c r="F3691" s="9"/>
      <c r="G3691" s="1"/>
      <c r="H3691" s="1"/>
      <c r="I3691" s="1"/>
      <c r="J3691" s="1"/>
    </row>
    <row r="3692" spans="1:10" s="6" customFormat="1">
      <c r="A3692" s="17"/>
      <c r="C3692" s="9"/>
      <c r="D3692" s="10"/>
      <c r="E3692" s="10"/>
      <c r="F3692" s="9"/>
      <c r="G3692" s="1"/>
      <c r="H3692" s="1"/>
      <c r="I3692" s="1"/>
      <c r="J3692" s="1"/>
    </row>
    <row r="3693" spans="1:10" s="6" customFormat="1">
      <c r="A3693" s="17"/>
      <c r="C3693" s="9"/>
      <c r="D3693" s="10"/>
      <c r="E3693" s="10"/>
      <c r="F3693" s="9"/>
      <c r="G3693" s="1"/>
      <c r="H3693" s="1"/>
      <c r="I3693" s="1"/>
      <c r="J3693" s="1"/>
    </row>
    <row r="3694" spans="1:10" s="6" customFormat="1">
      <c r="A3694" s="17"/>
      <c r="C3694" s="9"/>
      <c r="D3694" s="10"/>
      <c r="E3694" s="10"/>
      <c r="F3694" s="9"/>
      <c r="G3694" s="1"/>
      <c r="H3694" s="1"/>
      <c r="I3694" s="1"/>
      <c r="J3694" s="1"/>
    </row>
    <row r="3695" spans="1:10" s="6" customFormat="1">
      <c r="A3695" s="17"/>
      <c r="C3695" s="9"/>
      <c r="D3695" s="10"/>
      <c r="E3695" s="10"/>
      <c r="F3695" s="9"/>
      <c r="G3695" s="1"/>
      <c r="H3695" s="1"/>
      <c r="I3695" s="1"/>
      <c r="J3695" s="1"/>
    </row>
    <row r="3696" spans="1:10" s="6" customFormat="1">
      <c r="A3696" s="17"/>
      <c r="C3696" s="9"/>
      <c r="D3696" s="10"/>
      <c r="E3696" s="10"/>
      <c r="F3696" s="9"/>
      <c r="G3696" s="1"/>
      <c r="H3696" s="1"/>
      <c r="I3696" s="1"/>
      <c r="J3696" s="1"/>
    </row>
    <row r="3697" spans="1:10" s="6" customFormat="1">
      <c r="A3697" s="17"/>
      <c r="C3697" s="9"/>
      <c r="D3697" s="10"/>
      <c r="E3697" s="10"/>
      <c r="F3697" s="9"/>
      <c r="G3697" s="1"/>
      <c r="H3697" s="1"/>
      <c r="I3697" s="1"/>
      <c r="J3697" s="1"/>
    </row>
    <row r="3698" spans="1:10" s="6" customFormat="1">
      <c r="A3698" s="17"/>
      <c r="C3698" s="9"/>
      <c r="D3698" s="10"/>
      <c r="E3698" s="10"/>
      <c r="F3698" s="9"/>
      <c r="G3698" s="1"/>
      <c r="H3698" s="1"/>
      <c r="I3698" s="1"/>
      <c r="J3698" s="1"/>
    </row>
    <row r="3699" spans="1:10" s="6" customFormat="1">
      <c r="A3699" s="17"/>
      <c r="C3699" s="9"/>
      <c r="D3699" s="10"/>
      <c r="E3699" s="10"/>
      <c r="F3699" s="9"/>
      <c r="G3699" s="1"/>
      <c r="H3699" s="1"/>
      <c r="I3699" s="1"/>
      <c r="J3699" s="1"/>
    </row>
    <row r="3700" spans="1:10" s="6" customFormat="1">
      <c r="A3700" s="17"/>
      <c r="C3700" s="9"/>
      <c r="D3700" s="10"/>
      <c r="E3700" s="10"/>
      <c r="F3700" s="9"/>
      <c r="G3700" s="1"/>
      <c r="H3700" s="1"/>
      <c r="I3700" s="1"/>
      <c r="J3700" s="1"/>
    </row>
    <row r="3701" spans="1:10" s="6" customFormat="1">
      <c r="A3701" s="17"/>
      <c r="C3701" s="9"/>
      <c r="D3701" s="10"/>
      <c r="E3701" s="10"/>
      <c r="F3701" s="9"/>
      <c r="G3701" s="1"/>
      <c r="H3701" s="1"/>
      <c r="I3701" s="1"/>
      <c r="J3701" s="1"/>
    </row>
    <row r="3702" spans="1:10" s="6" customFormat="1">
      <c r="A3702" s="17"/>
      <c r="C3702" s="9"/>
      <c r="D3702" s="10"/>
      <c r="E3702" s="10"/>
      <c r="F3702" s="9"/>
      <c r="G3702" s="1"/>
      <c r="H3702" s="1"/>
      <c r="I3702" s="1"/>
      <c r="J3702" s="1"/>
    </row>
    <row r="3703" spans="1:10" s="6" customFormat="1">
      <c r="A3703" s="17"/>
      <c r="C3703" s="9"/>
      <c r="D3703" s="10"/>
      <c r="E3703" s="10"/>
      <c r="F3703" s="9"/>
      <c r="G3703" s="1"/>
      <c r="H3703" s="1"/>
      <c r="I3703" s="1"/>
      <c r="J3703" s="1"/>
    </row>
    <row r="3704" spans="1:10" s="6" customFormat="1">
      <c r="A3704" s="17"/>
      <c r="C3704" s="9"/>
      <c r="D3704" s="10"/>
      <c r="E3704" s="10"/>
      <c r="F3704" s="9"/>
      <c r="G3704" s="1"/>
      <c r="H3704" s="1"/>
      <c r="I3704" s="1"/>
      <c r="J3704" s="1"/>
    </row>
    <row r="3705" spans="1:10" s="6" customFormat="1">
      <c r="A3705" s="17"/>
      <c r="C3705" s="9"/>
      <c r="D3705" s="10"/>
      <c r="E3705" s="10"/>
      <c r="F3705" s="9"/>
      <c r="G3705" s="1"/>
      <c r="H3705" s="1"/>
      <c r="I3705" s="1"/>
      <c r="J3705" s="1"/>
    </row>
    <row r="3706" spans="1:10" s="6" customFormat="1">
      <c r="A3706" s="17"/>
      <c r="C3706" s="9"/>
      <c r="D3706" s="10"/>
      <c r="E3706" s="10"/>
      <c r="F3706" s="9"/>
      <c r="G3706" s="1"/>
      <c r="H3706" s="1"/>
      <c r="I3706" s="1"/>
      <c r="J3706" s="1"/>
    </row>
    <row r="3707" spans="1:10" s="6" customFormat="1">
      <c r="A3707" s="17"/>
      <c r="C3707" s="9"/>
      <c r="D3707" s="10"/>
      <c r="E3707" s="10"/>
      <c r="F3707" s="9"/>
      <c r="G3707" s="1"/>
      <c r="H3707" s="1"/>
      <c r="I3707" s="1"/>
      <c r="J3707" s="1"/>
    </row>
    <row r="3708" spans="1:10" s="6" customFormat="1">
      <c r="A3708" s="17"/>
      <c r="C3708" s="9"/>
      <c r="D3708" s="10"/>
      <c r="E3708" s="10"/>
      <c r="F3708" s="9"/>
      <c r="G3708" s="1"/>
      <c r="H3708" s="1"/>
      <c r="I3708" s="1"/>
      <c r="J3708" s="1"/>
    </row>
    <row r="3709" spans="1:10" s="6" customFormat="1">
      <c r="A3709" s="17"/>
      <c r="C3709" s="9"/>
      <c r="D3709" s="10"/>
      <c r="E3709" s="10"/>
      <c r="F3709" s="9"/>
      <c r="G3709" s="1"/>
      <c r="H3709" s="1"/>
      <c r="I3709" s="1"/>
      <c r="J3709" s="1"/>
    </row>
    <row r="3710" spans="1:10" s="6" customFormat="1">
      <c r="A3710" s="17"/>
      <c r="C3710" s="9"/>
      <c r="D3710" s="10"/>
      <c r="E3710" s="10"/>
      <c r="F3710" s="9"/>
      <c r="G3710" s="1"/>
      <c r="H3710" s="1"/>
      <c r="I3710" s="1"/>
      <c r="J3710" s="1"/>
    </row>
    <row r="3711" spans="1:10" s="6" customFormat="1">
      <c r="A3711" s="17"/>
      <c r="C3711" s="9"/>
      <c r="D3711" s="10"/>
      <c r="E3711" s="10"/>
      <c r="F3711" s="9"/>
      <c r="G3711" s="1"/>
      <c r="H3711" s="1"/>
      <c r="I3711" s="1"/>
      <c r="J3711" s="1"/>
    </row>
    <row r="3712" spans="1:10" s="6" customFormat="1">
      <c r="A3712" s="17"/>
      <c r="C3712" s="9"/>
      <c r="D3712" s="10"/>
      <c r="E3712" s="10"/>
      <c r="F3712" s="9"/>
      <c r="G3712" s="1"/>
      <c r="H3712" s="1"/>
      <c r="I3712" s="1"/>
      <c r="J3712" s="1"/>
    </row>
    <row r="3713" spans="1:10" s="6" customFormat="1">
      <c r="A3713" s="17"/>
      <c r="C3713" s="9"/>
      <c r="D3713" s="10"/>
      <c r="E3713" s="10"/>
      <c r="F3713" s="9"/>
      <c r="G3713" s="1"/>
      <c r="H3713" s="1"/>
      <c r="I3713" s="1"/>
      <c r="J3713" s="1"/>
    </row>
    <row r="3714" spans="1:10" s="6" customFormat="1">
      <c r="A3714" s="17"/>
      <c r="C3714" s="9"/>
      <c r="D3714" s="10"/>
      <c r="E3714" s="10"/>
      <c r="F3714" s="9"/>
      <c r="G3714" s="1"/>
      <c r="H3714" s="1"/>
      <c r="I3714" s="1"/>
      <c r="J3714" s="1"/>
    </row>
    <row r="3715" spans="1:10" s="6" customFormat="1">
      <c r="A3715" s="17"/>
      <c r="C3715" s="9"/>
      <c r="D3715" s="10"/>
      <c r="E3715" s="10"/>
      <c r="F3715" s="9"/>
      <c r="G3715" s="1"/>
      <c r="H3715" s="1"/>
      <c r="I3715" s="1"/>
      <c r="J3715" s="1"/>
    </row>
    <row r="3716" spans="1:10" s="6" customFormat="1">
      <c r="A3716" s="17"/>
      <c r="C3716" s="9"/>
      <c r="D3716" s="10"/>
      <c r="E3716" s="10"/>
      <c r="F3716" s="9"/>
      <c r="G3716" s="1"/>
      <c r="H3716" s="1"/>
      <c r="I3716" s="1"/>
      <c r="J3716" s="1"/>
    </row>
    <row r="3717" spans="1:10" s="6" customFormat="1">
      <c r="A3717" s="17"/>
      <c r="C3717" s="9"/>
      <c r="D3717" s="10"/>
      <c r="E3717" s="10"/>
      <c r="F3717" s="9"/>
      <c r="G3717" s="1"/>
      <c r="H3717" s="1"/>
      <c r="I3717" s="1"/>
      <c r="J3717" s="1"/>
    </row>
    <row r="3718" spans="1:10" s="6" customFormat="1">
      <c r="A3718" s="17"/>
      <c r="C3718" s="9"/>
      <c r="D3718" s="10"/>
      <c r="E3718" s="10"/>
      <c r="F3718" s="9"/>
      <c r="G3718" s="1"/>
      <c r="H3718" s="1"/>
      <c r="I3718" s="1"/>
      <c r="J3718" s="1"/>
    </row>
    <row r="3719" spans="1:10" s="6" customFormat="1">
      <c r="A3719" s="17"/>
      <c r="C3719" s="9"/>
      <c r="D3719" s="10"/>
      <c r="E3719" s="10"/>
      <c r="F3719" s="9"/>
      <c r="G3719" s="1"/>
      <c r="H3719" s="1"/>
      <c r="I3719" s="1"/>
      <c r="J3719" s="1"/>
    </row>
    <row r="3720" spans="1:10" s="6" customFormat="1">
      <c r="A3720" s="17"/>
      <c r="C3720" s="9"/>
      <c r="D3720" s="10"/>
      <c r="E3720" s="10"/>
      <c r="F3720" s="9"/>
      <c r="G3720" s="1"/>
      <c r="H3720" s="1"/>
      <c r="I3720" s="1"/>
      <c r="J3720" s="1"/>
    </row>
    <row r="3721" spans="1:10" s="6" customFormat="1">
      <c r="A3721" s="17"/>
      <c r="C3721" s="9"/>
      <c r="D3721" s="10"/>
      <c r="E3721" s="10"/>
      <c r="F3721" s="9"/>
      <c r="G3721" s="1"/>
      <c r="H3721" s="1"/>
      <c r="I3721" s="1"/>
      <c r="J3721" s="1"/>
    </row>
    <row r="3722" spans="1:10" s="6" customFormat="1">
      <c r="A3722" s="17"/>
      <c r="C3722" s="9"/>
      <c r="D3722" s="10"/>
      <c r="E3722" s="10"/>
      <c r="F3722" s="9"/>
      <c r="G3722" s="1"/>
      <c r="H3722" s="1"/>
      <c r="I3722" s="1"/>
      <c r="J3722" s="1"/>
    </row>
    <row r="3723" spans="1:10" s="6" customFormat="1">
      <c r="A3723" s="17"/>
      <c r="C3723" s="9"/>
      <c r="D3723" s="10"/>
      <c r="E3723" s="10"/>
      <c r="F3723" s="9"/>
      <c r="G3723" s="1"/>
      <c r="H3723" s="1"/>
      <c r="I3723" s="1"/>
      <c r="J3723" s="1"/>
    </row>
    <row r="3724" spans="1:10" s="6" customFormat="1">
      <c r="A3724" s="17"/>
      <c r="C3724" s="9"/>
      <c r="D3724" s="10"/>
      <c r="E3724" s="10"/>
      <c r="F3724" s="9"/>
      <c r="G3724" s="1"/>
      <c r="H3724" s="1"/>
      <c r="I3724" s="1"/>
      <c r="J3724" s="1"/>
    </row>
    <row r="3725" spans="1:10" s="6" customFormat="1">
      <c r="A3725" s="17"/>
      <c r="C3725" s="9"/>
      <c r="D3725" s="10"/>
      <c r="E3725" s="10"/>
      <c r="F3725" s="9"/>
      <c r="G3725" s="1"/>
      <c r="H3725" s="1"/>
      <c r="I3725" s="1"/>
      <c r="J3725" s="1"/>
    </row>
    <row r="3726" spans="1:10" s="6" customFormat="1">
      <c r="A3726" s="17"/>
      <c r="C3726" s="9"/>
      <c r="D3726" s="10"/>
      <c r="E3726" s="10"/>
      <c r="F3726" s="9"/>
      <c r="G3726" s="1"/>
      <c r="H3726" s="1"/>
      <c r="I3726" s="1"/>
      <c r="J3726" s="1"/>
    </row>
    <row r="3727" spans="1:10" s="6" customFormat="1">
      <c r="A3727" s="17"/>
      <c r="C3727" s="9"/>
      <c r="D3727" s="10"/>
      <c r="E3727" s="10"/>
      <c r="F3727" s="9"/>
      <c r="G3727" s="1"/>
      <c r="H3727" s="1"/>
      <c r="I3727" s="1"/>
      <c r="J3727" s="1"/>
    </row>
    <row r="3728" spans="1:10" s="6" customFormat="1">
      <c r="A3728" s="17"/>
      <c r="C3728" s="9"/>
      <c r="D3728" s="10"/>
      <c r="E3728" s="10"/>
      <c r="F3728" s="9"/>
      <c r="G3728" s="1"/>
      <c r="H3728" s="1"/>
      <c r="I3728" s="1"/>
      <c r="J3728" s="1"/>
    </row>
    <row r="3729" spans="1:10" s="6" customFormat="1">
      <c r="A3729" s="17"/>
      <c r="C3729" s="9"/>
      <c r="D3729" s="10"/>
      <c r="E3729" s="10"/>
      <c r="F3729" s="9"/>
      <c r="G3729" s="1"/>
      <c r="H3729" s="1"/>
      <c r="I3729" s="1"/>
      <c r="J3729" s="1"/>
    </row>
    <row r="3730" spans="1:10" s="6" customFormat="1">
      <c r="A3730" s="17"/>
      <c r="C3730" s="9"/>
      <c r="D3730" s="10"/>
      <c r="E3730" s="10"/>
      <c r="F3730" s="9"/>
      <c r="G3730" s="1"/>
      <c r="H3730" s="1"/>
      <c r="I3730" s="1"/>
      <c r="J3730" s="1"/>
    </row>
    <row r="3731" spans="1:10" s="6" customFormat="1">
      <c r="A3731" s="17"/>
      <c r="C3731" s="9"/>
      <c r="D3731" s="10"/>
      <c r="E3731" s="10"/>
      <c r="F3731" s="9"/>
      <c r="G3731" s="1"/>
      <c r="H3731" s="1"/>
      <c r="I3731" s="1"/>
      <c r="J3731" s="1"/>
    </row>
    <row r="3732" spans="1:10" s="6" customFormat="1">
      <c r="A3732" s="17"/>
      <c r="C3732" s="9"/>
      <c r="D3732" s="10"/>
      <c r="E3732" s="10"/>
      <c r="F3732" s="9"/>
      <c r="G3732" s="1"/>
      <c r="H3732" s="1"/>
      <c r="I3732" s="1"/>
      <c r="J3732" s="1"/>
    </row>
    <row r="3733" spans="1:10" s="6" customFormat="1">
      <c r="A3733" s="17"/>
      <c r="C3733" s="9"/>
      <c r="D3733" s="10"/>
      <c r="E3733" s="10"/>
      <c r="F3733" s="9"/>
      <c r="G3733" s="1"/>
      <c r="H3733" s="1"/>
      <c r="I3733" s="1"/>
      <c r="J3733" s="1"/>
    </row>
    <row r="3734" spans="1:10" s="6" customFormat="1">
      <c r="A3734" s="17"/>
      <c r="C3734" s="9"/>
      <c r="D3734" s="10"/>
      <c r="E3734" s="10"/>
      <c r="F3734" s="9"/>
      <c r="G3734" s="1"/>
      <c r="H3734" s="1"/>
      <c r="I3734" s="1"/>
      <c r="J3734" s="1"/>
    </row>
    <row r="3735" spans="1:10" s="6" customFormat="1">
      <c r="A3735" s="17"/>
      <c r="C3735" s="9"/>
      <c r="D3735" s="10"/>
      <c r="E3735" s="10"/>
      <c r="F3735" s="9"/>
      <c r="G3735" s="1"/>
      <c r="H3735" s="1"/>
      <c r="I3735" s="1"/>
      <c r="J3735" s="1"/>
    </row>
    <row r="3736" spans="1:10" s="6" customFormat="1">
      <c r="A3736" s="17"/>
      <c r="C3736" s="9"/>
      <c r="D3736" s="10"/>
      <c r="E3736" s="10"/>
      <c r="F3736" s="9"/>
      <c r="G3736" s="1"/>
      <c r="H3736" s="1"/>
      <c r="I3736" s="1"/>
      <c r="J3736" s="1"/>
    </row>
    <row r="3737" spans="1:10" s="6" customFormat="1">
      <c r="A3737" s="17"/>
      <c r="C3737" s="9"/>
      <c r="D3737" s="10"/>
      <c r="E3737" s="10"/>
      <c r="F3737" s="9"/>
      <c r="G3737" s="1"/>
      <c r="H3737" s="1"/>
      <c r="I3737" s="1"/>
      <c r="J3737" s="1"/>
    </row>
    <row r="3738" spans="1:10" s="6" customFormat="1">
      <c r="A3738" s="17"/>
      <c r="C3738" s="9"/>
      <c r="D3738" s="10"/>
      <c r="E3738" s="10"/>
      <c r="F3738" s="9"/>
      <c r="G3738" s="1"/>
      <c r="H3738" s="1"/>
      <c r="I3738" s="1"/>
      <c r="J3738" s="1"/>
    </row>
    <row r="3739" spans="1:10" s="6" customFormat="1">
      <c r="A3739" s="17"/>
      <c r="C3739" s="9"/>
      <c r="D3739" s="10"/>
      <c r="E3739" s="10"/>
      <c r="F3739" s="9"/>
      <c r="G3739" s="1"/>
      <c r="H3739" s="1"/>
      <c r="I3739" s="1"/>
      <c r="J3739" s="1"/>
    </row>
    <row r="3740" spans="1:10" s="6" customFormat="1">
      <c r="A3740" s="17"/>
      <c r="C3740" s="9"/>
      <c r="D3740" s="10"/>
      <c r="E3740" s="10"/>
      <c r="F3740" s="9"/>
      <c r="G3740" s="1"/>
      <c r="H3740" s="1"/>
      <c r="I3740" s="1"/>
      <c r="J3740" s="1"/>
    </row>
    <row r="3741" spans="1:10" s="6" customFormat="1">
      <c r="A3741" s="17"/>
      <c r="C3741" s="9"/>
      <c r="D3741" s="10"/>
      <c r="E3741" s="10"/>
      <c r="F3741" s="9"/>
      <c r="G3741" s="1"/>
      <c r="H3741" s="1"/>
      <c r="I3741" s="1"/>
      <c r="J3741" s="1"/>
    </row>
    <row r="3742" spans="1:10" s="6" customFormat="1">
      <c r="A3742" s="17"/>
      <c r="C3742" s="9"/>
      <c r="D3742" s="10"/>
      <c r="E3742" s="10"/>
      <c r="F3742" s="9"/>
      <c r="G3742" s="1"/>
      <c r="H3742" s="1"/>
      <c r="I3742" s="1"/>
      <c r="J3742" s="1"/>
    </row>
    <row r="3743" spans="1:10" s="6" customFormat="1">
      <c r="A3743" s="17"/>
      <c r="C3743" s="9"/>
      <c r="D3743" s="10"/>
      <c r="E3743" s="10"/>
      <c r="F3743" s="9"/>
      <c r="G3743" s="1"/>
      <c r="H3743" s="1"/>
      <c r="I3743" s="1"/>
      <c r="J3743" s="1"/>
    </row>
    <row r="3744" spans="1:10" s="6" customFormat="1">
      <c r="A3744" s="17"/>
      <c r="C3744" s="9"/>
      <c r="D3744" s="10"/>
      <c r="E3744" s="10"/>
      <c r="F3744" s="9"/>
      <c r="G3744" s="1"/>
      <c r="H3744" s="1"/>
      <c r="I3744" s="1"/>
      <c r="J3744" s="1"/>
    </row>
    <row r="3745" spans="1:10" s="6" customFormat="1">
      <c r="A3745" s="17"/>
      <c r="C3745" s="9"/>
      <c r="D3745" s="10"/>
      <c r="E3745" s="10"/>
      <c r="F3745" s="9"/>
      <c r="G3745" s="1"/>
      <c r="H3745" s="1"/>
      <c r="I3745" s="1"/>
      <c r="J3745" s="1"/>
    </row>
    <row r="3746" spans="1:10" s="6" customFormat="1">
      <c r="A3746" s="17"/>
      <c r="C3746" s="9"/>
      <c r="D3746" s="10"/>
      <c r="E3746" s="10"/>
      <c r="F3746" s="9"/>
      <c r="G3746" s="1"/>
      <c r="H3746" s="1"/>
      <c r="I3746" s="1"/>
      <c r="J3746" s="1"/>
    </row>
    <row r="3747" spans="1:10" s="6" customFormat="1">
      <c r="A3747" s="17"/>
      <c r="C3747" s="9"/>
      <c r="D3747" s="10"/>
      <c r="E3747" s="10"/>
      <c r="F3747" s="9"/>
      <c r="G3747" s="1"/>
      <c r="H3747" s="1"/>
      <c r="I3747" s="1"/>
      <c r="J3747" s="1"/>
    </row>
    <row r="3748" spans="1:10" s="6" customFormat="1">
      <c r="A3748" s="17"/>
      <c r="C3748" s="9"/>
      <c r="D3748" s="10"/>
      <c r="E3748" s="10"/>
      <c r="F3748" s="9"/>
      <c r="G3748" s="1"/>
      <c r="H3748" s="1"/>
      <c r="I3748" s="1"/>
      <c r="J3748" s="1"/>
    </row>
    <row r="3749" spans="1:10" s="6" customFormat="1">
      <c r="A3749" s="17"/>
      <c r="C3749" s="9"/>
      <c r="D3749" s="10"/>
      <c r="E3749" s="10"/>
      <c r="F3749" s="9"/>
      <c r="G3749" s="1"/>
      <c r="H3749" s="1"/>
      <c r="I3749" s="1"/>
      <c r="J3749" s="1"/>
    </row>
    <row r="3750" spans="1:10" s="6" customFormat="1">
      <c r="A3750" s="17"/>
      <c r="C3750" s="9"/>
      <c r="D3750" s="10"/>
      <c r="E3750" s="10"/>
      <c r="F3750" s="9"/>
      <c r="G3750" s="1"/>
      <c r="H3750" s="1"/>
      <c r="I3750" s="1"/>
      <c r="J3750" s="1"/>
    </row>
    <row r="3751" spans="1:10" s="6" customFormat="1">
      <c r="A3751" s="17"/>
      <c r="C3751" s="9"/>
      <c r="D3751" s="10"/>
      <c r="E3751" s="10"/>
      <c r="F3751" s="9"/>
      <c r="G3751" s="1"/>
      <c r="H3751" s="1"/>
      <c r="I3751" s="1"/>
      <c r="J3751" s="1"/>
    </row>
    <row r="3752" spans="1:10" s="6" customFormat="1">
      <c r="A3752" s="17"/>
      <c r="C3752" s="9"/>
      <c r="D3752" s="10"/>
      <c r="E3752" s="10"/>
      <c r="F3752" s="9"/>
      <c r="G3752" s="1"/>
      <c r="H3752" s="1"/>
      <c r="I3752" s="1"/>
      <c r="J3752" s="1"/>
    </row>
    <row r="3753" spans="1:10" s="6" customFormat="1">
      <c r="A3753" s="17"/>
      <c r="C3753" s="9"/>
      <c r="D3753" s="10"/>
      <c r="E3753" s="10"/>
      <c r="F3753" s="9"/>
      <c r="G3753" s="1"/>
      <c r="H3753" s="1"/>
      <c r="I3753" s="1"/>
      <c r="J3753" s="1"/>
    </row>
    <row r="3754" spans="1:10" s="6" customFormat="1">
      <c r="A3754" s="17"/>
      <c r="C3754" s="9"/>
      <c r="D3754" s="10"/>
      <c r="E3754" s="10"/>
      <c r="F3754" s="9"/>
      <c r="G3754" s="1"/>
      <c r="H3754" s="1"/>
      <c r="I3754" s="1"/>
      <c r="J3754" s="1"/>
    </row>
    <row r="3755" spans="1:10" s="6" customFormat="1">
      <c r="A3755" s="17"/>
      <c r="C3755" s="9"/>
      <c r="D3755" s="10"/>
      <c r="E3755" s="10"/>
      <c r="F3755" s="9"/>
      <c r="G3755" s="1"/>
      <c r="H3755" s="1"/>
      <c r="I3755" s="1"/>
      <c r="J3755" s="1"/>
    </row>
    <row r="3756" spans="1:10" s="6" customFormat="1">
      <c r="A3756" s="17"/>
      <c r="C3756" s="9"/>
      <c r="D3756" s="10"/>
      <c r="E3756" s="10"/>
      <c r="F3756" s="9"/>
      <c r="G3756" s="1"/>
      <c r="H3756" s="1"/>
      <c r="I3756" s="1"/>
      <c r="J3756" s="1"/>
    </row>
    <row r="3757" spans="1:10" s="6" customFormat="1">
      <c r="A3757" s="17"/>
      <c r="C3757" s="9"/>
      <c r="D3757" s="10"/>
      <c r="E3757" s="10"/>
      <c r="F3757" s="9"/>
      <c r="G3757" s="1"/>
      <c r="H3757" s="1"/>
      <c r="I3757" s="1"/>
      <c r="J3757" s="1"/>
    </row>
    <row r="3758" spans="1:10" s="6" customFormat="1">
      <c r="A3758" s="17"/>
      <c r="C3758" s="9"/>
      <c r="D3758" s="10"/>
      <c r="E3758" s="10"/>
      <c r="F3758" s="9"/>
      <c r="G3758" s="1"/>
      <c r="H3758" s="1"/>
      <c r="I3758" s="1"/>
      <c r="J3758" s="1"/>
    </row>
    <row r="3759" spans="1:10" s="6" customFormat="1">
      <c r="A3759" s="17"/>
      <c r="C3759" s="9"/>
      <c r="D3759" s="10"/>
      <c r="E3759" s="10"/>
      <c r="F3759" s="9"/>
      <c r="G3759" s="1"/>
      <c r="H3759" s="1"/>
      <c r="I3759" s="1"/>
      <c r="J3759" s="1"/>
    </row>
    <row r="3760" spans="1:10" s="6" customFormat="1">
      <c r="A3760" s="17"/>
      <c r="C3760" s="9"/>
      <c r="D3760" s="10"/>
      <c r="E3760" s="10"/>
      <c r="F3760" s="9"/>
      <c r="G3760" s="1"/>
      <c r="H3760" s="1"/>
      <c r="I3760" s="1"/>
      <c r="J3760" s="1"/>
    </row>
    <row r="3761" spans="1:10" s="6" customFormat="1">
      <c r="A3761" s="17"/>
      <c r="C3761" s="9"/>
      <c r="D3761" s="10"/>
      <c r="E3761" s="10"/>
      <c r="F3761" s="9"/>
      <c r="G3761" s="1"/>
      <c r="H3761" s="1"/>
      <c r="I3761" s="1"/>
      <c r="J3761" s="1"/>
    </row>
    <row r="3762" spans="1:10" s="6" customFormat="1">
      <c r="A3762" s="17"/>
      <c r="C3762" s="9"/>
      <c r="D3762" s="10"/>
      <c r="E3762" s="10"/>
      <c r="F3762" s="9"/>
      <c r="G3762" s="1"/>
      <c r="H3762" s="1"/>
      <c r="I3762" s="1"/>
      <c r="J3762" s="1"/>
    </row>
    <row r="3763" spans="1:10" s="6" customFormat="1">
      <c r="A3763" s="17"/>
      <c r="C3763" s="9"/>
      <c r="D3763" s="10"/>
      <c r="E3763" s="10"/>
      <c r="F3763" s="9"/>
      <c r="G3763" s="1"/>
      <c r="H3763" s="1"/>
      <c r="I3763" s="1"/>
      <c r="J3763" s="1"/>
    </row>
    <row r="3764" spans="1:10" s="6" customFormat="1">
      <c r="A3764" s="17"/>
      <c r="C3764" s="9"/>
      <c r="D3764" s="10"/>
      <c r="E3764" s="10"/>
      <c r="F3764" s="9"/>
      <c r="G3764" s="1"/>
      <c r="H3764" s="1"/>
      <c r="I3764" s="1"/>
      <c r="J3764" s="1"/>
    </row>
    <row r="3765" spans="1:10" s="6" customFormat="1">
      <c r="A3765" s="17"/>
      <c r="C3765" s="9"/>
      <c r="D3765" s="10"/>
      <c r="E3765" s="10"/>
      <c r="F3765" s="9"/>
      <c r="G3765" s="1"/>
      <c r="H3765" s="1"/>
      <c r="I3765" s="1"/>
      <c r="J3765" s="1"/>
    </row>
    <row r="3766" spans="1:10" s="6" customFormat="1">
      <c r="A3766" s="17"/>
      <c r="C3766" s="9"/>
      <c r="D3766" s="10"/>
      <c r="E3766" s="10"/>
      <c r="F3766" s="9"/>
      <c r="G3766" s="1"/>
      <c r="H3766" s="1"/>
      <c r="I3766" s="1"/>
      <c r="J3766" s="1"/>
    </row>
    <row r="3767" spans="1:10" s="6" customFormat="1">
      <c r="A3767" s="17"/>
      <c r="C3767" s="9"/>
      <c r="D3767" s="10"/>
      <c r="E3767" s="10"/>
      <c r="F3767" s="9"/>
      <c r="G3767" s="1"/>
      <c r="H3767" s="1"/>
      <c r="I3767" s="1"/>
      <c r="J3767" s="1"/>
    </row>
    <row r="3768" spans="1:10" s="6" customFormat="1">
      <c r="A3768" s="17"/>
      <c r="C3768" s="9"/>
      <c r="D3768" s="10"/>
      <c r="E3768" s="10"/>
      <c r="F3768" s="9"/>
      <c r="G3768" s="1"/>
      <c r="H3768" s="1"/>
      <c r="I3768" s="1"/>
      <c r="J3768" s="1"/>
    </row>
    <row r="3769" spans="1:10" s="6" customFormat="1">
      <c r="A3769" s="17"/>
      <c r="C3769" s="9"/>
      <c r="D3769" s="10"/>
      <c r="E3769" s="10"/>
      <c r="F3769" s="9"/>
      <c r="G3769" s="1"/>
      <c r="H3769" s="1"/>
      <c r="I3769" s="1"/>
      <c r="J3769" s="1"/>
    </row>
    <row r="3770" spans="1:10" s="6" customFormat="1">
      <c r="A3770" s="17"/>
      <c r="C3770" s="9"/>
      <c r="D3770" s="10"/>
      <c r="E3770" s="10"/>
      <c r="F3770" s="9"/>
      <c r="G3770" s="1"/>
      <c r="H3770" s="1"/>
      <c r="I3770" s="1"/>
      <c r="J3770" s="1"/>
    </row>
    <row r="3771" spans="1:10" s="6" customFormat="1">
      <c r="A3771" s="17"/>
      <c r="C3771" s="9"/>
      <c r="D3771" s="10"/>
      <c r="E3771" s="10"/>
      <c r="F3771" s="9"/>
      <c r="G3771" s="1"/>
      <c r="H3771" s="1"/>
      <c r="I3771" s="1"/>
      <c r="J3771" s="1"/>
    </row>
    <row r="3772" spans="1:10" s="6" customFormat="1">
      <c r="A3772" s="17"/>
      <c r="C3772" s="9"/>
      <c r="D3772" s="10"/>
      <c r="E3772" s="10"/>
      <c r="F3772" s="9"/>
      <c r="G3772" s="1"/>
      <c r="H3772" s="1"/>
      <c r="I3772" s="1"/>
      <c r="J3772" s="1"/>
    </row>
    <row r="3773" spans="1:10" s="6" customFormat="1">
      <c r="A3773" s="17"/>
      <c r="C3773" s="9"/>
      <c r="D3773" s="10"/>
      <c r="E3773" s="10"/>
      <c r="F3773" s="9"/>
      <c r="G3773" s="1"/>
      <c r="H3773" s="1"/>
      <c r="I3773" s="1"/>
      <c r="J3773" s="1"/>
    </row>
    <row r="3774" spans="1:10" s="6" customFormat="1">
      <c r="A3774" s="17"/>
      <c r="C3774" s="9"/>
      <c r="D3774" s="10"/>
      <c r="E3774" s="10"/>
      <c r="F3774" s="9"/>
      <c r="G3774" s="1"/>
      <c r="H3774" s="1"/>
      <c r="I3774" s="1"/>
      <c r="J3774" s="1"/>
    </row>
    <row r="3775" spans="1:10" s="6" customFormat="1">
      <c r="A3775" s="17"/>
      <c r="C3775" s="9"/>
      <c r="D3775" s="10"/>
      <c r="E3775" s="10"/>
      <c r="F3775" s="9"/>
      <c r="G3775" s="1"/>
      <c r="H3775" s="1"/>
      <c r="I3775" s="1"/>
      <c r="J3775" s="1"/>
    </row>
    <row r="3776" spans="1:10" s="6" customFormat="1">
      <c r="A3776" s="17"/>
      <c r="C3776" s="9"/>
      <c r="D3776" s="10"/>
      <c r="E3776" s="10"/>
      <c r="F3776" s="9"/>
      <c r="G3776" s="1"/>
      <c r="H3776" s="1"/>
      <c r="I3776" s="1"/>
      <c r="J3776" s="1"/>
    </row>
    <row r="3777" spans="1:10" s="6" customFormat="1">
      <c r="A3777" s="17"/>
      <c r="C3777" s="9"/>
      <c r="D3777" s="10"/>
      <c r="E3777" s="10"/>
      <c r="F3777" s="9"/>
      <c r="G3777" s="1"/>
      <c r="H3777" s="1"/>
      <c r="I3777" s="1"/>
      <c r="J3777" s="1"/>
    </row>
    <row r="3778" spans="1:10" s="6" customFormat="1">
      <c r="A3778" s="17"/>
      <c r="C3778" s="9"/>
      <c r="D3778" s="10"/>
      <c r="E3778" s="10"/>
      <c r="F3778" s="9"/>
      <c r="G3778" s="1"/>
      <c r="H3778" s="1"/>
      <c r="I3778" s="1"/>
      <c r="J3778" s="1"/>
    </row>
    <row r="3779" spans="1:10" s="6" customFormat="1">
      <c r="A3779" s="17"/>
      <c r="C3779" s="9"/>
      <c r="D3779" s="10"/>
      <c r="E3779" s="10"/>
      <c r="F3779" s="9"/>
      <c r="G3779" s="1"/>
      <c r="H3779" s="1"/>
      <c r="I3779" s="1"/>
      <c r="J3779" s="1"/>
    </row>
    <row r="3780" spans="1:10" s="6" customFormat="1">
      <c r="A3780" s="17"/>
      <c r="C3780" s="9"/>
      <c r="D3780" s="10"/>
      <c r="E3780" s="10"/>
      <c r="F3780" s="9"/>
      <c r="G3780" s="1"/>
      <c r="H3780" s="1"/>
      <c r="I3780" s="1"/>
      <c r="J3780" s="1"/>
    </row>
    <row r="3781" spans="1:10" s="6" customFormat="1">
      <c r="A3781" s="17"/>
      <c r="C3781" s="9"/>
      <c r="D3781" s="10"/>
      <c r="E3781" s="10"/>
      <c r="F3781" s="9"/>
      <c r="G3781" s="1"/>
      <c r="H3781" s="1"/>
      <c r="I3781" s="1"/>
      <c r="J3781" s="1"/>
    </row>
    <row r="3782" spans="1:10" s="6" customFormat="1">
      <c r="A3782" s="17"/>
      <c r="C3782" s="9"/>
      <c r="D3782" s="10"/>
      <c r="E3782" s="10"/>
      <c r="F3782" s="9"/>
      <c r="G3782" s="1"/>
      <c r="H3782" s="1"/>
      <c r="I3782" s="1"/>
      <c r="J3782" s="1"/>
    </row>
    <row r="3783" spans="1:10" s="6" customFormat="1">
      <c r="A3783" s="17"/>
      <c r="C3783" s="9"/>
      <c r="D3783" s="10"/>
      <c r="E3783" s="10"/>
      <c r="F3783" s="9"/>
      <c r="G3783" s="1"/>
      <c r="H3783" s="1"/>
      <c r="I3783" s="1"/>
      <c r="J3783" s="1"/>
    </row>
    <row r="3784" spans="1:10" s="6" customFormat="1">
      <c r="A3784" s="17"/>
      <c r="C3784" s="9"/>
      <c r="D3784" s="10"/>
      <c r="E3784" s="10"/>
      <c r="F3784" s="9"/>
      <c r="G3784" s="1"/>
      <c r="H3784" s="1"/>
      <c r="I3784" s="1"/>
      <c r="J3784" s="1"/>
    </row>
    <row r="3785" spans="1:10" s="6" customFormat="1">
      <c r="A3785" s="17"/>
      <c r="C3785" s="9"/>
      <c r="D3785" s="10"/>
      <c r="E3785" s="10"/>
      <c r="F3785" s="9"/>
      <c r="G3785" s="1"/>
      <c r="H3785" s="1"/>
      <c r="I3785" s="1"/>
      <c r="J3785" s="1"/>
    </row>
    <row r="3786" spans="1:10" s="6" customFormat="1">
      <c r="A3786" s="17"/>
      <c r="C3786" s="9"/>
      <c r="D3786" s="10"/>
      <c r="E3786" s="10"/>
      <c r="F3786" s="9"/>
      <c r="G3786" s="1"/>
      <c r="H3786" s="1"/>
      <c r="I3786" s="1"/>
      <c r="J3786" s="1"/>
    </row>
    <row r="3787" spans="1:10" s="6" customFormat="1">
      <c r="A3787" s="17"/>
      <c r="C3787" s="9"/>
      <c r="D3787" s="10"/>
      <c r="E3787" s="10"/>
      <c r="F3787" s="9"/>
      <c r="G3787" s="1"/>
      <c r="H3787" s="1"/>
      <c r="I3787" s="1"/>
      <c r="J3787" s="1"/>
    </row>
    <row r="3788" spans="1:10" s="6" customFormat="1">
      <c r="A3788" s="17"/>
      <c r="C3788" s="9"/>
      <c r="D3788" s="10"/>
      <c r="E3788" s="10"/>
      <c r="F3788" s="9"/>
      <c r="G3788" s="1"/>
      <c r="H3788" s="1"/>
      <c r="I3788" s="1"/>
      <c r="J3788" s="1"/>
    </row>
    <row r="3789" spans="1:10" s="6" customFormat="1">
      <c r="A3789" s="17"/>
      <c r="C3789" s="9"/>
      <c r="D3789" s="10"/>
      <c r="E3789" s="10"/>
      <c r="F3789" s="9"/>
      <c r="G3789" s="1"/>
      <c r="H3789" s="1"/>
      <c r="I3789" s="1"/>
      <c r="J3789" s="1"/>
    </row>
    <row r="3790" spans="1:10" s="6" customFormat="1">
      <c r="A3790" s="17"/>
      <c r="C3790" s="9"/>
      <c r="D3790" s="10"/>
      <c r="E3790" s="10"/>
      <c r="F3790" s="9"/>
      <c r="G3790" s="1"/>
      <c r="H3790" s="1"/>
      <c r="I3790" s="1"/>
      <c r="J3790" s="1"/>
    </row>
    <row r="3791" spans="1:10" s="6" customFormat="1">
      <c r="A3791" s="17"/>
      <c r="C3791" s="9"/>
      <c r="D3791" s="10"/>
      <c r="E3791" s="10"/>
      <c r="F3791" s="9"/>
      <c r="G3791" s="1"/>
      <c r="H3791" s="1"/>
      <c r="I3791" s="1"/>
      <c r="J3791" s="1"/>
    </row>
    <row r="3792" spans="1:10" s="6" customFormat="1">
      <c r="A3792" s="17"/>
      <c r="C3792" s="9"/>
      <c r="D3792" s="10"/>
      <c r="E3792" s="10"/>
      <c r="F3792" s="9"/>
      <c r="G3792" s="1"/>
      <c r="H3792" s="1"/>
      <c r="I3792" s="1"/>
      <c r="J3792" s="1"/>
    </row>
    <row r="3793" spans="1:10" s="6" customFormat="1">
      <c r="A3793" s="17"/>
      <c r="C3793" s="9"/>
      <c r="D3793" s="10"/>
      <c r="E3793" s="10"/>
      <c r="F3793" s="9"/>
      <c r="G3793" s="1"/>
      <c r="H3793" s="1"/>
      <c r="I3793" s="1"/>
      <c r="J3793" s="1"/>
    </row>
    <row r="3794" spans="1:10" s="6" customFormat="1">
      <c r="A3794" s="17"/>
      <c r="C3794" s="9"/>
      <c r="D3794" s="10"/>
      <c r="E3794" s="10"/>
      <c r="F3794" s="9"/>
      <c r="G3794" s="1"/>
      <c r="H3794" s="1"/>
      <c r="I3794" s="1"/>
      <c r="J3794" s="1"/>
    </row>
    <row r="3795" spans="1:10" s="6" customFormat="1">
      <c r="A3795" s="17"/>
      <c r="C3795" s="9"/>
      <c r="D3795" s="10"/>
      <c r="E3795" s="10"/>
      <c r="F3795" s="9"/>
      <c r="G3795" s="1"/>
      <c r="H3795" s="1"/>
      <c r="I3795" s="1"/>
      <c r="J3795" s="1"/>
    </row>
    <row r="3796" spans="1:10" s="6" customFormat="1">
      <c r="A3796" s="17"/>
      <c r="C3796" s="9"/>
      <c r="D3796" s="10"/>
      <c r="E3796" s="10"/>
      <c r="F3796" s="9"/>
      <c r="G3796" s="1"/>
      <c r="H3796" s="1"/>
      <c r="I3796" s="1"/>
      <c r="J3796" s="1"/>
    </row>
    <row r="3797" spans="1:10" s="6" customFormat="1">
      <c r="A3797" s="17"/>
      <c r="C3797" s="9"/>
      <c r="D3797" s="10"/>
      <c r="E3797" s="10"/>
      <c r="F3797" s="9"/>
      <c r="G3797" s="1"/>
      <c r="H3797" s="1"/>
      <c r="I3797" s="1"/>
      <c r="J3797" s="1"/>
    </row>
    <row r="3798" spans="1:10" s="6" customFormat="1">
      <c r="A3798" s="17"/>
      <c r="C3798" s="9"/>
      <c r="D3798" s="10"/>
      <c r="E3798" s="10"/>
      <c r="F3798" s="9"/>
      <c r="G3798" s="1"/>
      <c r="H3798" s="1"/>
      <c r="I3798" s="1"/>
      <c r="J3798" s="1"/>
    </row>
    <row r="3799" spans="1:10" s="6" customFormat="1">
      <c r="A3799" s="17"/>
      <c r="C3799" s="9"/>
      <c r="D3799" s="10"/>
      <c r="E3799" s="10"/>
      <c r="F3799" s="9"/>
      <c r="G3799" s="1"/>
      <c r="H3799" s="1"/>
      <c r="I3799" s="1"/>
      <c r="J3799" s="1"/>
    </row>
    <row r="3800" spans="1:10" s="6" customFormat="1">
      <c r="A3800" s="17"/>
      <c r="C3800" s="9"/>
      <c r="D3800" s="10"/>
      <c r="E3800" s="10"/>
      <c r="F3800" s="9"/>
      <c r="G3800" s="1"/>
      <c r="H3800" s="1"/>
      <c r="I3800" s="1"/>
      <c r="J3800" s="1"/>
    </row>
    <row r="3801" spans="1:10" s="6" customFormat="1">
      <c r="A3801" s="17"/>
      <c r="C3801" s="9"/>
      <c r="D3801" s="10"/>
      <c r="E3801" s="10"/>
      <c r="F3801" s="9"/>
      <c r="G3801" s="1"/>
      <c r="H3801" s="1"/>
      <c r="I3801" s="1"/>
      <c r="J3801" s="1"/>
    </row>
    <row r="3802" spans="1:10" s="6" customFormat="1">
      <c r="A3802" s="17"/>
      <c r="C3802" s="9"/>
      <c r="D3802" s="10"/>
      <c r="E3802" s="10"/>
      <c r="F3802" s="9"/>
      <c r="G3802" s="1"/>
      <c r="H3802" s="1"/>
      <c r="I3802" s="1"/>
      <c r="J3802" s="1"/>
    </row>
    <row r="3803" spans="1:10" s="6" customFormat="1">
      <c r="A3803" s="17"/>
      <c r="C3803" s="9"/>
      <c r="D3803" s="10"/>
      <c r="E3803" s="10"/>
      <c r="F3803" s="9"/>
      <c r="G3803" s="1"/>
      <c r="H3803" s="1"/>
      <c r="I3803" s="1"/>
      <c r="J3803" s="1"/>
    </row>
    <row r="3804" spans="1:10" s="6" customFormat="1">
      <c r="A3804" s="17"/>
      <c r="C3804" s="9"/>
      <c r="D3804" s="10"/>
      <c r="E3804" s="10"/>
      <c r="F3804" s="9"/>
      <c r="G3804" s="1"/>
      <c r="H3804" s="1"/>
      <c r="I3804" s="1"/>
      <c r="J3804" s="1"/>
    </row>
    <row r="3805" spans="1:10" s="6" customFormat="1">
      <c r="A3805" s="17"/>
      <c r="C3805" s="9"/>
      <c r="D3805" s="10"/>
      <c r="E3805" s="10"/>
      <c r="F3805" s="9"/>
      <c r="G3805" s="1"/>
      <c r="H3805" s="1"/>
      <c r="I3805" s="1"/>
      <c r="J3805" s="1"/>
    </row>
    <row r="3806" spans="1:10" s="6" customFormat="1">
      <c r="A3806" s="17"/>
      <c r="C3806" s="9"/>
      <c r="D3806" s="10"/>
      <c r="E3806" s="10"/>
      <c r="F3806" s="9"/>
      <c r="G3806" s="1"/>
      <c r="H3806" s="1"/>
      <c r="I3806" s="1"/>
      <c r="J3806" s="1"/>
    </row>
    <row r="3807" spans="1:10" s="6" customFormat="1">
      <c r="A3807" s="17"/>
      <c r="C3807" s="9"/>
      <c r="D3807" s="10"/>
      <c r="E3807" s="10"/>
      <c r="F3807" s="9"/>
      <c r="G3807" s="1"/>
      <c r="H3807" s="1"/>
      <c r="I3807" s="1"/>
      <c r="J3807" s="1"/>
    </row>
    <row r="3808" spans="1:10" s="6" customFormat="1">
      <c r="A3808" s="17"/>
      <c r="C3808" s="9"/>
      <c r="D3808" s="10"/>
      <c r="E3808" s="10"/>
      <c r="F3808" s="9"/>
      <c r="G3808" s="1"/>
      <c r="H3808" s="1"/>
      <c r="I3808" s="1"/>
      <c r="J3808" s="1"/>
    </row>
    <row r="3809" spans="1:10" s="6" customFormat="1">
      <c r="A3809" s="17"/>
      <c r="C3809" s="9"/>
      <c r="D3809" s="10"/>
      <c r="E3809" s="10"/>
      <c r="F3809" s="9"/>
      <c r="G3809" s="1"/>
      <c r="H3809" s="1"/>
      <c r="I3809" s="1"/>
      <c r="J3809" s="1"/>
    </row>
    <row r="3810" spans="1:10" s="6" customFormat="1">
      <c r="A3810" s="17"/>
      <c r="C3810" s="9"/>
      <c r="D3810" s="10"/>
      <c r="E3810" s="10"/>
      <c r="F3810" s="9"/>
      <c r="G3810" s="1"/>
      <c r="H3810" s="1"/>
      <c r="I3810" s="1"/>
      <c r="J3810" s="1"/>
    </row>
    <row r="3811" spans="1:10" s="6" customFormat="1">
      <c r="A3811" s="17"/>
      <c r="C3811" s="9"/>
      <c r="D3811" s="10"/>
      <c r="E3811" s="10"/>
      <c r="F3811" s="9"/>
      <c r="G3811" s="1"/>
      <c r="H3811" s="1"/>
      <c r="I3811" s="1"/>
      <c r="J3811" s="1"/>
    </row>
    <row r="3812" spans="1:10" s="6" customFormat="1">
      <c r="A3812" s="17"/>
      <c r="C3812" s="9"/>
      <c r="D3812" s="10"/>
      <c r="E3812" s="10"/>
      <c r="F3812" s="9"/>
      <c r="G3812" s="1"/>
      <c r="H3812" s="1"/>
      <c r="I3812" s="1"/>
      <c r="J3812" s="1"/>
    </row>
    <row r="3813" spans="1:10" s="6" customFormat="1">
      <c r="A3813" s="17"/>
      <c r="C3813" s="9"/>
      <c r="D3813" s="10"/>
      <c r="E3813" s="10"/>
      <c r="F3813" s="9"/>
      <c r="G3813" s="1"/>
      <c r="H3813" s="1"/>
      <c r="I3813" s="1"/>
      <c r="J3813" s="1"/>
    </row>
    <row r="3814" spans="1:10" s="6" customFormat="1">
      <c r="A3814" s="17"/>
      <c r="C3814" s="9"/>
      <c r="D3814" s="10"/>
      <c r="E3814" s="10"/>
      <c r="F3814" s="9"/>
      <c r="G3814" s="1"/>
      <c r="H3814" s="1"/>
      <c r="I3814" s="1"/>
      <c r="J3814" s="1"/>
    </row>
    <row r="3815" spans="1:10" s="6" customFormat="1">
      <c r="A3815" s="17"/>
      <c r="C3815" s="9"/>
      <c r="D3815" s="10"/>
      <c r="E3815" s="10"/>
      <c r="F3815" s="9"/>
      <c r="G3815" s="1"/>
      <c r="H3815" s="1"/>
      <c r="I3815" s="1"/>
      <c r="J3815" s="1"/>
    </row>
    <row r="3816" spans="1:10" s="6" customFormat="1">
      <c r="A3816" s="17"/>
      <c r="C3816" s="9"/>
      <c r="D3816" s="10"/>
      <c r="E3816" s="10"/>
      <c r="F3816" s="9"/>
      <c r="G3816" s="1"/>
      <c r="H3816" s="1"/>
      <c r="I3816" s="1"/>
      <c r="J3816" s="1"/>
    </row>
    <row r="3817" spans="1:10" s="6" customFormat="1">
      <c r="A3817" s="17"/>
      <c r="C3817" s="9"/>
      <c r="D3817" s="10"/>
      <c r="E3817" s="10"/>
      <c r="F3817" s="9"/>
      <c r="G3817" s="1"/>
      <c r="H3817" s="1"/>
      <c r="I3817" s="1"/>
      <c r="J3817" s="1"/>
    </row>
    <row r="3818" spans="1:10" s="6" customFormat="1">
      <c r="A3818" s="17"/>
      <c r="C3818" s="9"/>
      <c r="D3818" s="10"/>
      <c r="E3818" s="10"/>
      <c r="F3818" s="9"/>
      <c r="G3818" s="1"/>
      <c r="H3818" s="1"/>
      <c r="I3818" s="1"/>
      <c r="J3818" s="1"/>
    </row>
    <row r="3819" spans="1:10" s="6" customFormat="1">
      <c r="A3819" s="17"/>
      <c r="C3819" s="9"/>
      <c r="D3819" s="10"/>
      <c r="E3819" s="10"/>
      <c r="F3819" s="9"/>
      <c r="G3819" s="1"/>
      <c r="H3819" s="1"/>
      <c r="I3819" s="1"/>
      <c r="J3819" s="1"/>
    </row>
    <row r="3820" spans="1:10" s="6" customFormat="1">
      <c r="A3820" s="17"/>
      <c r="C3820" s="9"/>
      <c r="D3820" s="10"/>
      <c r="E3820" s="10"/>
      <c r="F3820" s="9"/>
      <c r="G3820" s="1"/>
      <c r="H3820" s="1"/>
      <c r="I3820" s="1"/>
      <c r="J3820" s="1"/>
    </row>
    <row r="3821" spans="1:10" s="6" customFormat="1">
      <c r="A3821" s="17"/>
      <c r="C3821" s="9"/>
      <c r="D3821" s="10"/>
      <c r="E3821" s="10"/>
      <c r="F3821" s="9"/>
      <c r="G3821" s="1"/>
      <c r="H3821" s="1"/>
      <c r="I3821" s="1"/>
      <c r="J3821" s="1"/>
    </row>
    <row r="3822" spans="1:10" s="6" customFormat="1">
      <c r="A3822" s="17"/>
      <c r="C3822" s="9"/>
      <c r="D3822" s="10"/>
      <c r="E3822" s="10"/>
      <c r="F3822" s="9"/>
      <c r="G3822" s="1"/>
      <c r="H3822" s="1"/>
      <c r="I3822" s="1"/>
      <c r="J3822" s="1"/>
    </row>
    <row r="3823" spans="1:10" s="6" customFormat="1">
      <c r="A3823" s="17"/>
      <c r="C3823" s="9"/>
      <c r="D3823" s="10"/>
      <c r="E3823" s="10"/>
      <c r="F3823" s="9"/>
      <c r="G3823" s="1"/>
      <c r="H3823" s="1"/>
      <c r="I3823" s="1"/>
      <c r="J3823" s="1"/>
    </row>
    <row r="3824" spans="1:10" s="6" customFormat="1">
      <c r="A3824" s="17"/>
      <c r="C3824" s="9"/>
      <c r="D3824" s="10"/>
      <c r="E3824" s="10"/>
      <c r="F3824" s="9"/>
      <c r="G3824" s="1"/>
      <c r="H3824" s="1"/>
      <c r="I3824" s="1"/>
      <c r="J3824" s="1"/>
    </row>
    <row r="3825" spans="1:10" s="6" customFormat="1">
      <c r="A3825" s="17"/>
      <c r="C3825" s="9"/>
      <c r="D3825" s="10"/>
      <c r="E3825" s="10"/>
      <c r="F3825" s="9"/>
      <c r="G3825" s="1"/>
      <c r="H3825" s="1"/>
      <c r="I3825" s="1"/>
      <c r="J3825" s="1"/>
    </row>
    <row r="3826" spans="1:10" s="6" customFormat="1">
      <c r="A3826" s="17"/>
      <c r="C3826" s="9"/>
      <c r="D3826" s="10"/>
      <c r="E3826" s="10"/>
      <c r="F3826" s="9"/>
      <c r="G3826" s="1"/>
      <c r="H3826" s="1"/>
      <c r="I3826" s="1"/>
      <c r="J3826" s="1"/>
    </row>
    <row r="3827" spans="1:10" s="6" customFormat="1">
      <c r="A3827" s="17"/>
      <c r="C3827" s="9"/>
      <c r="D3827" s="10"/>
      <c r="E3827" s="10"/>
      <c r="F3827" s="9"/>
      <c r="G3827" s="1"/>
      <c r="H3827" s="1"/>
      <c r="I3827" s="1"/>
      <c r="J3827" s="1"/>
    </row>
    <row r="3828" spans="1:10" s="6" customFormat="1">
      <c r="A3828" s="17"/>
      <c r="C3828" s="9"/>
      <c r="D3828" s="10"/>
      <c r="E3828" s="10"/>
      <c r="F3828" s="9"/>
      <c r="G3828" s="1"/>
      <c r="H3828" s="1"/>
      <c r="I3828" s="1"/>
      <c r="J3828" s="1"/>
    </row>
    <row r="3829" spans="1:10" s="6" customFormat="1">
      <c r="A3829" s="17"/>
      <c r="C3829" s="9"/>
      <c r="D3829" s="10"/>
      <c r="E3829" s="10"/>
      <c r="F3829" s="9"/>
      <c r="G3829" s="1"/>
      <c r="H3829" s="1"/>
      <c r="I3829" s="1"/>
      <c r="J3829" s="1"/>
    </row>
    <row r="3830" spans="1:10" s="6" customFormat="1">
      <c r="A3830" s="17"/>
      <c r="C3830" s="9"/>
      <c r="D3830" s="10"/>
      <c r="E3830" s="10"/>
      <c r="F3830" s="9"/>
      <c r="G3830" s="1"/>
      <c r="H3830" s="1"/>
      <c r="I3830" s="1"/>
      <c r="J3830" s="1"/>
    </row>
    <row r="3831" spans="1:10" s="6" customFormat="1">
      <c r="A3831" s="17"/>
      <c r="C3831" s="9"/>
      <c r="D3831" s="10"/>
      <c r="E3831" s="10"/>
      <c r="F3831" s="9"/>
      <c r="G3831" s="1"/>
      <c r="H3831" s="1"/>
      <c r="I3831" s="1"/>
      <c r="J3831" s="1"/>
    </row>
    <row r="3832" spans="1:10" s="6" customFormat="1">
      <c r="A3832" s="17"/>
      <c r="C3832" s="9"/>
      <c r="D3832" s="10"/>
      <c r="E3832" s="10"/>
      <c r="F3832" s="9"/>
      <c r="G3832" s="1"/>
      <c r="H3832" s="1"/>
      <c r="I3832" s="1"/>
      <c r="J3832" s="1"/>
    </row>
    <row r="3833" spans="1:10" s="6" customFormat="1">
      <c r="A3833" s="17"/>
      <c r="C3833" s="9"/>
      <c r="D3833" s="10"/>
      <c r="E3833" s="10"/>
      <c r="F3833" s="9"/>
      <c r="G3833" s="1"/>
      <c r="H3833" s="1"/>
      <c r="I3833" s="1"/>
      <c r="J3833" s="1"/>
    </row>
    <row r="3834" spans="1:10" s="6" customFormat="1">
      <c r="A3834" s="17"/>
      <c r="C3834" s="9"/>
      <c r="D3834" s="10"/>
      <c r="E3834" s="10"/>
      <c r="F3834" s="9"/>
      <c r="G3834" s="1"/>
      <c r="H3834" s="1"/>
      <c r="I3834" s="1"/>
      <c r="J3834" s="1"/>
    </row>
    <row r="3835" spans="1:10" s="6" customFormat="1">
      <c r="A3835" s="17"/>
      <c r="C3835" s="9"/>
      <c r="D3835" s="10"/>
      <c r="E3835" s="10"/>
      <c r="F3835" s="9"/>
      <c r="G3835" s="1"/>
      <c r="H3835" s="1"/>
      <c r="I3835" s="1"/>
      <c r="J3835" s="1"/>
    </row>
    <row r="3836" spans="1:10" s="6" customFormat="1">
      <c r="A3836" s="17"/>
      <c r="C3836" s="9"/>
      <c r="D3836" s="10"/>
      <c r="E3836" s="10"/>
      <c r="F3836" s="9"/>
      <c r="G3836" s="1"/>
      <c r="H3836" s="1"/>
      <c r="I3836" s="1"/>
      <c r="J3836" s="1"/>
    </row>
    <row r="3837" spans="1:10" s="6" customFormat="1">
      <c r="A3837" s="17"/>
      <c r="C3837" s="9"/>
      <c r="D3837" s="10"/>
      <c r="E3837" s="10"/>
      <c r="F3837" s="9"/>
      <c r="G3837" s="1"/>
      <c r="H3837" s="1"/>
      <c r="I3837" s="1"/>
      <c r="J3837" s="1"/>
    </row>
    <row r="3838" spans="1:10" s="6" customFormat="1">
      <c r="A3838" s="17"/>
      <c r="C3838" s="9"/>
      <c r="D3838" s="10"/>
      <c r="E3838" s="10"/>
      <c r="F3838" s="9"/>
      <c r="G3838" s="1"/>
      <c r="H3838" s="1"/>
      <c r="I3838" s="1"/>
      <c r="J3838" s="1"/>
    </row>
    <row r="3839" spans="1:10" s="6" customFormat="1">
      <c r="A3839" s="17"/>
      <c r="C3839" s="9"/>
      <c r="D3839" s="10"/>
      <c r="E3839" s="10"/>
      <c r="F3839" s="9"/>
      <c r="G3839" s="1"/>
      <c r="H3839" s="1"/>
      <c r="I3839" s="1"/>
      <c r="J3839" s="1"/>
    </row>
    <row r="3840" spans="1:10" s="6" customFormat="1">
      <c r="A3840" s="17"/>
      <c r="C3840" s="9"/>
      <c r="D3840" s="10"/>
      <c r="E3840" s="10"/>
      <c r="F3840" s="9"/>
      <c r="G3840" s="1"/>
      <c r="H3840" s="1"/>
      <c r="I3840" s="1"/>
      <c r="J3840" s="1"/>
    </row>
    <row r="3841" spans="1:10" s="6" customFormat="1">
      <c r="A3841" s="17"/>
      <c r="C3841" s="9"/>
      <c r="D3841" s="10"/>
      <c r="E3841" s="10"/>
      <c r="F3841" s="9"/>
      <c r="G3841" s="1"/>
      <c r="H3841" s="1"/>
      <c r="I3841" s="1"/>
      <c r="J3841" s="1"/>
    </row>
    <row r="3842" spans="1:10" s="6" customFormat="1">
      <c r="A3842" s="17"/>
      <c r="C3842" s="9"/>
      <c r="D3842" s="10"/>
      <c r="E3842" s="10"/>
      <c r="F3842" s="9"/>
      <c r="G3842" s="1"/>
      <c r="H3842" s="1"/>
      <c r="I3842" s="1"/>
      <c r="J3842" s="1"/>
    </row>
    <row r="3843" spans="1:10" s="6" customFormat="1">
      <c r="A3843" s="17"/>
      <c r="C3843" s="9"/>
      <c r="D3843" s="10"/>
      <c r="E3843" s="10"/>
      <c r="F3843" s="9"/>
      <c r="G3843" s="1"/>
      <c r="H3843" s="1"/>
      <c r="I3843" s="1"/>
      <c r="J3843" s="1"/>
    </row>
    <row r="3844" spans="1:10" s="6" customFormat="1">
      <c r="A3844" s="17"/>
      <c r="C3844" s="9"/>
      <c r="D3844" s="10"/>
      <c r="E3844" s="10"/>
      <c r="F3844" s="9"/>
      <c r="G3844" s="1"/>
      <c r="H3844" s="1"/>
      <c r="I3844" s="1"/>
      <c r="J3844" s="1"/>
    </row>
    <row r="3845" spans="1:10" s="6" customFormat="1">
      <c r="A3845" s="17"/>
      <c r="C3845" s="9"/>
      <c r="D3845" s="10"/>
      <c r="E3845" s="10"/>
      <c r="F3845" s="9"/>
      <c r="G3845" s="1"/>
      <c r="H3845" s="1"/>
      <c r="I3845" s="1"/>
      <c r="J3845" s="1"/>
    </row>
    <row r="3846" spans="1:10" s="6" customFormat="1">
      <c r="A3846" s="17"/>
      <c r="C3846" s="9"/>
      <c r="D3846" s="10"/>
      <c r="E3846" s="10"/>
      <c r="F3846" s="9"/>
      <c r="G3846" s="1"/>
      <c r="H3846" s="1"/>
      <c r="I3846" s="1"/>
      <c r="J3846" s="1"/>
    </row>
    <row r="3847" spans="1:10" s="6" customFormat="1">
      <c r="A3847" s="17"/>
      <c r="C3847" s="9"/>
      <c r="D3847" s="10"/>
      <c r="E3847" s="10"/>
      <c r="F3847" s="9"/>
      <c r="G3847" s="1"/>
      <c r="H3847" s="1"/>
      <c r="I3847" s="1"/>
      <c r="J3847" s="1"/>
    </row>
    <row r="3848" spans="1:10" s="6" customFormat="1">
      <c r="A3848" s="17"/>
      <c r="C3848" s="9"/>
      <c r="D3848" s="10"/>
      <c r="E3848" s="10"/>
      <c r="F3848" s="9"/>
      <c r="G3848" s="1"/>
      <c r="H3848" s="1"/>
      <c r="I3848" s="1"/>
      <c r="J3848" s="1"/>
    </row>
    <row r="3849" spans="1:10" s="6" customFormat="1">
      <c r="A3849" s="17"/>
      <c r="C3849" s="9"/>
      <c r="D3849" s="10"/>
      <c r="E3849" s="10"/>
      <c r="F3849" s="9"/>
      <c r="G3849" s="1"/>
      <c r="H3849" s="1"/>
      <c r="I3849" s="1"/>
      <c r="J3849" s="1"/>
    </row>
    <row r="3850" spans="1:10" s="6" customFormat="1">
      <c r="A3850" s="17"/>
      <c r="C3850" s="9"/>
      <c r="D3850" s="10"/>
      <c r="E3850" s="10"/>
      <c r="F3850" s="9"/>
      <c r="G3850" s="1"/>
      <c r="H3850" s="1"/>
      <c r="I3850" s="1"/>
      <c r="J3850" s="1"/>
    </row>
    <row r="3851" spans="1:10" s="6" customFormat="1">
      <c r="A3851" s="17"/>
      <c r="C3851" s="9"/>
      <c r="D3851" s="10"/>
      <c r="E3851" s="10"/>
      <c r="F3851" s="9"/>
      <c r="G3851" s="1"/>
      <c r="H3851" s="1"/>
      <c r="I3851" s="1"/>
      <c r="J3851" s="1"/>
    </row>
    <row r="3852" spans="1:10" s="6" customFormat="1">
      <c r="A3852" s="17"/>
      <c r="C3852" s="9"/>
      <c r="D3852" s="10"/>
      <c r="E3852" s="10"/>
      <c r="F3852" s="9"/>
      <c r="G3852" s="1"/>
      <c r="H3852" s="1"/>
      <c r="I3852" s="1"/>
      <c r="J3852" s="1"/>
    </row>
    <row r="3853" spans="1:10" s="6" customFormat="1">
      <c r="A3853" s="17"/>
      <c r="C3853" s="9"/>
      <c r="D3853" s="10"/>
      <c r="E3853" s="10"/>
      <c r="F3853" s="9"/>
      <c r="G3853" s="1"/>
      <c r="H3853" s="1"/>
      <c r="I3853" s="1"/>
      <c r="J3853" s="1"/>
    </row>
    <row r="3854" spans="1:10" s="6" customFormat="1">
      <c r="A3854" s="17"/>
      <c r="C3854" s="9"/>
      <c r="D3854" s="10"/>
      <c r="E3854" s="10"/>
      <c r="F3854" s="9"/>
      <c r="G3854" s="1"/>
      <c r="H3854" s="1"/>
      <c r="I3854" s="1"/>
      <c r="J3854" s="1"/>
    </row>
    <row r="3855" spans="1:10" s="6" customFormat="1">
      <c r="A3855" s="17"/>
      <c r="C3855" s="9"/>
      <c r="D3855" s="10"/>
      <c r="E3855" s="10"/>
      <c r="F3855" s="9"/>
      <c r="G3855" s="1"/>
      <c r="H3855" s="1"/>
      <c r="I3855" s="1"/>
      <c r="J3855" s="1"/>
    </row>
    <row r="3856" spans="1:10" s="6" customFormat="1">
      <c r="A3856" s="17"/>
      <c r="C3856" s="9"/>
      <c r="D3856" s="10"/>
      <c r="E3856" s="10"/>
      <c r="F3856" s="9"/>
      <c r="G3856" s="1"/>
      <c r="H3856" s="1"/>
      <c r="I3856" s="1"/>
      <c r="J3856" s="1"/>
    </row>
    <row r="3857" spans="1:10" s="6" customFormat="1">
      <c r="A3857" s="17"/>
      <c r="C3857" s="9"/>
      <c r="D3857" s="10"/>
      <c r="E3857" s="10"/>
      <c r="F3857" s="9"/>
      <c r="G3857" s="1"/>
      <c r="H3857" s="1"/>
      <c r="I3857" s="1"/>
      <c r="J3857" s="1"/>
    </row>
    <row r="3858" spans="1:10" s="6" customFormat="1">
      <c r="A3858" s="17"/>
      <c r="C3858" s="9"/>
      <c r="D3858" s="10"/>
      <c r="E3858" s="10"/>
      <c r="F3858" s="9"/>
      <c r="G3858" s="1"/>
      <c r="H3858" s="1"/>
      <c r="I3858" s="1"/>
      <c r="J3858" s="1"/>
    </row>
    <row r="3859" spans="1:10" s="6" customFormat="1">
      <c r="A3859" s="17"/>
      <c r="C3859" s="9"/>
      <c r="D3859" s="10"/>
      <c r="E3859" s="10"/>
      <c r="F3859" s="9"/>
      <c r="G3859" s="1"/>
      <c r="H3859" s="1"/>
      <c r="I3859" s="1"/>
      <c r="J3859" s="1"/>
    </row>
    <row r="3860" spans="1:10" s="6" customFormat="1">
      <c r="A3860" s="17"/>
      <c r="C3860" s="9"/>
      <c r="D3860" s="10"/>
      <c r="E3860" s="10"/>
      <c r="F3860" s="9"/>
      <c r="G3860" s="1"/>
      <c r="H3860" s="1"/>
      <c r="I3860" s="1"/>
      <c r="J3860" s="1"/>
    </row>
    <row r="3861" spans="1:10" s="6" customFormat="1">
      <c r="A3861" s="17"/>
      <c r="C3861" s="9"/>
      <c r="D3861" s="10"/>
      <c r="E3861" s="10"/>
      <c r="F3861" s="9"/>
      <c r="G3861" s="1"/>
      <c r="H3861" s="1"/>
      <c r="I3861" s="1"/>
      <c r="J3861" s="1"/>
    </row>
    <row r="3862" spans="1:10" s="6" customFormat="1">
      <c r="A3862" s="17"/>
      <c r="C3862" s="9"/>
      <c r="D3862" s="10"/>
      <c r="E3862" s="10"/>
      <c r="F3862" s="9"/>
      <c r="G3862" s="1"/>
      <c r="H3862" s="1"/>
      <c r="I3862" s="1"/>
      <c r="J3862" s="1"/>
    </row>
    <row r="3863" spans="1:10" s="6" customFormat="1">
      <c r="A3863" s="17"/>
      <c r="C3863" s="9"/>
      <c r="D3863" s="10"/>
      <c r="E3863" s="10"/>
      <c r="F3863" s="9"/>
      <c r="G3863" s="1"/>
      <c r="H3863" s="1"/>
      <c r="I3863" s="1"/>
      <c r="J3863" s="1"/>
    </row>
    <row r="3864" spans="1:10" s="6" customFormat="1">
      <c r="A3864" s="17"/>
      <c r="C3864" s="9"/>
      <c r="D3864" s="10"/>
      <c r="E3864" s="10"/>
      <c r="F3864" s="9"/>
      <c r="G3864" s="1"/>
      <c r="H3864" s="1"/>
      <c r="I3864" s="1"/>
      <c r="J3864" s="1"/>
    </row>
    <row r="3865" spans="1:10" s="6" customFormat="1">
      <c r="A3865" s="17"/>
      <c r="C3865" s="9"/>
      <c r="D3865" s="10"/>
      <c r="E3865" s="10"/>
      <c r="F3865" s="9"/>
      <c r="G3865" s="1"/>
      <c r="H3865" s="1"/>
      <c r="I3865" s="1"/>
      <c r="J3865" s="1"/>
    </row>
    <row r="3866" spans="1:10" s="6" customFormat="1">
      <c r="A3866" s="17"/>
      <c r="C3866" s="9"/>
      <c r="D3866" s="10"/>
      <c r="E3866" s="10"/>
      <c r="F3866" s="9"/>
      <c r="G3866" s="1"/>
      <c r="H3866" s="1"/>
      <c r="I3866" s="1"/>
      <c r="J3866" s="1"/>
    </row>
    <row r="3867" spans="1:10" s="6" customFormat="1">
      <c r="A3867" s="17"/>
      <c r="C3867" s="9"/>
      <c r="D3867" s="10"/>
      <c r="E3867" s="10"/>
      <c r="F3867" s="9"/>
      <c r="G3867" s="1"/>
      <c r="H3867" s="1"/>
      <c r="I3867" s="1"/>
      <c r="J3867" s="1"/>
    </row>
    <row r="3868" spans="1:10" s="6" customFormat="1">
      <c r="A3868" s="17"/>
      <c r="C3868" s="9"/>
      <c r="D3868" s="10"/>
      <c r="E3868" s="10"/>
      <c r="F3868" s="9"/>
      <c r="G3868" s="1"/>
      <c r="H3868" s="1"/>
      <c r="I3868" s="1"/>
      <c r="J3868" s="1"/>
    </row>
    <row r="3869" spans="1:10" s="6" customFormat="1">
      <c r="A3869" s="17"/>
      <c r="C3869" s="9"/>
      <c r="D3869" s="10"/>
      <c r="E3869" s="10"/>
      <c r="F3869" s="9"/>
      <c r="G3869" s="1"/>
      <c r="H3869" s="1"/>
      <c r="I3869" s="1"/>
      <c r="J3869" s="1"/>
    </row>
    <row r="3870" spans="1:10" s="6" customFormat="1">
      <c r="A3870" s="17"/>
      <c r="C3870" s="9"/>
      <c r="D3870" s="10"/>
      <c r="E3870" s="10"/>
      <c r="F3870" s="9"/>
      <c r="G3870" s="1"/>
      <c r="H3870" s="1"/>
      <c r="I3870" s="1"/>
      <c r="J3870" s="1"/>
    </row>
    <row r="3871" spans="1:10" s="6" customFormat="1">
      <c r="A3871" s="17"/>
      <c r="C3871" s="9"/>
      <c r="D3871" s="10"/>
      <c r="E3871" s="10"/>
      <c r="F3871" s="9"/>
      <c r="G3871" s="1"/>
      <c r="H3871" s="1"/>
      <c r="I3871" s="1"/>
      <c r="J3871" s="1"/>
    </row>
    <row r="3872" spans="1:10" s="6" customFormat="1">
      <c r="A3872" s="17"/>
      <c r="C3872" s="9"/>
      <c r="D3872" s="10"/>
      <c r="E3872" s="10"/>
      <c r="F3872" s="9"/>
      <c r="G3872" s="1"/>
      <c r="H3872" s="1"/>
      <c r="I3872" s="1"/>
      <c r="J3872" s="1"/>
    </row>
    <row r="3873" spans="1:10" s="6" customFormat="1">
      <c r="A3873" s="17"/>
      <c r="C3873" s="9"/>
      <c r="D3873" s="10"/>
      <c r="E3873" s="10"/>
      <c r="F3873" s="9"/>
      <c r="G3873" s="1"/>
      <c r="H3873" s="1"/>
      <c r="I3873" s="1"/>
      <c r="J3873" s="1"/>
    </row>
    <row r="3874" spans="1:10" s="6" customFormat="1">
      <c r="A3874" s="17"/>
      <c r="C3874" s="9"/>
      <c r="D3874" s="10"/>
      <c r="E3874" s="10"/>
      <c r="F3874" s="9"/>
      <c r="G3874" s="1"/>
      <c r="H3874" s="1"/>
      <c r="I3874" s="1"/>
      <c r="J3874" s="1"/>
    </row>
    <row r="3875" spans="1:10" s="6" customFormat="1">
      <c r="A3875" s="17"/>
      <c r="C3875" s="9"/>
      <c r="D3875" s="10"/>
      <c r="E3875" s="10"/>
      <c r="F3875" s="9"/>
      <c r="G3875" s="1"/>
      <c r="H3875" s="1"/>
      <c r="I3875" s="1"/>
      <c r="J3875" s="1"/>
    </row>
    <row r="3876" spans="1:10" s="6" customFormat="1">
      <c r="A3876" s="17"/>
      <c r="C3876" s="9"/>
      <c r="D3876" s="10"/>
      <c r="E3876" s="10"/>
      <c r="F3876" s="9"/>
      <c r="G3876" s="1"/>
      <c r="H3876" s="1"/>
      <c r="I3876" s="1"/>
      <c r="J3876" s="1"/>
    </row>
    <row r="3877" spans="1:10" s="6" customFormat="1">
      <c r="A3877" s="17"/>
      <c r="C3877" s="9"/>
      <c r="D3877" s="10"/>
      <c r="E3877" s="10"/>
      <c r="F3877" s="9"/>
      <c r="G3877" s="1"/>
      <c r="H3877" s="1"/>
      <c r="I3877" s="1"/>
      <c r="J3877" s="1"/>
    </row>
    <row r="3878" spans="1:10" s="6" customFormat="1">
      <c r="A3878" s="17"/>
      <c r="C3878" s="9"/>
      <c r="D3878" s="10"/>
      <c r="E3878" s="10"/>
      <c r="F3878" s="9"/>
      <c r="G3878" s="1"/>
      <c r="H3878" s="1"/>
      <c r="I3878" s="1"/>
      <c r="J3878" s="1"/>
    </row>
    <row r="3879" spans="1:10" s="6" customFormat="1">
      <c r="A3879" s="17"/>
      <c r="C3879" s="9"/>
      <c r="D3879" s="10"/>
      <c r="E3879" s="10"/>
      <c r="F3879" s="9"/>
      <c r="G3879" s="1"/>
      <c r="H3879" s="1"/>
      <c r="I3879" s="1"/>
      <c r="J3879" s="1"/>
    </row>
    <row r="3880" spans="1:10" s="6" customFormat="1">
      <c r="A3880" s="17"/>
      <c r="C3880" s="9"/>
      <c r="D3880" s="10"/>
      <c r="E3880" s="10"/>
      <c r="F3880" s="9"/>
      <c r="G3880" s="1"/>
      <c r="H3880" s="1"/>
      <c r="I3880" s="1"/>
      <c r="J3880" s="1"/>
    </row>
    <row r="3881" spans="1:10" s="6" customFormat="1">
      <c r="A3881" s="17"/>
      <c r="C3881" s="9"/>
      <c r="D3881" s="10"/>
      <c r="E3881" s="10"/>
      <c r="F3881" s="9"/>
      <c r="G3881" s="1"/>
      <c r="H3881" s="1"/>
      <c r="I3881" s="1"/>
      <c r="J3881" s="1"/>
    </row>
    <row r="3882" spans="1:10" s="6" customFormat="1">
      <c r="A3882" s="17"/>
      <c r="C3882" s="9"/>
      <c r="D3882" s="10"/>
      <c r="E3882" s="10"/>
      <c r="F3882" s="9"/>
      <c r="G3882" s="1"/>
      <c r="H3882" s="1"/>
      <c r="I3882" s="1"/>
      <c r="J3882" s="1"/>
    </row>
    <row r="3883" spans="1:10" s="6" customFormat="1">
      <c r="A3883" s="17"/>
      <c r="C3883" s="9"/>
      <c r="D3883" s="10"/>
      <c r="E3883" s="10"/>
      <c r="F3883" s="9"/>
      <c r="G3883" s="1"/>
      <c r="H3883" s="1"/>
      <c r="I3883" s="1"/>
      <c r="J3883" s="1"/>
    </row>
    <row r="3884" spans="1:10" s="6" customFormat="1">
      <c r="A3884" s="17"/>
      <c r="C3884" s="9"/>
      <c r="D3884" s="10"/>
      <c r="E3884" s="10"/>
      <c r="F3884" s="9"/>
      <c r="G3884" s="1"/>
      <c r="H3884" s="1"/>
      <c r="I3884" s="1"/>
      <c r="J3884" s="1"/>
    </row>
    <row r="3885" spans="1:10" s="6" customFormat="1">
      <c r="A3885" s="17"/>
      <c r="C3885" s="9"/>
      <c r="D3885" s="10"/>
      <c r="E3885" s="10"/>
      <c r="F3885" s="9"/>
      <c r="G3885" s="1"/>
      <c r="H3885" s="1"/>
      <c r="I3885" s="1"/>
      <c r="J3885" s="1"/>
    </row>
    <row r="3886" spans="1:10" s="6" customFormat="1">
      <c r="A3886" s="17"/>
      <c r="C3886" s="9"/>
      <c r="D3886" s="10"/>
      <c r="E3886" s="10"/>
      <c r="F3886" s="9"/>
      <c r="G3886" s="1"/>
      <c r="H3886" s="1"/>
      <c r="I3886" s="1"/>
      <c r="J3886" s="1"/>
    </row>
    <row r="3887" spans="1:10" s="6" customFormat="1">
      <c r="A3887" s="17"/>
      <c r="C3887" s="9"/>
      <c r="D3887" s="10"/>
      <c r="E3887" s="10"/>
      <c r="F3887" s="9"/>
      <c r="G3887" s="1"/>
      <c r="H3887" s="1"/>
      <c r="I3887" s="1"/>
      <c r="J3887" s="1"/>
    </row>
    <row r="3888" spans="1:10" s="6" customFormat="1">
      <c r="A3888" s="17"/>
      <c r="C3888" s="9"/>
      <c r="D3888" s="10"/>
      <c r="E3888" s="10"/>
      <c r="F3888" s="9"/>
      <c r="G3888" s="1"/>
      <c r="H3888" s="1"/>
      <c r="I3888" s="1"/>
      <c r="J3888" s="1"/>
    </row>
    <row r="3889" spans="1:10" s="6" customFormat="1">
      <c r="A3889" s="17"/>
      <c r="C3889" s="9"/>
      <c r="D3889" s="10"/>
      <c r="E3889" s="10"/>
      <c r="F3889" s="9"/>
      <c r="G3889" s="1"/>
      <c r="H3889" s="1"/>
      <c r="I3889" s="1"/>
      <c r="J3889" s="1"/>
    </row>
    <row r="3890" spans="1:10" s="6" customFormat="1">
      <c r="A3890" s="17"/>
      <c r="C3890" s="9"/>
      <c r="D3890" s="10"/>
      <c r="E3890" s="10"/>
      <c r="F3890" s="9"/>
      <c r="G3890" s="1"/>
      <c r="H3890" s="1"/>
      <c r="I3890" s="1"/>
      <c r="J3890" s="1"/>
    </row>
    <row r="3891" spans="1:10" s="6" customFormat="1">
      <c r="A3891" s="17"/>
      <c r="C3891" s="9"/>
      <c r="D3891" s="10"/>
      <c r="E3891" s="10"/>
      <c r="F3891" s="9"/>
      <c r="G3891" s="1"/>
      <c r="H3891" s="1"/>
      <c r="I3891" s="1"/>
      <c r="J3891" s="1"/>
    </row>
    <row r="3892" spans="1:10" s="6" customFormat="1">
      <c r="A3892" s="17"/>
      <c r="C3892" s="9"/>
      <c r="D3892" s="10"/>
      <c r="E3892" s="10"/>
      <c r="F3892" s="9"/>
      <c r="G3892" s="1"/>
      <c r="H3892" s="1"/>
      <c r="I3892" s="1"/>
      <c r="J3892" s="1"/>
    </row>
    <row r="3893" spans="1:10" s="6" customFormat="1">
      <c r="A3893" s="17"/>
      <c r="C3893" s="9"/>
      <c r="D3893" s="10"/>
      <c r="E3893" s="10"/>
      <c r="F3893" s="9"/>
      <c r="G3893" s="1"/>
      <c r="H3893" s="1"/>
      <c r="I3893" s="1"/>
      <c r="J3893" s="1"/>
    </row>
    <row r="3894" spans="1:10" s="6" customFormat="1">
      <c r="A3894" s="17"/>
      <c r="C3894" s="9"/>
      <c r="D3894" s="10"/>
      <c r="E3894" s="10"/>
      <c r="F3894" s="9"/>
      <c r="G3894" s="1"/>
      <c r="H3894" s="1"/>
      <c r="I3894" s="1"/>
      <c r="J3894" s="1"/>
    </row>
    <row r="3895" spans="1:10" s="6" customFormat="1">
      <c r="A3895" s="17"/>
      <c r="C3895" s="9"/>
      <c r="D3895" s="10"/>
      <c r="E3895" s="10"/>
      <c r="F3895" s="9"/>
      <c r="G3895" s="1"/>
      <c r="H3895" s="1"/>
      <c r="I3895" s="1"/>
      <c r="J3895" s="1"/>
    </row>
    <row r="3896" spans="1:10" s="6" customFormat="1">
      <c r="A3896" s="17"/>
      <c r="C3896" s="9"/>
      <c r="D3896" s="10"/>
      <c r="E3896" s="10"/>
      <c r="F3896" s="9"/>
      <c r="G3896" s="1"/>
      <c r="H3896" s="1"/>
      <c r="I3896" s="1"/>
      <c r="J3896" s="1"/>
    </row>
    <row r="3897" spans="1:10" s="6" customFormat="1">
      <c r="A3897" s="17"/>
      <c r="C3897" s="9"/>
      <c r="D3897" s="10"/>
      <c r="E3897" s="10"/>
      <c r="F3897" s="9"/>
      <c r="G3897" s="1"/>
      <c r="H3897" s="1"/>
      <c r="I3897" s="1"/>
      <c r="J3897" s="1"/>
    </row>
    <row r="3898" spans="1:10" s="6" customFormat="1">
      <c r="A3898" s="17"/>
      <c r="C3898" s="9"/>
      <c r="D3898" s="10"/>
      <c r="E3898" s="10"/>
      <c r="F3898" s="9"/>
      <c r="G3898" s="1"/>
      <c r="H3898" s="1"/>
      <c r="I3898" s="1"/>
      <c r="J3898" s="1"/>
    </row>
    <row r="3899" spans="1:10" s="6" customFormat="1">
      <c r="A3899" s="17"/>
      <c r="C3899" s="9"/>
      <c r="D3899" s="10"/>
      <c r="E3899" s="10"/>
      <c r="F3899" s="9"/>
      <c r="G3899" s="1"/>
      <c r="H3899" s="1"/>
      <c r="I3899" s="1"/>
      <c r="J3899" s="1"/>
    </row>
    <row r="3900" spans="1:10" s="6" customFormat="1">
      <c r="A3900" s="17"/>
      <c r="C3900" s="9"/>
      <c r="D3900" s="10"/>
      <c r="E3900" s="10"/>
      <c r="F3900" s="9"/>
      <c r="G3900" s="1"/>
      <c r="H3900" s="1"/>
      <c r="I3900" s="1"/>
      <c r="J3900" s="1"/>
    </row>
    <row r="3901" spans="1:10" s="6" customFormat="1">
      <c r="A3901" s="17"/>
      <c r="C3901" s="9"/>
      <c r="D3901" s="10"/>
      <c r="E3901" s="10"/>
      <c r="F3901" s="9"/>
      <c r="G3901" s="1"/>
      <c r="H3901" s="1"/>
      <c r="I3901" s="1"/>
      <c r="J3901" s="1"/>
    </row>
    <row r="3902" spans="1:10" s="6" customFormat="1">
      <c r="A3902" s="17"/>
      <c r="C3902" s="9"/>
      <c r="D3902" s="10"/>
      <c r="E3902" s="10"/>
      <c r="F3902" s="9"/>
      <c r="G3902" s="1"/>
      <c r="H3902" s="1"/>
      <c r="I3902" s="1"/>
      <c r="J3902" s="1"/>
    </row>
    <row r="3903" spans="1:10" s="6" customFormat="1">
      <c r="A3903" s="17"/>
      <c r="C3903" s="9"/>
      <c r="D3903" s="10"/>
      <c r="E3903" s="10"/>
      <c r="F3903" s="9"/>
      <c r="G3903" s="1"/>
      <c r="H3903" s="1"/>
      <c r="I3903" s="1"/>
      <c r="J3903" s="1"/>
    </row>
    <row r="3904" spans="1:10" s="6" customFormat="1">
      <c r="A3904" s="17"/>
      <c r="C3904" s="9"/>
      <c r="D3904" s="10"/>
      <c r="E3904" s="10"/>
      <c r="F3904" s="9"/>
      <c r="G3904" s="1"/>
      <c r="H3904" s="1"/>
      <c r="I3904" s="1"/>
      <c r="J3904" s="1"/>
    </row>
    <row r="3905" spans="1:10" s="6" customFormat="1">
      <c r="A3905" s="17"/>
      <c r="C3905" s="9"/>
      <c r="D3905" s="10"/>
      <c r="E3905" s="10"/>
      <c r="F3905" s="9"/>
      <c r="G3905" s="1"/>
      <c r="H3905" s="1"/>
      <c r="I3905" s="1"/>
      <c r="J3905" s="1"/>
    </row>
    <row r="3906" spans="1:10" s="6" customFormat="1">
      <c r="A3906" s="17"/>
      <c r="C3906" s="9"/>
      <c r="D3906" s="10"/>
      <c r="E3906" s="10"/>
      <c r="F3906" s="9"/>
      <c r="G3906" s="1"/>
      <c r="H3906" s="1"/>
      <c r="I3906" s="1"/>
      <c r="J3906" s="1"/>
    </row>
    <row r="3907" spans="1:10" s="6" customFormat="1">
      <c r="A3907" s="17"/>
      <c r="C3907" s="9"/>
      <c r="D3907" s="10"/>
      <c r="E3907" s="10"/>
      <c r="F3907" s="9"/>
      <c r="G3907" s="1"/>
      <c r="H3907" s="1"/>
      <c r="I3907" s="1"/>
      <c r="J3907" s="1"/>
    </row>
    <row r="3908" spans="1:10" s="6" customFormat="1">
      <c r="A3908" s="17"/>
      <c r="C3908" s="9"/>
      <c r="D3908" s="10"/>
      <c r="E3908" s="10"/>
      <c r="F3908" s="9"/>
      <c r="G3908" s="1"/>
      <c r="H3908" s="1"/>
      <c r="I3908" s="1"/>
      <c r="J3908" s="1"/>
    </row>
    <row r="3909" spans="1:10" s="6" customFormat="1">
      <c r="A3909" s="17"/>
      <c r="C3909" s="9"/>
      <c r="D3909" s="10"/>
      <c r="E3909" s="10"/>
      <c r="F3909" s="9"/>
      <c r="G3909" s="1"/>
      <c r="H3909" s="1"/>
      <c r="I3909" s="1"/>
      <c r="J3909" s="1"/>
    </row>
    <row r="3910" spans="1:10" s="6" customFormat="1">
      <c r="A3910" s="17"/>
      <c r="C3910" s="9"/>
      <c r="D3910" s="10"/>
      <c r="E3910" s="10"/>
      <c r="F3910" s="9"/>
      <c r="G3910" s="1"/>
      <c r="H3910" s="1"/>
      <c r="I3910" s="1"/>
      <c r="J3910" s="1"/>
    </row>
    <row r="3911" spans="1:10" s="6" customFormat="1">
      <c r="A3911" s="17"/>
      <c r="C3911" s="9"/>
      <c r="D3911" s="10"/>
      <c r="E3911" s="10"/>
      <c r="F3911" s="9"/>
      <c r="G3911" s="1"/>
      <c r="H3911" s="1"/>
      <c r="I3911" s="1"/>
      <c r="J3911" s="1"/>
    </row>
    <row r="3912" spans="1:10" s="6" customFormat="1">
      <c r="A3912" s="17"/>
      <c r="C3912" s="9"/>
      <c r="D3912" s="10"/>
      <c r="E3912" s="10"/>
      <c r="F3912" s="9"/>
      <c r="G3912" s="1"/>
      <c r="H3912" s="1"/>
      <c r="I3912" s="1"/>
      <c r="J3912" s="1"/>
    </row>
    <row r="3913" spans="1:10" s="6" customFormat="1">
      <c r="A3913" s="17"/>
      <c r="C3913" s="9"/>
      <c r="D3913" s="10"/>
      <c r="E3913" s="10"/>
      <c r="F3913" s="9"/>
      <c r="G3913" s="1"/>
      <c r="H3913" s="1"/>
      <c r="I3913" s="1"/>
      <c r="J3913" s="1"/>
    </row>
    <row r="3914" spans="1:10" s="6" customFormat="1">
      <c r="A3914" s="17"/>
      <c r="C3914" s="9"/>
      <c r="D3914" s="10"/>
      <c r="E3914" s="10"/>
      <c r="F3914" s="9"/>
      <c r="G3914" s="1"/>
      <c r="H3914" s="1"/>
      <c r="I3914" s="1"/>
      <c r="J3914" s="1"/>
    </row>
    <row r="3915" spans="1:10" s="6" customFormat="1">
      <c r="A3915" s="17"/>
      <c r="C3915" s="9"/>
      <c r="D3915" s="10"/>
      <c r="E3915" s="10"/>
      <c r="F3915" s="9"/>
      <c r="G3915" s="1"/>
      <c r="H3915" s="1"/>
      <c r="I3915" s="1"/>
      <c r="J3915" s="1"/>
    </row>
    <row r="3916" spans="1:10" s="6" customFormat="1">
      <c r="A3916" s="17"/>
      <c r="C3916" s="9"/>
      <c r="D3916" s="10"/>
      <c r="E3916" s="10"/>
      <c r="F3916" s="9"/>
      <c r="G3916" s="1"/>
      <c r="H3916" s="1"/>
      <c r="I3916" s="1"/>
      <c r="J3916" s="1"/>
    </row>
    <row r="3917" spans="1:10" s="6" customFormat="1">
      <c r="A3917" s="17"/>
      <c r="C3917" s="9"/>
      <c r="D3917" s="10"/>
      <c r="E3917" s="10"/>
      <c r="F3917" s="9"/>
      <c r="G3917" s="1"/>
      <c r="H3917" s="1"/>
      <c r="I3917" s="1"/>
      <c r="J3917" s="1"/>
    </row>
    <row r="3918" spans="1:10" s="6" customFormat="1">
      <c r="A3918" s="17"/>
      <c r="C3918" s="9"/>
      <c r="D3918" s="10"/>
      <c r="E3918" s="10"/>
      <c r="F3918" s="9"/>
      <c r="G3918" s="1"/>
      <c r="H3918" s="1"/>
      <c r="I3918" s="1"/>
      <c r="J3918" s="1"/>
    </row>
    <row r="3919" spans="1:10" s="6" customFormat="1">
      <c r="A3919" s="17"/>
      <c r="C3919" s="9"/>
      <c r="D3919" s="10"/>
      <c r="E3919" s="10"/>
      <c r="F3919" s="9"/>
      <c r="G3919" s="1"/>
      <c r="H3919" s="1"/>
      <c r="I3919" s="1"/>
      <c r="J3919" s="1"/>
    </row>
    <row r="3920" spans="1:10" s="6" customFormat="1">
      <c r="A3920" s="17"/>
      <c r="C3920" s="9"/>
      <c r="D3920" s="10"/>
      <c r="E3920" s="10"/>
      <c r="F3920" s="9"/>
      <c r="G3920" s="1"/>
      <c r="H3920" s="1"/>
      <c r="I3920" s="1"/>
      <c r="J3920" s="1"/>
    </row>
    <row r="3921" spans="1:10" s="6" customFormat="1">
      <c r="A3921" s="17"/>
      <c r="C3921" s="9"/>
      <c r="D3921" s="10"/>
      <c r="E3921" s="10"/>
      <c r="F3921" s="9"/>
      <c r="G3921" s="1"/>
      <c r="H3921" s="1"/>
      <c r="I3921" s="1"/>
      <c r="J3921" s="1"/>
    </row>
    <row r="3922" spans="1:10" s="6" customFormat="1">
      <c r="A3922" s="17"/>
      <c r="C3922" s="9"/>
      <c r="D3922" s="10"/>
      <c r="E3922" s="10"/>
      <c r="F3922" s="9"/>
      <c r="G3922" s="1"/>
      <c r="H3922" s="1"/>
      <c r="I3922" s="1"/>
      <c r="J3922" s="1"/>
    </row>
    <row r="3923" spans="1:10" s="6" customFormat="1">
      <c r="A3923" s="17"/>
      <c r="C3923" s="9"/>
      <c r="D3923" s="10"/>
      <c r="E3923" s="10"/>
      <c r="F3923" s="9"/>
      <c r="G3923" s="1"/>
      <c r="H3923" s="1"/>
      <c r="I3923" s="1"/>
      <c r="J3923" s="1"/>
    </row>
    <row r="3924" spans="1:10" s="6" customFormat="1">
      <c r="A3924" s="17"/>
      <c r="C3924" s="9"/>
      <c r="D3924" s="10"/>
      <c r="E3924" s="10"/>
      <c r="F3924" s="9"/>
      <c r="G3924" s="1"/>
      <c r="H3924" s="1"/>
      <c r="I3924" s="1"/>
      <c r="J3924" s="1"/>
    </row>
    <row r="3925" spans="1:10" s="6" customFormat="1">
      <c r="A3925" s="17"/>
      <c r="C3925" s="9"/>
      <c r="D3925" s="10"/>
      <c r="E3925" s="10"/>
      <c r="F3925" s="9"/>
      <c r="G3925" s="1"/>
      <c r="H3925" s="1"/>
      <c r="I3925" s="1"/>
      <c r="J3925" s="1"/>
    </row>
    <row r="3926" spans="1:10" s="6" customFormat="1">
      <c r="A3926" s="17"/>
      <c r="C3926" s="9"/>
      <c r="D3926" s="10"/>
      <c r="E3926" s="10"/>
      <c r="F3926" s="9"/>
      <c r="G3926" s="1"/>
      <c r="H3926" s="1"/>
      <c r="I3926" s="1"/>
      <c r="J3926" s="1"/>
    </row>
    <row r="3927" spans="1:10" s="6" customFormat="1">
      <c r="A3927" s="17"/>
      <c r="C3927" s="9"/>
      <c r="D3927" s="10"/>
      <c r="E3927" s="10"/>
      <c r="F3927" s="9"/>
      <c r="G3927" s="1"/>
      <c r="H3927" s="1"/>
      <c r="I3927" s="1"/>
      <c r="J3927" s="1"/>
    </row>
    <row r="3928" spans="1:10" s="6" customFormat="1">
      <c r="A3928" s="17"/>
      <c r="C3928" s="9"/>
      <c r="D3928" s="10"/>
      <c r="E3928" s="10"/>
      <c r="F3928" s="9"/>
      <c r="G3928" s="1"/>
      <c r="H3928" s="1"/>
      <c r="I3928" s="1"/>
      <c r="J3928" s="1"/>
    </row>
    <row r="3929" spans="1:10" s="6" customFormat="1">
      <c r="A3929" s="17"/>
      <c r="C3929" s="9"/>
      <c r="D3929" s="10"/>
      <c r="E3929" s="10"/>
      <c r="F3929" s="9"/>
      <c r="G3929" s="1"/>
      <c r="H3929" s="1"/>
      <c r="I3929" s="1"/>
      <c r="J3929" s="1"/>
    </row>
    <row r="3930" spans="1:10" s="6" customFormat="1">
      <c r="A3930" s="17"/>
      <c r="C3930" s="9"/>
      <c r="D3930" s="10"/>
      <c r="E3930" s="10"/>
      <c r="F3930" s="9"/>
      <c r="G3930" s="1"/>
      <c r="H3930" s="1"/>
      <c r="I3930" s="1"/>
      <c r="J3930" s="1"/>
    </row>
    <row r="3931" spans="1:10" s="6" customFormat="1">
      <c r="A3931" s="17"/>
      <c r="C3931" s="9"/>
      <c r="D3931" s="10"/>
      <c r="E3931" s="10"/>
      <c r="F3931" s="9"/>
      <c r="G3931" s="1"/>
      <c r="H3931" s="1"/>
      <c r="I3931" s="1"/>
      <c r="J3931" s="1"/>
    </row>
    <row r="3932" spans="1:10" s="6" customFormat="1">
      <c r="A3932" s="17"/>
      <c r="C3932" s="9"/>
      <c r="D3932" s="10"/>
      <c r="E3932" s="10"/>
      <c r="F3932" s="9"/>
      <c r="G3932" s="1"/>
      <c r="H3932" s="1"/>
      <c r="I3932" s="1"/>
      <c r="J3932" s="1"/>
    </row>
    <row r="3933" spans="1:10" s="6" customFormat="1">
      <c r="A3933" s="17"/>
      <c r="C3933" s="9"/>
      <c r="D3933" s="10"/>
      <c r="E3933" s="10"/>
      <c r="F3933" s="9"/>
      <c r="G3933" s="1"/>
      <c r="H3933" s="1"/>
      <c r="I3933" s="1"/>
      <c r="J3933" s="1"/>
    </row>
    <row r="3934" spans="1:10" s="6" customFormat="1">
      <c r="A3934" s="17"/>
      <c r="C3934" s="9"/>
      <c r="D3934" s="10"/>
      <c r="E3934" s="10"/>
      <c r="F3934" s="9"/>
      <c r="G3934" s="1"/>
      <c r="H3934" s="1"/>
      <c r="I3934" s="1"/>
      <c r="J3934" s="1"/>
    </row>
    <row r="3935" spans="1:10" s="6" customFormat="1">
      <c r="A3935" s="17"/>
      <c r="C3935" s="9"/>
      <c r="D3935" s="10"/>
      <c r="E3935" s="10"/>
      <c r="F3935" s="9"/>
      <c r="G3935" s="1"/>
      <c r="H3935" s="1"/>
      <c r="I3935" s="1"/>
      <c r="J3935" s="1"/>
    </row>
    <row r="3936" spans="1:10" s="6" customFormat="1">
      <c r="A3936" s="17"/>
      <c r="C3936" s="9"/>
      <c r="D3936" s="10"/>
      <c r="E3936" s="10"/>
      <c r="F3936" s="9"/>
      <c r="G3936" s="1"/>
      <c r="H3936" s="1"/>
      <c r="I3936" s="1"/>
      <c r="J3936" s="1"/>
    </row>
    <row r="3937" spans="1:10" s="6" customFormat="1">
      <c r="A3937" s="17"/>
      <c r="C3937" s="9"/>
      <c r="D3937" s="10"/>
      <c r="E3937" s="10"/>
      <c r="F3937" s="9"/>
      <c r="G3937" s="1"/>
      <c r="H3937" s="1"/>
      <c r="I3937" s="1"/>
      <c r="J3937" s="1"/>
    </row>
    <row r="3938" spans="1:10" s="6" customFormat="1">
      <c r="A3938" s="17"/>
      <c r="C3938" s="9"/>
      <c r="D3938" s="10"/>
      <c r="E3938" s="10"/>
      <c r="F3938" s="9"/>
      <c r="G3938" s="1"/>
      <c r="H3938" s="1"/>
      <c r="I3938" s="1"/>
      <c r="J3938" s="1"/>
    </row>
    <row r="3939" spans="1:10" s="6" customFormat="1">
      <c r="A3939" s="17"/>
      <c r="C3939" s="9"/>
      <c r="D3939" s="10"/>
      <c r="E3939" s="10"/>
      <c r="F3939" s="9"/>
      <c r="G3939" s="1"/>
      <c r="H3939" s="1"/>
      <c r="I3939" s="1"/>
      <c r="J3939" s="1"/>
    </row>
    <row r="3940" spans="1:10" s="6" customFormat="1">
      <c r="A3940" s="17"/>
      <c r="C3940" s="9"/>
      <c r="D3940" s="10"/>
      <c r="E3940" s="10"/>
      <c r="F3940" s="9"/>
      <c r="G3940" s="1"/>
      <c r="H3940" s="1"/>
      <c r="I3940" s="1"/>
      <c r="J3940" s="1"/>
    </row>
    <row r="3941" spans="1:10" s="6" customFormat="1">
      <c r="A3941" s="17"/>
      <c r="C3941" s="9"/>
      <c r="D3941" s="10"/>
      <c r="E3941" s="10"/>
      <c r="F3941" s="9"/>
      <c r="G3941" s="1"/>
      <c r="H3941" s="1"/>
      <c r="I3941" s="1"/>
      <c r="J3941" s="1"/>
    </row>
    <row r="3942" spans="1:10" s="6" customFormat="1">
      <c r="A3942" s="17"/>
      <c r="C3942" s="9"/>
      <c r="D3942" s="10"/>
      <c r="E3942" s="10"/>
      <c r="F3942" s="9"/>
      <c r="G3942" s="1"/>
      <c r="H3942" s="1"/>
      <c r="I3942" s="1"/>
      <c r="J3942" s="1"/>
    </row>
    <row r="3943" spans="1:10" s="6" customFormat="1">
      <c r="A3943" s="17"/>
      <c r="C3943" s="9"/>
      <c r="D3943" s="10"/>
      <c r="E3943" s="10"/>
      <c r="F3943" s="9"/>
      <c r="G3943" s="1"/>
      <c r="H3943" s="1"/>
      <c r="I3943" s="1"/>
      <c r="J3943" s="1"/>
    </row>
    <row r="3944" spans="1:10" s="6" customFormat="1">
      <c r="A3944" s="17"/>
      <c r="C3944" s="9"/>
      <c r="D3944" s="10"/>
      <c r="E3944" s="10"/>
      <c r="F3944" s="9"/>
      <c r="G3944" s="1"/>
      <c r="H3944" s="1"/>
      <c r="I3944" s="1"/>
      <c r="J3944" s="1"/>
    </row>
    <row r="3945" spans="1:10" s="6" customFormat="1">
      <c r="A3945" s="17"/>
      <c r="C3945" s="9"/>
      <c r="D3945" s="10"/>
      <c r="E3945" s="10"/>
      <c r="F3945" s="9"/>
      <c r="G3945" s="1"/>
      <c r="H3945" s="1"/>
      <c r="I3945" s="1"/>
      <c r="J3945" s="1"/>
    </row>
    <row r="3946" spans="1:10" s="6" customFormat="1">
      <c r="A3946" s="17"/>
      <c r="C3946" s="9"/>
      <c r="D3946" s="10"/>
      <c r="E3946" s="10"/>
      <c r="F3946" s="9"/>
      <c r="G3946" s="1"/>
      <c r="H3946" s="1"/>
      <c r="I3946" s="1"/>
      <c r="J3946" s="1"/>
    </row>
    <row r="3947" spans="1:10" s="6" customFormat="1">
      <c r="A3947" s="17"/>
      <c r="C3947" s="9"/>
      <c r="D3947" s="10"/>
      <c r="E3947" s="10"/>
      <c r="F3947" s="9"/>
      <c r="G3947" s="1"/>
      <c r="H3947" s="1"/>
      <c r="I3947" s="1"/>
      <c r="J3947" s="1"/>
    </row>
    <row r="3948" spans="1:10" s="6" customFormat="1">
      <c r="A3948" s="17"/>
      <c r="C3948" s="9"/>
      <c r="D3948" s="10"/>
      <c r="E3948" s="10"/>
      <c r="F3948" s="9"/>
      <c r="G3948" s="1"/>
      <c r="H3948" s="1"/>
      <c r="I3948" s="1"/>
      <c r="J3948" s="1"/>
    </row>
    <row r="3949" spans="1:10" s="6" customFormat="1">
      <c r="A3949" s="17"/>
      <c r="C3949" s="9"/>
      <c r="D3949" s="10"/>
      <c r="E3949" s="10"/>
      <c r="F3949" s="9"/>
      <c r="G3949" s="1"/>
      <c r="H3949" s="1"/>
      <c r="I3949" s="1"/>
      <c r="J3949" s="1"/>
    </row>
    <row r="3950" spans="1:10" s="6" customFormat="1">
      <c r="A3950" s="17"/>
      <c r="C3950" s="9"/>
      <c r="D3950" s="10"/>
      <c r="E3950" s="10"/>
      <c r="F3950" s="9"/>
      <c r="G3950" s="1"/>
      <c r="H3950" s="1"/>
      <c r="I3950" s="1"/>
      <c r="J3950" s="1"/>
    </row>
    <row r="3951" spans="1:10" s="6" customFormat="1">
      <c r="A3951" s="17"/>
      <c r="C3951" s="9"/>
      <c r="D3951" s="10"/>
      <c r="E3951" s="10"/>
      <c r="F3951" s="9"/>
      <c r="G3951" s="1"/>
      <c r="H3951" s="1"/>
      <c r="I3951" s="1"/>
      <c r="J3951" s="1"/>
    </row>
    <row r="3952" spans="1:10" s="6" customFormat="1">
      <c r="A3952" s="17"/>
      <c r="C3952" s="9"/>
      <c r="D3952" s="10"/>
      <c r="E3952" s="10"/>
      <c r="F3952" s="9"/>
      <c r="G3952" s="1"/>
      <c r="H3952" s="1"/>
      <c r="I3952" s="1"/>
      <c r="J3952" s="1"/>
    </row>
    <row r="3953" spans="1:10" s="6" customFormat="1">
      <c r="A3953" s="17"/>
      <c r="C3953" s="9"/>
      <c r="D3953" s="10"/>
      <c r="E3953" s="10"/>
      <c r="F3953" s="9"/>
      <c r="G3953" s="1"/>
      <c r="H3953" s="1"/>
      <c r="I3953" s="1"/>
      <c r="J3953" s="1"/>
    </row>
    <row r="3954" spans="1:10" s="6" customFormat="1">
      <c r="A3954" s="17"/>
      <c r="C3954" s="9"/>
      <c r="D3954" s="10"/>
      <c r="E3954" s="10"/>
      <c r="F3954" s="9"/>
      <c r="G3954" s="1"/>
      <c r="H3954" s="1"/>
      <c r="I3954" s="1"/>
      <c r="J3954" s="1"/>
    </row>
    <row r="3955" spans="1:10" s="6" customFormat="1">
      <c r="A3955" s="17"/>
      <c r="C3955" s="9"/>
      <c r="D3955" s="10"/>
      <c r="E3955" s="10"/>
      <c r="F3955" s="9"/>
      <c r="G3955" s="1"/>
      <c r="H3955" s="1"/>
      <c r="I3955" s="1"/>
      <c r="J3955" s="1"/>
    </row>
    <row r="3956" spans="1:10" s="6" customFormat="1">
      <c r="A3956" s="17"/>
      <c r="C3956" s="9"/>
      <c r="D3956" s="10"/>
      <c r="E3956" s="10"/>
      <c r="F3956" s="9"/>
      <c r="G3956" s="1"/>
      <c r="H3956" s="1"/>
      <c r="I3956" s="1"/>
      <c r="J3956" s="1"/>
    </row>
    <row r="3957" spans="1:10" s="6" customFormat="1">
      <c r="A3957" s="17"/>
      <c r="C3957" s="9"/>
      <c r="D3957" s="10"/>
      <c r="E3957" s="10"/>
      <c r="F3957" s="9"/>
      <c r="G3957" s="1"/>
      <c r="H3957" s="1"/>
      <c r="I3957" s="1"/>
      <c r="J3957" s="1"/>
    </row>
    <row r="3958" spans="1:10" s="6" customFormat="1">
      <c r="A3958" s="17"/>
      <c r="C3958" s="9"/>
      <c r="D3958" s="10"/>
      <c r="E3958" s="10"/>
      <c r="F3958" s="9"/>
      <c r="G3958" s="1"/>
      <c r="H3958" s="1"/>
      <c r="I3958" s="1"/>
      <c r="J3958" s="1"/>
    </row>
    <row r="3959" spans="1:10" s="6" customFormat="1">
      <c r="A3959" s="17"/>
      <c r="C3959" s="9"/>
      <c r="D3959" s="10"/>
      <c r="E3959" s="10"/>
      <c r="F3959" s="9"/>
      <c r="G3959" s="1"/>
      <c r="H3959" s="1"/>
      <c r="I3959" s="1"/>
      <c r="J3959" s="1"/>
    </row>
    <row r="3960" spans="1:10" s="6" customFormat="1">
      <c r="A3960" s="17"/>
      <c r="C3960" s="9"/>
      <c r="D3960" s="10"/>
      <c r="E3960" s="10"/>
      <c r="F3960" s="9"/>
      <c r="G3960" s="1"/>
      <c r="H3960" s="1"/>
      <c r="I3960" s="1"/>
      <c r="J3960" s="1"/>
    </row>
    <row r="3961" spans="1:10" s="6" customFormat="1">
      <c r="A3961" s="17"/>
      <c r="C3961" s="9"/>
      <c r="D3961" s="10"/>
      <c r="E3961" s="10"/>
      <c r="F3961" s="9"/>
      <c r="G3961" s="1"/>
      <c r="H3961" s="1"/>
      <c r="I3961" s="1"/>
      <c r="J3961" s="1"/>
    </row>
    <row r="3962" spans="1:10" s="6" customFormat="1">
      <c r="A3962" s="17"/>
      <c r="C3962" s="9"/>
      <c r="D3962" s="10"/>
      <c r="E3962" s="10"/>
      <c r="F3962" s="9"/>
      <c r="G3962" s="1"/>
      <c r="H3962" s="1"/>
      <c r="I3962" s="1"/>
      <c r="J3962" s="1"/>
    </row>
    <row r="3963" spans="1:10" s="6" customFormat="1">
      <c r="A3963" s="17"/>
      <c r="C3963" s="9"/>
      <c r="D3963" s="10"/>
      <c r="E3963" s="10"/>
      <c r="F3963" s="9"/>
      <c r="G3963" s="1"/>
      <c r="H3963" s="1"/>
      <c r="I3963" s="1"/>
      <c r="J3963" s="1"/>
    </row>
    <row r="3964" spans="1:10" s="6" customFormat="1">
      <c r="A3964" s="17"/>
      <c r="C3964" s="9"/>
      <c r="D3964" s="10"/>
      <c r="E3964" s="10"/>
      <c r="F3964" s="9"/>
      <c r="G3964" s="1"/>
      <c r="H3964" s="1"/>
      <c r="I3964" s="1"/>
      <c r="J3964" s="1"/>
    </row>
    <row r="3965" spans="1:10" s="6" customFormat="1">
      <c r="A3965" s="17"/>
      <c r="C3965" s="9"/>
      <c r="D3965" s="10"/>
      <c r="E3965" s="10"/>
      <c r="F3965" s="9"/>
      <c r="G3965" s="1"/>
      <c r="H3965" s="1"/>
      <c r="I3965" s="1"/>
      <c r="J3965" s="1"/>
    </row>
    <row r="3966" spans="1:10" s="6" customFormat="1">
      <c r="A3966" s="17"/>
      <c r="C3966" s="9"/>
      <c r="D3966" s="10"/>
      <c r="E3966" s="10"/>
      <c r="F3966" s="9"/>
      <c r="G3966" s="1"/>
      <c r="H3966" s="1"/>
      <c r="I3966" s="1"/>
      <c r="J3966" s="1"/>
    </row>
    <row r="3967" spans="1:10" s="6" customFormat="1">
      <c r="A3967" s="17"/>
      <c r="C3967" s="9"/>
      <c r="D3967" s="10"/>
      <c r="E3967" s="10"/>
      <c r="F3967" s="9"/>
      <c r="G3967" s="1"/>
      <c r="H3967" s="1"/>
      <c r="I3967" s="1"/>
      <c r="J3967" s="1"/>
    </row>
    <row r="3968" spans="1:10" s="6" customFormat="1">
      <c r="A3968" s="17"/>
      <c r="C3968" s="9"/>
      <c r="D3968" s="10"/>
      <c r="E3968" s="10"/>
      <c r="F3968" s="9"/>
      <c r="G3968" s="1"/>
      <c r="H3968" s="1"/>
      <c r="I3968" s="1"/>
      <c r="J3968" s="1"/>
    </row>
    <row r="3969" spans="1:10" s="6" customFormat="1">
      <c r="A3969" s="17"/>
      <c r="C3969" s="9"/>
      <c r="D3969" s="10"/>
      <c r="E3969" s="10"/>
      <c r="F3969" s="9"/>
      <c r="G3969" s="1"/>
      <c r="H3969" s="1"/>
      <c r="I3969" s="1"/>
      <c r="J3969" s="1"/>
    </row>
    <row r="3973" spans="1:10" ht="15.75">
      <c r="F3973" s="11"/>
    </row>
    <row r="3974" spans="1:10" ht="15.75">
      <c r="B3974" s="3"/>
    </row>
    <row r="3975" spans="1:10" ht="15.75">
      <c r="F3975" s="11"/>
    </row>
    <row r="3976" spans="1:10" ht="15.75">
      <c r="F3976" s="11"/>
    </row>
    <row r="3977" spans="1:10" ht="15.75">
      <c r="F3977" s="11"/>
    </row>
  </sheetData>
  <mergeCells count="9">
    <mergeCell ref="G4:H4"/>
    <mergeCell ref="I4:J4"/>
    <mergeCell ref="A2:J2"/>
    <mergeCell ref="A1:J1"/>
    <mergeCell ref="E4:F4"/>
    <mergeCell ref="A4:A5"/>
    <mergeCell ref="B4:B5"/>
    <mergeCell ref="C4:C5"/>
    <mergeCell ref="D4:D5"/>
  </mergeCells>
  <pageMargins left="0.70866141732283472" right="0.70866141732283472" top="0.74803149606299213" bottom="0.55118110236220474" header="0.31496062992125984" footer="0.31496062992125984"/>
  <pageSetup paperSize="9" scale="40"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K3970"/>
  <sheetViews>
    <sheetView view="pageBreakPreview" zoomScale="82" zoomScaleSheetLayoutView="82" workbookViewId="0">
      <selection activeCell="D7" sqref="D7"/>
    </sheetView>
  </sheetViews>
  <sheetFormatPr defaultRowHeight="12.75"/>
  <cols>
    <col min="1" max="1" width="10.140625" style="211" customWidth="1"/>
    <col min="2" max="2" width="12.28515625" style="212" customWidth="1"/>
    <col min="3" max="3" width="73.5703125" style="191" customWidth="1"/>
    <col min="4" max="4" width="12.7109375" style="191" customWidth="1"/>
    <col min="5" max="5" width="10.5703125" style="212" customWidth="1"/>
    <col min="6" max="6" width="17.85546875" style="191" customWidth="1"/>
    <col min="7" max="7" width="14.42578125" style="191" customWidth="1"/>
    <col min="8" max="8" width="10.140625" style="191" customWidth="1"/>
    <col min="9" max="9" width="15" style="191" customWidth="1"/>
    <col min="10" max="10" width="9.140625" style="191"/>
    <col min="11" max="11" width="14.85546875" style="191" customWidth="1"/>
    <col min="12" max="19" width="9.140625" style="191"/>
    <col min="20" max="20" width="13" style="191" customWidth="1"/>
    <col min="21" max="21" width="9.140625" style="191"/>
    <col min="22" max="22" width="16.140625" style="191" customWidth="1"/>
    <col min="23" max="23" width="9.140625" style="191"/>
    <col min="24" max="25" width="12.85546875" style="191" customWidth="1"/>
    <col min="26" max="26" width="14.28515625" style="191" customWidth="1"/>
    <col min="27" max="29" width="9.140625" style="191"/>
    <col min="30" max="30" width="16.28515625" style="191" customWidth="1"/>
    <col min="31" max="31" width="9.140625" style="191"/>
    <col min="32" max="33" width="12.85546875" style="191" customWidth="1"/>
    <col min="34" max="34" width="16.140625" style="191" customWidth="1"/>
    <col min="35" max="36" width="9.140625" style="191"/>
    <col min="37" max="37" width="12.5703125" style="191" customWidth="1"/>
    <col min="38" max="248" width="9.140625" style="191"/>
    <col min="249" max="249" width="7" style="191" customWidth="1"/>
    <col min="250" max="250" width="12" style="191" customWidth="1"/>
    <col min="251" max="251" width="69.28515625" style="191" customWidth="1"/>
    <col min="252" max="252" width="12.7109375" style="191" customWidth="1"/>
    <col min="253" max="253" width="8.28515625" style="191" customWidth="1"/>
    <col min="254" max="254" width="17.85546875" style="191" customWidth="1"/>
    <col min="255" max="255" width="24.42578125" style="191" customWidth="1"/>
    <col min="256" max="256" width="10.7109375" style="191" customWidth="1"/>
    <col min="257" max="257" width="13.7109375" style="191" customWidth="1"/>
    <col min="258" max="258" width="22" style="191" customWidth="1"/>
    <col min="259" max="259" width="13.85546875" style="191" customWidth="1"/>
    <col min="260" max="260" width="9.140625" style="191"/>
    <col min="261" max="261" width="14.42578125" style="191" customWidth="1"/>
    <col min="262" max="262" width="9.28515625" style="191" customWidth="1"/>
    <col min="263" max="263" width="14.42578125" style="191" customWidth="1"/>
    <col min="264" max="264" width="10.140625" style="191" customWidth="1"/>
    <col min="265" max="265" width="15" style="191" customWidth="1"/>
    <col min="266" max="266" width="9.140625" style="191"/>
    <col min="267" max="267" width="14.85546875" style="191" customWidth="1"/>
    <col min="268" max="275" width="9.140625" style="191"/>
    <col min="276" max="276" width="13" style="191" customWidth="1"/>
    <col min="277" max="277" width="9.140625" style="191"/>
    <col min="278" max="278" width="16.140625" style="191" customWidth="1"/>
    <col min="279" max="279" width="9.140625" style="191"/>
    <col min="280" max="281" width="12.85546875" style="191" customWidth="1"/>
    <col min="282" max="282" width="14.28515625" style="191" customWidth="1"/>
    <col min="283" max="285" width="9.140625" style="191"/>
    <col min="286" max="286" width="16.28515625" style="191" customWidth="1"/>
    <col min="287" max="287" width="9.140625" style="191"/>
    <col min="288" max="289" width="12.85546875" style="191" customWidth="1"/>
    <col min="290" max="290" width="16.140625" style="191" customWidth="1"/>
    <col min="291" max="292" width="9.140625" style="191"/>
    <col min="293" max="293" width="12.5703125" style="191" customWidth="1"/>
    <col min="294" max="504" width="9.140625" style="191"/>
    <col min="505" max="505" width="7" style="191" customWidth="1"/>
    <col min="506" max="506" width="12" style="191" customWidth="1"/>
    <col min="507" max="507" width="69.28515625" style="191" customWidth="1"/>
    <col min="508" max="508" width="12.7109375" style="191" customWidth="1"/>
    <col min="509" max="509" width="8.28515625" style="191" customWidth="1"/>
    <col min="510" max="510" width="17.85546875" style="191" customWidth="1"/>
    <col min="511" max="511" width="24.42578125" style="191" customWidth="1"/>
    <col min="512" max="512" width="10.7109375" style="191" customWidth="1"/>
    <col min="513" max="513" width="13.7109375" style="191" customWidth="1"/>
    <col min="514" max="514" width="22" style="191" customWidth="1"/>
    <col min="515" max="515" width="13.85546875" style="191" customWidth="1"/>
    <col min="516" max="516" width="9.140625" style="191"/>
    <col min="517" max="517" width="14.42578125" style="191" customWidth="1"/>
    <col min="518" max="518" width="9.28515625" style="191" customWidth="1"/>
    <col min="519" max="519" width="14.42578125" style="191" customWidth="1"/>
    <col min="520" max="520" width="10.140625" style="191" customWidth="1"/>
    <col min="521" max="521" width="15" style="191" customWidth="1"/>
    <col min="522" max="522" width="9.140625" style="191"/>
    <col min="523" max="523" width="14.85546875" style="191" customWidth="1"/>
    <col min="524" max="531" width="9.140625" style="191"/>
    <col min="532" max="532" width="13" style="191" customWidth="1"/>
    <col min="533" max="533" width="9.140625" style="191"/>
    <col min="534" max="534" width="16.140625" style="191" customWidth="1"/>
    <col min="535" max="535" width="9.140625" style="191"/>
    <col min="536" max="537" width="12.85546875" style="191" customWidth="1"/>
    <col min="538" max="538" width="14.28515625" style="191" customWidth="1"/>
    <col min="539" max="541" width="9.140625" style="191"/>
    <col min="542" max="542" width="16.28515625" style="191" customWidth="1"/>
    <col min="543" max="543" width="9.140625" style="191"/>
    <col min="544" max="545" width="12.85546875" style="191" customWidth="1"/>
    <col min="546" max="546" width="16.140625" style="191" customWidth="1"/>
    <col min="547" max="548" width="9.140625" style="191"/>
    <col min="549" max="549" width="12.5703125" style="191" customWidth="1"/>
    <col min="550" max="760" width="9.140625" style="191"/>
    <col min="761" max="761" width="7" style="191" customWidth="1"/>
    <col min="762" max="762" width="12" style="191" customWidth="1"/>
    <col min="763" max="763" width="69.28515625" style="191" customWidth="1"/>
    <col min="764" max="764" width="12.7109375" style="191" customWidth="1"/>
    <col min="765" max="765" width="8.28515625" style="191" customWidth="1"/>
    <col min="766" max="766" width="17.85546875" style="191" customWidth="1"/>
    <col min="767" max="767" width="24.42578125" style="191" customWidth="1"/>
    <col min="768" max="768" width="10.7109375" style="191" customWidth="1"/>
    <col min="769" max="769" width="13.7109375" style="191" customWidth="1"/>
    <col min="770" max="770" width="22" style="191" customWidth="1"/>
    <col min="771" max="771" width="13.85546875" style="191" customWidth="1"/>
    <col min="772" max="772" width="9.140625" style="191"/>
    <col min="773" max="773" width="14.42578125" style="191" customWidth="1"/>
    <col min="774" max="774" width="9.28515625" style="191" customWidth="1"/>
    <col min="775" max="775" width="14.42578125" style="191" customWidth="1"/>
    <col min="776" max="776" width="10.140625" style="191" customWidth="1"/>
    <col min="777" max="777" width="15" style="191" customWidth="1"/>
    <col min="778" max="778" width="9.140625" style="191"/>
    <col min="779" max="779" width="14.85546875" style="191" customWidth="1"/>
    <col min="780" max="787" width="9.140625" style="191"/>
    <col min="788" max="788" width="13" style="191" customWidth="1"/>
    <col min="789" max="789" width="9.140625" style="191"/>
    <col min="790" max="790" width="16.140625" style="191" customWidth="1"/>
    <col min="791" max="791" width="9.140625" style="191"/>
    <col min="792" max="793" width="12.85546875" style="191" customWidth="1"/>
    <col min="794" max="794" width="14.28515625" style="191" customWidth="1"/>
    <col min="795" max="797" width="9.140625" style="191"/>
    <col min="798" max="798" width="16.28515625" style="191" customWidth="1"/>
    <col min="799" max="799" width="9.140625" style="191"/>
    <col min="800" max="801" width="12.85546875" style="191" customWidth="1"/>
    <col min="802" max="802" width="16.140625" style="191" customWidth="1"/>
    <col min="803" max="804" width="9.140625" style="191"/>
    <col min="805" max="805" width="12.5703125" style="191" customWidth="1"/>
    <col min="806" max="1016" width="9.140625" style="191"/>
    <col min="1017" max="1017" width="7" style="191" customWidth="1"/>
    <col min="1018" max="1018" width="12" style="191" customWidth="1"/>
    <col min="1019" max="1019" width="69.28515625" style="191" customWidth="1"/>
    <col min="1020" max="1020" width="12.7109375" style="191" customWidth="1"/>
    <col min="1021" max="1021" width="8.28515625" style="191" customWidth="1"/>
    <col min="1022" max="1022" width="17.85546875" style="191" customWidth="1"/>
    <col min="1023" max="1023" width="24.42578125" style="191" customWidth="1"/>
    <col min="1024" max="1024" width="10.7109375" style="191" customWidth="1"/>
    <col min="1025" max="1025" width="13.7109375" style="191" customWidth="1"/>
    <col min="1026" max="1026" width="22" style="191" customWidth="1"/>
    <col min="1027" max="1027" width="13.85546875" style="191" customWidth="1"/>
    <col min="1028" max="1028" width="9.140625" style="191"/>
    <col min="1029" max="1029" width="14.42578125" style="191" customWidth="1"/>
    <col min="1030" max="1030" width="9.28515625" style="191" customWidth="1"/>
    <col min="1031" max="1031" width="14.42578125" style="191" customWidth="1"/>
    <col min="1032" max="1032" width="10.140625" style="191" customWidth="1"/>
    <col min="1033" max="1033" width="15" style="191" customWidth="1"/>
    <col min="1034" max="1034" width="9.140625" style="191"/>
    <col min="1035" max="1035" width="14.85546875" style="191" customWidth="1"/>
    <col min="1036" max="1043" width="9.140625" style="191"/>
    <col min="1044" max="1044" width="13" style="191" customWidth="1"/>
    <col min="1045" max="1045" width="9.140625" style="191"/>
    <col min="1046" max="1046" width="16.140625" style="191" customWidth="1"/>
    <col min="1047" max="1047" width="9.140625" style="191"/>
    <col min="1048" max="1049" width="12.85546875" style="191" customWidth="1"/>
    <col min="1050" max="1050" width="14.28515625" style="191" customWidth="1"/>
    <col min="1051" max="1053" width="9.140625" style="191"/>
    <col min="1054" max="1054" width="16.28515625" style="191" customWidth="1"/>
    <col min="1055" max="1055" width="9.140625" style="191"/>
    <col min="1056" max="1057" width="12.85546875" style="191" customWidth="1"/>
    <col min="1058" max="1058" width="16.140625" style="191" customWidth="1"/>
    <col min="1059" max="1060" width="9.140625" style="191"/>
    <col min="1061" max="1061" width="12.5703125" style="191" customWidth="1"/>
    <col min="1062" max="1272" width="9.140625" style="191"/>
    <col min="1273" max="1273" width="7" style="191" customWidth="1"/>
    <col min="1274" max="1274" width="12" style="191" customWidth="1"/>
    <col min="1275" max="1275" width="69.28515625" style="191" customWidth="1"/>
    <col min="1276" max="1276" width="12.7109375" style="191" customWidth="1"/>
    <col min="1277" max="1277" width="8.28515625" style="191" customWidth="1"/>
    <col min="1278" max="1278" width="17.85546875" style="191" customWidth="1"/>
    <col min="1279" max="1279" width="24.42578125" style="191" customWidth="1"/>
    <col min="1280" max="1280" width="10.7109375" style="191" customWidth="1"/>
    <col min="1281" max="1281" width="13.7109375" style="191" customWidth="1"/>
    <col min="1282" max="1282" width="22" style="191" customWidth="1"/>
    <col min="1283" max="1283" width="13.85546875" style="191" customWidth="1"/>
    <col min="1284" max="1284" width="9.140625" style="191"/>
    <col min="1285" max="1285" width="14.42578125" style="191" customWidth="1"/>
    <col min="1286" max="1286" width="9.28515625" style="191" customWidth="1"/>
    <col min="1287" max="1287" width="14.42578125" style="191" customWidth="1"/>
    <col min="1288" max="1288" width="10.140625" style="191" customWidth="1"/>
    <col min="1289" max="1289" width="15" style="191" customWidth="1"/>
    <col min="1290" max="1290" width="9.140625" style="191"/>
    <col min="1291" max="1291" width="14.85546875" style="191" customWidth="1"/>
    <col min="1292" max="1299" width="9.140625" style="191"/>
    <col min="1300" max="1300" width="13" style="191" customWidth="1"/>
    <col min="1301" max="1301" width="9.140625" style="191"/>
    <col min="1302" max="1302" width="16.140625" style="191" customWidth="1"/>
    <col min="1303" max="1303" width="9.140625" style="191"/>
    <col min="1304" max="1305" width="12.85546875" style="191" customWidth="1"/>
    <col min="1306" max="1306" width="14.28515625" style="191" customWidth="1"/>
    <col min="1307" max="1309" width="9.140625" style="191"/>
    <col min="1310" max="1310" width="16.28515625" style="191" customWidth="1"/>
    <col min="1311" max="1311" width="9.140625" style="191"/>
    <col min="1312" max="1313" width="12.85546875" style="191" customWidth="1"/>
    <col min="1314" max="1314" width="16.140625" style="191" customWidth="1"/>
    <col min="1315" max="1316" width="9.140625" style="191"/>
    <col min="1317" max="1317" width="12.5703125" style="191" customWidth="1"/>
    <col min="1318" max="1528" width="9.140625" style="191"/>
    <col min="1529" max="1529" width="7" style="191" customWidth="1"/>
    <col min="1530" max="1530" width="12" style="191" customWidth="1"/>
    <col min="1531" max="1531" width="69.28515625" style="191" customWidth="1"/>
    <col min="1532" max="1532" width="12.7109375" style="191" customWidth="1"/>
    <col min="1533" max="1533" width="8.28515625" style="191" customWidth="1"/>
    <col min="1534" max="1534" width="17.85546875" style="191" customWidth="1"/>
    <col min="1535" max="1535" width="24.42578125" style="191" customWidth="1"/>
    <col min="1536" max="1536" width="10.7109375" style="191" customWidth="1"/>
    <col min="1537" max="1537" width="13.7109375" style="191" customWidth="1"/>
    <col min="1538" max="1538" width="22" style="191" customWidth="1"/>
    <col min="1539" max="1539" width="13.85546875" style="191" customWidth="1"/>
    <col min="1540" max="1540" width="9.140625" style="191"/>
    <col min="1541" max="1541" width="14.42578125" style="191" customWidth="1"/>
    <col min="1542" max="1542" width="9.28515625" style="191" customWidth="1"/>
    <col min="1543" max="1543" width="14.42578125" style="191" customWidth="1"/>
    <col min="1544" max="1544" width="10.140625" style="191" customWidth="1"/>
    <col min="1545" max="1545" width="15" style="191" customWidth="1"/>
    <col min="1546" max="1546" width="9.140625" style="191"/>
    <col min="1547" max="1547" width="14.85546875" style="191" customWidth="1"/>
    <col min="1548" max="1555" width="9.140625" style="191"/>
    <col min="1556" max="1556" width="13" style="191" customWidth="1"/>
    <col min="1557" max="1557" width="9.140625" style="191"/>
    <col min="1558" max="1558" width="16.140625" style="191" customWidth="1"/>
    <col min="1559" max="1559" width="9.140625" style="191"/>
    <col min="1560" max="1561" width="12.85546875" style="191" customWidth="1"/>
    <col min="1562" max="1562" width="14.28515625" style="191" customWidth="1"/>
    <col min="1563" max="1565" width="9.140625" style="191"/>
    <col min="1566" max="1566" width="16.28515625" style="191" customWidth="1"/>
    <col min="1567" max="1567" width="9.140625" style="191"/>
    <col min="1568" max="1569" width="12.85546875" style="191" customWidth="1"/>
    <col min="1570" max="1570" width="16.140625" style="191" customWidth="1"/>
    <col min="1571" max="1572" width="9.140625" style="191"/>
    <col min="1573" max="1573" width="12.5703125" style="191" customWidth="1"/>
    <col min="1574" max="1784" width="9.140625" style="191"/>
    <col min="1785" max="1785" width="7" style="191" customWidth="1"/>
    <col min="1786" max="1786" width="12" style="191" customWidth="1"/>
    <col min="1787" max="1787" width="69.28515625" style="191" customWidth="1"/>
    <col min="1788" max="1788" width="12.7109375" style="191" customWidth="1"/>
    <col min="1789" max="1789" width="8.28515625" style="191" customWidth="1"/>
    <col min="1790" max="1790" width="17.85546875" style="191" customWidth="1"/>
    <col min="1791" max="1791" width="24.42578125" style="191" customWidth="1"/>
    <col min="1792" max="1792" width="10.7109375" style="191" customWidth="1"/>
    <col min="1793" max="1793" width="13.7109375" style="191" customWidth="1"/>
    <col min="1794" max="1794" width="22" style="191" customWidth="1"/>
    <col min="1795" max="1795" width="13.85546875" style="191" customWidth="1"/>
    <col min="1796" max="1796" width="9.140625" style="191"/>
    <col min="1797" max="1797" width="14.42578125" style="191" customWidth="1"/>
    <col min="1798" max="1798" width="9.28515625" style="191" customWidth="1"/>
    <col min="1799" max="1799" width="14.42578125" style="191" customWidth="1"/>
    <col min="1800" max="1800" width="10.140625" style="191" customWidth="1"/>
    <col min="1801" max="1801" width="15" style="191" customWidth="1"/>
    <col min="1802" max="1802" width="9.140625" style="191"/>
    <col min="1803" max="1803" width="14.85546875" style="191" customWidth="1"/>
    <col min="1804" max="1811" width="9.140625" style="191"/>
    <col min="1812" max="1812" width="13" style="191" customWidth="1"/>
    <col min="1813" max="1813" width="9.140625" style="191"/>
    <col min="1814" max="1814" width="16.140625" style="191" customWidth="1"/>
    <col min="1815" max="1815" width="9.140625" style="191"/>
    <col min="1816" max="1817" width="12.85546875" style="191" customWidth="1"/>
    <col min="1818" max="1818" width="14.28515625" style="191" customWidth="1"/>
    <col min="1819" max="1821" width="9.140625" style="191"/>
    <col min="1822" max="1822" width="16.28515625" style="191" customWidth="1"/>
    <col min="1823" max="1823" width="9.140625" style="191"/>
    <col min="1824" max="1825" width="12.85546875" style="191" customWidth="1"/>
    <col min="1826" max="1826" width="16.140625" style="191" customWidth="1"/>
    <col min="1827" max="1828" width="9.140625" style="191"/>
    <col min="1829" max="1829" width="12.5703125" style="191" customWidth="1"/>
    <col min="1830" max="2040" width="9.140625" style="191"/>
    <col min="2041" max="2041" width="7" style="191" customWidth="1"/>
    <col min="2042" max="2042" width="12" style="191" customWidth="1"/>
    <col min="2043" max="2043" width="69.28515625" style="191" customWidth="1"/>
    <col min="2044" max="2044" width="12.7109375" style="191" customWidth="1"/>
    <col min="2045" max="2045" width="8.28515625" style="191" customWidth="1"/>
    <col min="2046" max="2046" width="17.85546875" style="191" customWidth="1"/>
    <col min="2047" max="2047" width="24.42578125" style="191" customWidth="1"/>
    <col min="2048" max="2048" width="10.7109375" style="191" customWidth="1"/>
    <col min="2049" max="2049" width="13.7109375" style="191" customWidth="1"/>
    <col min="2050" max="2050" width="22" style="191" customWidth="1"/>
    <col min="2051" max="2051" width="13.85546875" style="191" customWidth="1"/>
    <col min="2052" max="2052" width="9.140625" style="191"/>
    <col min="2053" max="2053" width="14.42578125" style="191" customWidth="1"/>
    <col min="2054" max="2054" width="9.28515625" style="191" customWidth="1"/>
    <col min="2055" max="2055" width="14.42578125" style="191" customWidth="1"/>
    <col min="2056" max="2056" width="10.140625" style="191" customWidth="1"/>
    <col min="2057" max="2057" width="15" style="191" customWidth="1"/>
    <col min="2058" max="2058" width="9.140625" style="191"/>
    <col min="2059" max="2059" width="14.85546875" style="191" customWidth="1"/>
    <col min="2060" max="2067" width="9.140625" style="191"/>
    <col min="2068" max="2068" width="13" style="191" customWidth="1"/>
    <col min="2069" max="2069" width="9.140625" style="191"/>
    <col min="2070" max="2070" width="16.140625" style="191" customWidth="1"/>
    <col min="2071" max="2071" width="9.140625" style="191"/>
    <col min="2072" max="2073" width="12.85546875" style="191" customWidth="1"/>
    <col min="2074" max="2074" width="14.28515625" style="191" customWidth="1"/>
    <col min="2075" max="2077" width="9.140625" style="191"/>
    <col min="2078" max="2078" width="16.28515625" style="191" customWidth="1"/>
    <col min="2079" max="2079" width="9.140625" style="191"/>
    <col min="2080" max="2081" width="12.85546875" style="191" customWidth="1"/>
    <col min="2082" max="2082" width="16.140625" style="191" customWidth="1"/>
    <col min="2083" max="2084" width="9.140625" style="191"/>
    <col min="2085" max="2085" width="12.5703125" style="191" customWidth="1"/>
    <col min="2086" max="2296" width="9.140625" style="191"/>
    <col min="2297" max="2297" width="7" style="191" customWidth="1"/>
    <col min="2298" max="2298" width="12" style="191" customWidth="1"/>
    <col min="2299" max="2299" width="69.28515625" style="191" customWidth="1"/>
    <col min="2300" max="2300" width="12.7109375" style="191" customWidth="1"/>
    <col min="2301" max="2301" width="8.28515625" style="191" customWidth="1"/>
    <col min="2302" max="2302" width="17.85546875" style="191" customWidth="1"/>
    <col min="2303" max="2303" width="24.42578125" style="191" customWidth="1"/>
    <col min="2304" max="2304" width="10.7109375" style="191" customWidth="1"/>
    <col min="2305" max="2305" width="13.7109375" style="191" customWidth="1"/>
    <col min="2306" max="2306" width="22" style="191" customWidth="1"/>
    <col min="2307" max="2307" width="13.85546875" style="191" customWidth="1"/>
    <col min="2308" max="2308" width="9.140625" style="191"/>
    <col min="2309" max="2309" width="14.42578125" style="191" customWidth="1"/>
    <col min="2310" max="2310" width="9.28515625" style="191" customWidth="1"/>
    <col min="2311" max="2311" width="14.42578125" style="191" customWidth="1"/>
    <col min="2312" max="2312" width="10.140625" style="191" customWidth="1"/>
    <col min="2313" max="2313" width="15" style="191" customWidth="1"/>
    <col min="2314" max="2314" width="9.140625" style="191"/>
    <col min="2315" max="2315" width="14.85546875" style="191" customWidth="1"/>
    <col min="2316" max="2323" width="9.140625" style="191"/>
    <col min="2324" max="2324" width="13" style="191" customWidth="1"/>
    <col min="2325" max="2325" width="9.140625" style="191"/>
    <col min="2326" max="2326" width="16.140625" style="191" customWidth="1"/>
    <col min="2327" max="2327" width="9.140625" style="191"/>
    <col min="2328" max="2329" width="12.85546875" style="191" customWidth="1"/>
    <col min="2330" max="2330" width="14.28515625" style="191" customWidth="1"/>
    <col min="2331" max="2333" width="9.140625" style="191"/>
    <col min="2334" max="2334" width="16.28515625" style="191" customWidth="1"/>
    <col min="2335" max="2335" width="9.140625" style="191"/>
    <col min="2336" max="2337" width="12.85546875" style="191" customWidth="1"/>
    <col min="2338" max="2338" width="16.140625" style="191" customWidth="1"/>
    <col min="2339" max="2340" width="9.140625" style="191"/>
    <col min="2341" max="2341" width="12.5703125" style="191" customWidth="1"/>
    <col min="2342" max="2552" width="9.140625" style="191"/>
    <col min="2553" max="2553" width="7" style="191" customWidth="1"/>
    <col min="2554" max="2554" width="12" style="191" customWidth="1"/>
    <col min="2555" max="2555" width="69.28515625" style="191" customWidth="1"/>
    <col min="2556" max="2556" width="12.7109375" style="191" customWidth="1"/>
    <col min="2557" max="2557" width="8.28515625" style="191" customWidth="1"/>
    <col min="2558" max="2558" width="17.85546875" style="191" customWidth="1"/>
    <col min="2559" max="2559" width="24.42578125" style="191" customWidth="1"/>
    <col min="2560" max="2560" width="10.7109375" style="191" customWidth="1"/>
    <col min="2561" max="2561" width="13.7109375" style="191" customWidth="1"/>
    <col min="2562" max="2562" width="22" style="191" customWidth="1"/>
    <col min="2563" max="2563" width="13.85546875" style="191" customWidth="1"/>
    <col min="2564" max="2564" width="9.140625" style="191"/>
    <col min="2565" max="2565" width="14.42578125" style="191" customWidth="1"/>
    <col min="2566" max="2566" width="9.28515625" style="191" customWidth="1"/>
    <col min="2567" max="2567" width="14.42578125" style="191" customWidth="1"/>
    <col min="2568" max="2568" width="10.140625" style="191" customWidth="1"/>
    <col min="2569" max="2569" width="15" style="191" customWidth="1"/>
    <col min="2570" max="2570" width="9.140625" style="191"/>
    <col min="2571" max="2571" width="14.85546875" style="191" customWidth="1"/>
    <col min="2572" max="2579" width="9.140625" style="191"/>
    <col min="2580" max="2580" width="13" style="191" customWidth="1"/>
    <col min="2581" max="2581" width="9.140625" style="191"/>
    <col min="2582" max="2582" width="16.140625" style="191" customWidth="1"/>
    <col min="2583" max="2583" width="9.140625" style="191"/>
    <col min="2584" max="2585" width="12.85546875" style="191" customWidth="1"/>
    <col min="2586" max="2586" width="14.28515625" style="191" customWidth="1"/>
    <col min="2587" max="2589" width="9.140625" style="191"/>
    <col min="2590" max="2590" width="16.28515625" style="191" customWidth="1"/>
    <col min="2591" max="2591" width="9.140625" style="191"/>
    <col min="2592" max="2593" width="12.85546875" style="191" customWidth="1"/>
    <col min="2594" max="2594" width="16.140625" style="191" customWidth="1"/>
    <col min="2595" max="2596" width="9.140625" style="191"/>
    <col min="2597" max="2597" width="12.5703125" style="191" customWidth="1"/>
    <col min="2598" max="2808" width="9.140625" style="191"/>
    <col min="2809" max="2809" width="7" style="191" customWidth="1"/>
    <col min="2810" max="2810" width="12" style="191" customWidth="1"/>
    <col min="2811" max="2811" width="69.28515625" style="191" customWidth="1"/>
    <col min="2812" max="2812" width="12.7109375" style="191" customWidth="1"/>
    <col min="2813" max="2813" width="8.28515625" style="191" customWidth="1"/>
    <col min="2814" max="2814" width="17.85546875" style="191" customWidth="1"/>
    <col min="2815" max="2815" width="24.42578125" style="191" customWidth="1"/>
    <col min="2816" max="2816" width="10.7109375" style="191" customWidth="1"/>
    <col min="2817" max="2817" width="13.7109375" style="191" customWidth="1"/>
    <col min="2818" max="2818" width="22" style="191" customWidth="1"/>
    <col min="2819" max="2819" width="13.85546875" style="191" customWidth="1"/>
    <col min="2820" max="2820" width="9.140625" style="191"/>
    <col min="2821" max="2821" width="14.42578125" style="191" customWidth="1"/>
    <col min="2822" max="2822" width="9.28515625" style="191" customWidth="1"/>
    <col min="2823" max="2823" width="14.42578125" style="191" customWidth="1"/>
    <col min="2824" max="2824" width="10.140625" style="191" customWidth="1"/>
    <col min="2825" max="2825" width="15" style="191" customWidth="1"/>
    <col min="2826" max="2826" width="9.140625" style="191"/>
    <col min="2827" max="2827" width="14.85546875" style="191" customWidth="1"/>
    <col min="2828" max="2835" width="9.140625" style="191"/>
    <col min="2836" max="2836" width="13" style="191" customWidth="1"/>
    <col min="2837" max="2837" width="9.140625" style="191"/>
    <col min="2838" max="2838" width="16.140625" style="191" customWidth="1"/>
    <col min="2839" max="2839" width="9.140625" style="191"/>
    <col min="2840" max="2841" width="12.85546875" style="191" customWidth="1"/>
    <col min="2842" max="2842" width="14.28515625" style="191" customWidth="1"/>
    <col min="2843" max="2845" width="9.140625" style="191"/>
    <col min="2846" max="2846" width="16.28515625" style="191" customWidth="1"/>
    <col min="2847" max="2847" width="9.140625" style="191"/>
    <col min="2848" max="2849" width="12.85546875" style="191" customWidth="1"/>
    <col min="2850" max="2850" width="16.140625" style="191" customWidth="1"/>
    <col min="2851" max="2852" width="9.140625" style="191"/>
    <col min="2853" max="2853" width="12.5703125" style="191" customWidth="1"/>
    <col min="2854" max="3064" width="9.140625" style="191"/>
    <col min="3065" max="3065" width="7" style="191" customWidth="1"/>
    <col min="3066" max="3066" width="12" style="191" customWidth="1"/>
    <col min="3067" max="3067" width="69.28515625" style="191" customWidth="1"/>
    <col min="3068" max="3068" width="12.7109375" style="191" customWidth="1"/>
    <col min="3069" max="3069" width="8.28515625" style="191" customWidth="1"/>
    <col min="3070" max="3070" width="17.85546875" style="191" customWidth="1"/>
    <col min="3071" max="3071" width="24.42578125" style="191" customWidth="1"/>
    <col min="3072" max="3072" width="10.7109375" style="191" customWidth="1"/>
    <col min="3073" max="3073" width="13.7109375" style="191" customWidth="1"/>
    <col min="3074" max="3074" width="22" style="191" customWidth="1"/>
    <col min="3075" max="3075" width="13.85546875" style="191" customWidth="1"/>
    <col min="3076" max="3076" width="9.140625" style="191"/>
    <col min="3077" max="3077" width="14.42578125" style="191" customWidth="1"/>
    <col min="3078" max="3078" width="9.28515625" style="191" customWidth="1"/>
    <col min="3079" max="3079" width="14.42578125" style="191" customWidth="1"/>
    <col min="3080" max="3080" width="10.140625" style="191" customWidth="1"/>
    <col min="3081" max="3081" width="15" style="191" customWidth="1"/>
    <col min="3082" max="3082" width="9.140625" style="191"/>
    <col min="3083" max="3083" width="14.85546875" style="191" customWidth="1"/>
    <col min="3084" max="3091" width="9.140625" style="191"/>
    <col min="3092" max="3092" width="13" style="191" customWidth="1"/>
    <col min="3093" max="3093" width="9.140625" style="191"/>
    <col min="3094" max="3094" width="16.140625" style="191" customWidth="1"/>
    <col min="3095" max="3095" width="9.140625" style="191"/>
    <col min="3096" max="3097" width="12.85546875" style="191" customWidth="1"/>
    <col min="3098" max="3098" width="14.28515625" style="191" customWidth="1"/>
    <col min="3099" max="3101" width="9.140625" style="191"/>
    <col min="3102" max="3102" width="16.28515625" style="191" customWidth="1"/>
    <col min="3103" max="3103" width="9.140625" style="191"/>
    <col min="3104" max="3105" width="12.85546875" style="191" customWidth="1"/>
    <col min="3106" max="3106" width="16.140625" style="191" customWidth="1"/>
    <col min="3107" max="3108" width="9.140625" style="191"/>
    <col min="3109" max="3109" width="12.5703125" style="191" customWidth="1"/>
    <col min="3110" max="3320" width="9.140625" style="191"/>
    <col min="3321" max="3321" width="7" style="191" customWidth="1"/>
    <col min="3322" max="3322" width="12" style="191" customWidth="1"/>
    <col min="3323" max="3323" width="69.28515625" style="191" customWidth="1"/>
    <col min="3324" max="3324" width="12.7109375" style="191" customWidth="1"/>
    <col min="3325" max="3325" width="8.28515625" style="191" customWidth="1"/>
    <col min="3326" max="3326" width="17.85546875" style="191" customWidth="1"/>
    <col min="3327" max="3327" width="24.42578125" style="191" customWidth="1"/>
    <col min="3328" max="3328" width="10.7109375" style="191" customWidth="1"/>
    <col min="3329" max="3329" width="13.7109375" style="191" customWidth="1"/>
    <col min="3330" max="3330" width="22" style="191" customWidth="1"/>
    <col min="3331" max="3331" width="13.85546875" style="191" customWidth="1"/>
    <col min="3332" max="3332" width="9.140625" style="191"/>
    <col min="3333" max="3333" width="14.42578125" style="191" customWidth="1"/>
    <col min="3334" max="3334" width="9.28515625" style="191" customWidth="1"/>
    <col min="3335" max="3335" width="14.42578125" style="191" customWidth="1"/>
    <col min="3336" max="3336" width="10.140625" style="191" customWidth="1"/>
    <col min="3337" max="3337" width="15" style="191" customWidth="1"/>
    <col min="3338" max="3338" width="9.140625" style="191"/>
    <col min="3339" max="3339" width="14.85546875" style="191" customWidth="1"/>
    <col min="3340" max="3347" width="9.140625" style="191"/>
    <col min="3348" max="3348" width="13" style="191" customWidth="1"/>
    <col min="3349" max="3349" width="9.140625" style="191"/>
    <col min="3350" max="3350" width="16.140625" style="191" customWidth="1"/>
    <col min="3351" max="3351" width="9.140625" style="191"/>
    <col min="3352" max="3353" width="12.85546875" style="191" customWidth="1"/>
    <col min="3354" max="3354" width="14.28515625" style="191" customWidth="1"/>
    <col min="3355" max="3357" width="9.140625" style="191"/>
    <col min="3358" max="3358" width="16.28515625" style="191" customWidth="1"/>
    <col min="3359" max="3359" width="9.140625" style="191"/>
    <col min="3360" max="3361" width="12.85546875" style="191" customWidth="1"/>
    <col min="3362" max="3362" width="16.140625" style="191" customWidth="1"/>
    <col min="3363" max="3364" width="9.140625" style="191"/>
    <col min="3365" max="3365" width="12.5703125" style="191" customWidth="1"/>
    <col min="3366" max="3576" width="9.140625" style="191"/>
    <col min="3577" max="3577" width="7" style="191" customWidth="1"/>
    <col min="3578" max="3578" width="12" style="191" customWidth="1"/>
    <col min="3579" max="3579" width="69.28515625" style="191" customWidth="1"/>
    <col min="3580" max="3580" width="12.7109375" style="191" customWidth="1"/>
    <col min="3581" max="3581" width="8.28515625" style="191" customWidth="1"/>
    <col min="3582" max="3582" width="17.85546875" style="191" customWidth="1"/>
    <col min="3583" max="3583" width="24.42578125" style="191" customWidth="1"/>
    <col min="3584" max="3584" width="10.7109375" style="191" customWidth="1"/>
    <col min="3585" max="3585" width="13.7109375" style="191" customWidth="1"/>
    <col min="3586" max="3586" width="22" style="191" customWidth="1"/>
    <col min="3587" max="3587" width="13.85546875" style="191" customWidth="1"/>
    <col min="3588" max="3588" width="9.140625" style="191"/>
    <col min="3589" max="3589" width="14.42578125" style="191" customWidth="1"/>
    <col min="3590" max="3590" width="9.28515625" style="191" customWidth="1"/>
    <col min="3591" max="3591" width="14.42578125" style="191" customWidth="1"/>
    <col min="3592" max="3592" width="10.140625" style="191" customWidth="1"/>
    <col min="3593" max="3593" width="15" style="191" customWidth="1"/>
    <col min="3594" max="3594" width="9.140625" style="191"/>
    <col min="3595" max="3595" width="14.85546875" style="191" customWidth="1"/>
    <col min="3596" max="3603" width="9.140625" style="191"/>
    <col min="3604" max="3604" width="13" style="191" customWidth="1"/>
    <col min="3605" max="3605" width="9.140625" style="191"/>
    <col min="3606" max="3606" width="16.140625" style="191" customWidth="1"/>
    <col min="3607" max="3607" width="9.140625" style="191"/>
    <col min="3608" max="3609" width="12.85546875" style="191" customWidth="1"/>
    <col min="3610" max="3610" width="14.28515625" style="191" customWidth="1"/>
    <col min="3611" max="3613" width="9.140625" style="191"/>
    <col min="3614" max="3614" width="16.28515625" style="191" customWidth="1"/>
    <col min="3615" max="3615" width="9.140625" style="191"/>
    <col min="3616" max="3617" width="12.85546875" style="191" customWidth="1"/>
    <col min="3618" max="3618" width="16.140625" style="191" customWidth="1"/>
    <col min="3619" max="3620" width="9.140625" style="191"/>
    <col min="3621" max="3621" width="12.5703125" style="191" customWidth="1"/>
    <col min="3622" max="3832" width="9.140625" style="191"/>
    <col min="3833" max="3833" width="7" style="191" customWidth="1"/>
    <col min="3834" max="3834" width="12" style="191" customWidth="1"/>
    <col min="3835" max="3835" width="69.28515625" style="191" customWidth="1"/>
    <col min="3836" max="3836" width="12.7109375" style="191" customWidth="1"/>
    <col min="3837" max="3837" width="8.28515625" style="191" customWidth="1"/>
    <col min="3838" max="3838" width="17.85546875" style="191" customWidth="1"/>
    <col min="3839" max="3839" width="24.42578125" style="191" customWidth="1"/>
    <col min="3840" max="3840" width="10.7109375" style="191" customWidth="1"/>
    <col min="3841" max="3841" width="13.7109375" style="191" customWidth="1"/>
    <col min="3842" max="3842" width="22" style="191" customWidth="1"/>
    <col min="3843" max="3843" width="13.85546875" style="191" customWidth="1"/>
    <col min="3844" max="3844" width="9.140625" style="191"/>
    <col min="3845" max="3845" width="14.42578125" style="191" customWidth="1"/>
    <col min="3846" max="3846" width="9.28515625" style="191" customWidth="1"/>
    <col min="3847" max="3847" width="14.42578125" style="191" customWidth="1"/>
    <col min="3848" max="3848" width="10.140625" style="191" customWidth="1"/>
    <col min="3849" max="3849" width="15" style="191" customWidth="1"/>
    <col min="3850" max="3850" width="9.140625" style="191"/>
    <col min="3851" max="3851" width="14.85546875" style="191" customWidth="1"/>
    <col min="3852" max="3859" width="9.140625" style="191"/>
    <col min="3860" max="3860" width="13" style="191" customWidth="1"/>
    <col min="3861" max="3861" width="9.140625" style="191"/>
    <col min="3862" max="3862" width="16.140625" style="191" customWidth="1"/>
    <col min="3863" max="3863" width="9.140625" style="191"/>
    <col min="3864" max="3865" width="12.85546875" style="191" customWidth="1"/>
    <col min="3866" max="3866" width="14.28515625" style="191" customWidth="1"/>
    <col min="3867" max="3869" width="9.140625" style="191"/>
    <col min="3870" max="3870" width="16.28515625" style="191" customWidth="1"/>
    <col min="3871" max="3871" width="9.140625" style="191"/>
    <col min="3872" max="3873" width="12.85546875" style="191" customWidth="1"/>
    <col min="3874" max="3874" width="16.140625" style="191" customWidth="1"/>
    <col min="3875" max="3876" width="9.140625" style="191"/>
    <col min="3877" max="3877" width="12.5703125" style="191" customWidth="1"/>
    <col min="3878" max="4088" width="9.140625" style="191"/>
    <col min="4089" max="4089" width="7" style="191" customWidth="1"/>
    <col min="4090" max="4090" width="12" style="191" customWidth="1"/>
    <col min="4091" max="4091" width="69.28515625" style="191" customWidth="1"/>
    <col min="4092" max="4092" width="12.7109375" style="191" customWidth="1"/>
    <col min="4093" max="4093" width="8.28515625" style="191" customWidth="1"/>
    <col min="4094" max="4094" width="17.85546875" style="191" customWidth="1"/>
    <col min="4095" max="4095" width="24.42578125" style="191" customWidth="1"/>
    <col min="4096" max="4096" width="10.7109375" style="191" customWidth="1"/>
    <col min="4097" max="4097" width="13.7109375" style="191" customWidth="1"/>
    <col min="4098" max="4098" width="22" style="191" customWidth="1"/>
    <col min="4099" max="4099" width="13.85546875" style="191" customWidth="1"/>
    <col min="4100" max="4100" width="9.140625" style="191"/>
    <col min="4101" max="4101" width="14.42578125" style="191" customWidth="1"/>
    <col min="4102" max="4102" width="9.28515625" style="191" customWidth="1"/>
    <col min="4103" max="4103" width="14.42578125" style="191" customWidth="1"/>
    <col min="4104" max="4104" width="10.140625" style="191" customWidth="1"/>
    <col min="4105" max="4105" width="15" style="191" customWidth="1"/>
    <col min="4106" max="4106" width="9.140625" style="191"/>
    <col min="4107" max="4107" width="14.85546875" style="191" customWidth="1"/>
    <col min="4108" max="4115" width="9.140625" style="191"/>
    <col min="4116" max="4116" width="13" style="191" customWidth="1"/>
    <col min="4117" max="4117" width="9.140625" style="191"/>
    <col min="4118" max="4118" width="16.140625" style="191" customWidth="1"/>
    <col min="4119" max="4119" width="9.140625" style="191"/>
    <col min="4120" max="4121" width="12.85546875" style="191" customWidth="1"/>
    <col min="4122" max="4122" width="14.28515625" style="191" customWidth="1"/>
    <col min="4123" max="4125" width="9.140625" style="191"/>
    <col min="4126" max="4126" width="16.28515625" style="191" customWidth="1"/>
    <col min="4127" max="4127" width="9.140625" style="191"/>
    <col min="4128" max="4129" width="12.85546875" style="191" customWidth="1"/>
    <col min="4130" max="4130" width="16.140625" style="191" customWidth="1"/>
    <col min="4131" max="4132" width="9.140625" style="191"/>
    <col min="4133" max="4133" width="12.5703125" style="191" customWidth="1"/>
    <col min="4134" max="4344" width="9.140625" style="191"/>
    <col min="4345" max="4345" width="7" style="191" customWidth="1"/>
    <col min="4346" max="4346" width="12" style="191" customWidth="1"/>
    <col min="4347" max="4347" width="69.28515625" style="191" customWidth="1"/>
    <col min="4348" max="4348" width="12.7109375" style="191" customWidth="1"/>
    <col min="4349" max="4349" width="8.28515625" style="191" customWidth="1"/>
    <col min="4350" max="4350" width="17.85546875" style="191" customWidth="1"/>
    <col min="4351" max="4351" width="24.42578125" style="191" customWidth="1"/>
    <col min="4352" max="4352" width="10.7109375" style="191" customWidth="1"/>
    <col min="4353" max="4353" width="13.7109375" style="191" customWidth="1"/>
    <col min="4354" max="4354" width="22" style="191" customWidth="1"/>
    <col min="4355" max="4355" width="13.85546875" style="191" customWidth="1"/>
    <col min="4356" max="4356" width="9.140625" style="191"/>
    <col min="4357" max="4357" width="14.42578125" style="191" customWidth="1"/>
    <col min="4358" max="4358" width="9.28515625" style="191" customWidth="1"/>
    <col min="4359" max="4359" width="14.42578125" style="191" customWidth="1"/>
    <col min="4360" max="4360" width="10.140625" style="191" customWidth="1"/>
    <col min="4361" max="4361" width="15" style="191" customWidth="1"/>
    <col min="4362" max="4362" width="9.140625" style="191"/>
    <col min="4363" max="4363" width="14.85546875" style="191" customWidth="1"/>
    <col min="4364" max="4371" width="9.140625" style="191"/>
    <col min="4372" max="4372" width="13" style="191" customWidth="1"/>
    <col min="4373" max="4373" width="9.140625" style="191"/>
    <col min="4374" max="4374" width="16.140625" style="191" customWidth="1"/>
    <col min="4375" max="4375" width="9.140625" style="191"/>
    <col min="4376" max="4377" width="12.85546875" style="191" customWidth="1"/>
    <col min="4378" max="4378" width="14.28515625" style="191" customWidth="1"/>
    <col min="4379" max="4381" width="9.140625" style="191"/>
    <col min="4382" max="4382" width="16.28515625" style="191" customWidth="1"/>
    <col min="4383" max="4383" width="9.140625" style="191"/>
    <col min="4384" max="4385" width="12.85546875" style="191" customWidth="1"/>
    <col min="4386" max="4386" width="16.140625" style="191" customWidth="1"/>
    <col min="4387" max="4388" width="9.140625" style="191"/>
    <col min="4389" max="4389" width="12.5703125" style="191" customWidth="1"/>
    <col min="4390" max="4600" width="9.140625" style="191"/>
    <col min="4601" max="4601" width="7" style="191" customWidth="1"/>
    <col min="4602" max="4602" width="12" style="191" customWidth="1"/>
    <col min="4603" max="4603" width="69.28515625" style="191" customWidth="1"/>
    <col min="4604" max="4604" width="12.7109375" style="191" customWidth="1"/>
    <col min="4605" max="4605" width="8.28515625" style="191" customWidth="1"/>
    <col min="4606" max="4606" width="17.85546875" style="191" customWidth="1"/>
    <col min="4607" max="4607" width="24.42578125" style="191" customWidth="1"/>
    <col min="4608" max="4608" width="10.7109375" style="191" customWidth="1"/>
    <col min="4609" max="4609" width="13.7109375" style="191" customWidth="1"/>
    <col min="4610" max="4610" width="22" style="191" customWidth="1"/>
    <col min="4611" max="4611" width="13.85546875" style="191" customWidth="1"/>
    <col min="4612" max="4612" width="9.140625" style="191"/>
    <col min="4613" max="4613" width="14.42578125" style="191" customWidth="1"/>
    <col min="4614" max="4614" width="9.28515625" style="191" customWidth="1"/>
    <col min="4615" max="4615" width="14.42578125" style="191" customWidth="1"/>
    <col min="4616" max="4616" width="10.140625" style="191" customWidth="1"/>
    <col min="4617" max="4617" width="15" style="191" customWidth="1"/>
    <col min="4618" max="4618" width="9.140625" style="191"/>
    <col min="4619" max="4619" width="14.85546875" style="191" customWidth="1"/>
    <col min="4620" max="4627" width="9.140625" style="191"/>
    <col min="4628" max="4628" width="13" style="191" customWidth="1"/>
    <col min="4629" max="4629" width="9.140625" style="191"/>
    <col min="4630" max="4630" width="16.140625" style="191" customWidth="1"/>
    <col min="4631" max="4631" width="9.140625" style="191"/>
    <col min="4632" max="4633" width="12.85546875" style="191" customWidth="1"/>
    <col min="4634" max="4634" width="14.28515625" style="191" customWidth="1"/>
    <col min="4635" max="4637" width="9.140625" style="191"/>
    <col min="4638" max="4638" width="16.28515625" style="191" customWidth="1"/>
    <col min="4639" max="4639" width="9.140625" style="191"/>
    <col min="4640" max="4641" width="12.85546875" style="191" customWidth="1"/>
    <col min="4642" max="4642" width="16.140625" style="191" customWidth="1"/>
    <col min="4643" max="4644" width="9.140625" style="191"/>
    <col min="4645" max="4645" width="12.5703125" style="191" customWidth="1"/>
    <col min="4646" max="4856" width="9.140625" style="191"/>
    <col min="4857" max="4857" width="7" style="191" customWidth="1"/>
    <col min="4858" max="4858" width="12" style="191" customWidth="1"/>
    <col min="4859" max="4859" width="69.28515625" style="191" customWidth="1"/>
    <col min="4860" max="4860" width="12.7109375" style="191" customWidth="1"/>
    <col min="4861" max="4861" width="8.28515625" style="191" customWidth="1"/>
    <col min="4862" max="4862" width="17.85546875" style="191" customWidth="1"/>
    <col min="4863" max="4863" width="24.42578125" style="191" customWidth="1"/>
    <col min="4864" max="4864" width="10.7109375" style="191" customWidth="1"/>
    <col min="4865" max="4865" width="13.7109375" style="191" customWidth="1"/>
    <col min="4866" max="4866" width="22" style="191" customWidth="1"/>
    <col min="4867" max="4867" width="13.85546875" style="191" customWidth="1"/>
    <col min="4868" max="4868" width="9.140625" style="191"/>
    <col min="4869" max="4869" width="14.42578125" style="191" customWidth="1"/>
    <col min="4870" max="4870" width="9.28515625" style="191" customWidth="1"/>
    <col min="4871" max="4871" width="14.42578125" style="191" customWidth="1"/>
    <col min="4872" max="4872" width="10.140625" style="191" customWidth="1"/>
    <col min="4873" max="4873" width="15" style="191" customWidth="1"/>
    <col min="4874" max="4874" width="9.140625" style="191"/>
    <col min="4875" max="4875" width="14.85546875" style="191" customWidth="1"/>
    <col min="4876" max="4883" width="9.140625" style="191"/>
    <col min="4884" max="4884" width="13" style="191" customWidth="1"/>
    <col min="4885" max="4885" width="9.140625" style="191"/>
    <col min="4886" max="4886" width="16.140625" style="191" customWidth="1"/>
    <col min="4887" max="4887" width="9.140625" style="191"/>
    <col min="4888" max="4889" width="12.85546875" style="191" customWidth="1"/>
    <col min="4890" max="4890" width="14.28515625" style="191" customWidth="1"/>
    <col min="4891" max="4893" width="9.140625" style="191"/>
    <col min="4894" max="4894" width="16.28515625" style="191" customWidth="1"/>
    <col min="4895" max="4895" width="9.140625" style="191"/>
    <col min="4896" max="4897" width="12.85546875" style="191" customWidth="1"/>
    <col min="4898" max="4898" width="16.140625" style="191" customWidth="1"/>
    <col min="4899" max="4900" width="9.140625" style="191"/>
    <col min="4901" max="4901" width="12.5703125" style="191" customWidth="1"/>
    <col min="4902" max="5112" width="9.140625" style="191"/>
    <col min="5113" max="5113" width="7" style="191" customWidth="1"/>
    <col min="5114" max="5114" width="12" style="191" customWidth="1"/>
    <col min="5115" max="5115" width="69.28515625" style="191" customWidth="1"/>
    <col min="5116" max="5116" width="12.7109375" style="191" customWidth="1"/>
    <col min="5117" max="5117" width="8.28515625" style="191" customWidth="1"/>
    <col min="5118" max="5118" width="17.85546875" style="191" customWidth="1"/>
    <col min="5119" max="5119" width="24.42578125" style="191" customWidth="1"/>
    <col min="5120" max="5120" width="10.7109375" style="191" customWidth="1"/>
    <col min="5121" max="5121" width="13.7109375" style="191" customWidth="1"/>
    <col min="5122" max="5122" width="22" style="191" customWidth="1"/>
    <col min="5123" max="5123" width="13.85546875" style="191" customWidth="1"/>
    <col min="5124" max="5124" width="9.140625" style="191"/>
    <col min="5125" max="5125" width="14.42578125" style="191" customWidth="1"/>
    <col min="5126" max="5126" width="9.28515625" style="191" customWidth="1"/>
    <col min="5127" max="5127" width="14.42578125" style="191" customWidth="1"/>
    <col min="5128" max="5128" width="10.140625" style="191" customWidth="1"/>
    <col min="5129" max="5129" width="15" style="191" customWidth="1"/>
    <col min="5130" max="5130" width="9.140625" style="191"/>
    <col min="5131" max="5131" width="14.85546875" style="191" customWidth="1"/>
    <col min="5132" max="5139" width="9.140625" style="191"/>
    <col min="5140" max="5140" width="13" style="191" customWidth="1"/>
    <col min="5141" max="5141" width="9.140625" style="191"/>
    <col min="5142" max="5142" width="16.140625" style="191" customWidth="1"/>
    <col min="5143" max="5143" width="9.140625" style="191"/>
    <col min="5144" max="5145" width="12.85546875" style="191" customWidth="1"/>
    <col min="5146" max="5146" width="14.28515625" style="191" customWidth="1"/>
    <col min="5147" max="5149" width="9.140625" style="191"/>
    <col min="5150" max="5150" width="16.28515625" style="191" customWidth="1"/>
    <col min="5151" max="5151" width="9.140625" style="191"/>
    <col min="5152" max="5153" width="12.85546875" style="191" customWidth="1"/>
    <col min="5154" max="5154" width="16.140625" style="191" customWidth="1"/>
    <col min="5155" max="5156" width="9.140625" style="191"/>
    <col min="5157" max="5157" width="12.5703125" style="191" customWidth="1"/>
    <col min="5158" max="5368" width="9.140625" style="191"/>
    <col min="5369" max="5369" width="7" style="191" customWidth="1"/>
    <col min="5370" max="5370" width="12" style="191" customWidth="1"/>
    <col min="5371" max="5371" width="69.28515625" style="191" customWidth="1"/>
    <col min="5372" max="5372" width="12.7109375" style="191" customWidth="1"/>
    <col min="5373" max="5373" width="8.28515625" style="191" customWidth="1"/>
    <col min="5374" max="5374" width="17.85546875" style="191" customWidth="1"/>
    <col min="5375" max="5375" width="24.42578125" style="191" customWidth="1"/>
    <col min="5376" max="5376" width="10.7109375" style="191" customWidth="1"/>
    <col min="5377" max="5377" width="13.7109375" style="191" customWidth="1"/>
    <col min="5378" max="5378" width="22" style="191" customWidth="1"/>
    <col min="5379" max="5379" width="13.85546875" style="191" customWidth="1"/>
    <col min="5380" max="5380" width="9.140625" style="191"/>
    <col min="5381" max="5381" width="14.42578125" style="191" customWidth="1"/>
    <col min="5382" max="5382" width="9.28515625" style="191" customWidth="1"/>
    <col min="5383" max="5383" width="14.42578125" style="191" customWidth="1"/>
    <col min="5384" max="5384" width="10.140625" style="191" customWidth="1"/>
    <col min="5385" max="5385" width="15" style="191" customWidth="1"/>
    <col min="5386" max="5386" width="9.140625" style="191"/>
    <col min="5387" max="5387" width="14.85546875" style="191" customWidth="1"/>
    <col min="5388" max="5395" width="9.140625" style="191"/>
    <col min="5396" max="5396" width="13" style="191" customWidth="1"/>
    <col min="5397" max="5397" width="9.140625" style="191"/>
    <col min="5398" max="5398" width="16.140625" style="191" customWidth="1"/>
    <col min="5399" max="5399" width="9.140625" style="191"/>
    <col min="5400" max="5401" width="12.85546875" style="191" customWidth="1"/>
    <col min="5402" max="5402" width="14.28515625" style="191" customWidth="1"/>
    <col min="5403" max="5405" width="9.140625" style="191"/>
    <col min="5406" max="5406" width="16.28515625" style="191" customWidth="1"/>
    <col min="5407" max="5407" width="9.140625" style="191"/>
    <col min="5408" max="5409" width="12.85546875" style="191" customWidth="1"/>
    <col min="5410" max="5410" width="16.140625" style="191" customWidth="1"/>
    <col min="5411" max="5412" width="9.140625" style="191"/>
    <col min="5413" max="5413" width="12.5703125" style="191" customWidth="1"/>
    <col min="5414" max="5624" width="9.140625" style="191"/>
    <col min="5625" max="5625" width="7" style="191" customWidth="1"/>
    <col min="5626" max="5626" width="12" style="191" customWidth="1"/>
    <col min="5627" max="5627" width="69.28515625" style="191" customWidth="1"/>
    <col min="5628" max="5628" width="12.7109375" style="191" customWidth="1"/>
    <col min="5629" max="5629" width="8.28515625" style="191" customWidth="1"/>
    <col min="5630" max="5630" width="17.85546875" style="191" customWidth="1"/>
    <col min="5631" max="5631" width="24.42578125" style="191" customWidth="1"/>
    <col min="5632" max="5632" width="10.7109375" style="191" customWidth="1"/>
    <col min="5633" max="5633" width="13.7109375" style="191" customWidth="1"/>
    <col min="5634" max="5634" width="22" style="191" customWidth="1"/>
    <col min="5635" max="5635" width="13.85546875" style="191" customWidth="1"/>
    <col min="5636" max="5636" width="9.140625" style="191"/>
    <col min="5637" max="5637" width="14.42578125" style="191" customWidth="1"/>
    <col min="5638" max="5638" width="9.28515625" style="191" customWidth="1"/>
    <col min="5639" max="5639" width="14.42578125" style="191" customWidth="1"/>
    <col min="5640" max="5640" width="10.140625" style="191" customWidth="1"/>
    <col min="5641" max="5641" width="15" style="191" customWidth="1"/>
    <col min="5642" max="5642" width="9.140625" style="191"/>
    <col min="5643" max="5643" width="14.85546875" style="191" customWidth="1"/>
    <col min="5644" max="5651" width="9.140625" style="191"/>
    <col min="5652" max="5652" width="13" style="191" customWidth="1"/>
    <col min="5653" max="5653" width="9.140625" style="191"/>
    <col min="5654" max="5654" width="16.140625" style="191" customWidth="1"/>
    <col min="5655" max="5655" width="9.140625" style="191"/>
    <col min="5656" max="5657" width="12.85546875" style="191" customWidth="1"/>
    <col min="5658" max="5658" width="14.28515625" style="191" customWidth="1"/>
    <col min="5659" max="5661" width="9.140625" style="191"/>
    <col min="5662" max="5662" width="16.28515625" style="191" customWidth="1"/>
    <col min="5663" max="5663" width="9.140625" style="191"/>
    <col min="5664" max="5665" width="12.85546875" style="191" customWidth="1"/>
    <col min="5666" max="5666" width="16.140625" style="191" customWidth="1"/>
    <col min="5667" max="5668" width="9.140625" style="191"/>
    <col min="5669" max="5669" width="12.5703125" style="191" customWidth="1"/>
    <col min="5670" max="5880" width="9.140625" style="191"/>
    <col min="5881" max="5881" width="7" style="191" customWidth="1"/>
    <col min="5882" max="5882" width="12" style="191" customWidth="1"/>
    <col min="5883" max="5883" width="69.28515625" style="191" customWidth="1"/>
    <col min="5884" max="5884" width="12.7109375" style="191" customWidth="1"/>
    <col min="5885" max="5885" width="8.28515625" style="191" customWidth="1"/>
    <col min="5886" max="5886" width="17.85546875" style="191" customWidth="1"/>
    <col min="5887" max="5887" width="24.42578125" style="191" customWidth="1"/>
    <col min="5888" max="5888" width="10.7109375" style="191" customWidth="1"/>
    <col min="5889" max="5889" width="13.7109375" style="191" customWidth="1"/>
    <col min="5890" max="5890" width="22" style="191" customWidth="1"/>
    <col min="5891" max="5891" width="13.85546875" style="191" customWidth="1"/>
    <col min="5892" max="5892" width="9.140625" style="191"/>
    <col min="5893" max="5893" width="14.42578125" style="191" customWidth="1"/>
    <col min="5894" max="5894" width="9.28515625" style="191" customWidth="1"/>
    <col min="5895" max="5895" width="14.42578125" style="191" customWidth="1"/>
    <col min="5896" max="5896" width="10.140625" style="191" customWidth="1"/>
    <col min="5897" max="5897" width="15" style="191" customWidth="1"/>
    <col min="5898" max="5898" width="9.140625" style="191"/>
    <col min="5899" max="5899" width="14.85546875" style="191" customWidth="1"/>
    <col min="5900" max="5907" width="9.140625" style="191"/>
    <col min="5908" max="5908" width="13" style="191" customWidth="1"/>
    <col min="5909" max="5909" width="9.140625" style="191"/>
    <col min="5910" max="5910" width="16.140625" style="191" customWidth="1"/>
    <col min="5911" max="5911" width="9.140625" style="191"/>
    <col min="5912" max="5913" width="12.85546875" style="191" customWidth="1"/>
    <col min="5914" max="5914" width="14.28515625" style="191" customWidth="1"/>
    <col min="5915" max="5917" width="9.140625" style="191"/>
    <col min="5918" max="5918" width="16.28515625" style="191" customWidth="1"/>
    <col min="5919" max="5919" width="9.140625" style="191"/>
    <col min="5920" max="5921" width="12.85546875" style="191" customWidth="1"/>
    <col min="5922" max="5922" width="16.140625" style="191" customWidth="1"/>
    <col min="5923" max="5924" width="9.140625" style="191"/>
    <col min="5925" max="5925" width="12.5703125" style="191" customWidth="1"/>
    <col min="5926" max="6136" width="9.140625" style="191"/>
    <col min="6137" max="6137" width="7" style="191" customWidth="1"/>
    <col min="6138" max="6138" width="12" style="191" customWidth="1"/>
    <col min="6139" max="6139" width="69.28515625" style="191" customWidth="1"/>
    <col min="6140" max="6140" width="12.7109375" style="191" customWidth="1"/>
    <col min="6141" max="6141" width="8.28515625" style="191" customWidth="1"/>
    <col min="6142" max="6142" width="17.85546875" style="191" customWidth="1"/>
    <col min="6143" max="6143" width="24.42578125" style="191" customWidth="1"/>
    <col min="6144" max="6144" width="10.7109375" style="191" customWidth="1"/>
    <col min="6145" max="6145" width="13.7109375" style="191" customWidth="1"/>
    <col min="6146" max="6146" width="22" style="191" customWidth="1"/>
    <col min="6147" max="6147" width="13.85546875" style="191" customWidth="1"/>
    <col min="6148" max="6148" width="9.140625" style="191"/>
    <col min="6149" max="6149" width="14.42578125" style="191" customWidth="1"/>
    <col min="6150" max="6150" width="9.28515625" style="191" customWidth="1"/>
    <col min="6151" max="6151" width="14.42578125" style="191" customWidth="1"/>
    <col min="6152" max="6152" width="10.140625" style="191" customWidth="1"/>
    <col min="6153" max="6153" width="15" style="191" customWidth="1"/>
    <col min="6154" max="6154" width="9.140625" style="191"/>
    <col min="6155" max="6155" width="14.85546875" style="191" customWidth="1"/>
    <col min="6156" max="6163" width="9.140625" style="191"/>
    <col min="6164" max="6164" width="13" style="191" customWidth="1"/>
    <col min="6165" max="6165" width="9.140625" style="191"/>
    <col min="6166" max="6166" width="16.140625" style="191" customWidth="1"/>
    <col min="6167" max="6167" width="9.140625" style="191"/>
    <col min="6168" max="6169" width="12.85546875" style="191" customWidth="1"/>
    <col min="6170" max="6170" width="14.28515625" style="191" customWidth="1"/>
    <col min="6171" max="6173" width="9.140625" style="191"/>
    <col min="6174" max="6174" width="16.28515625" style="191" customWidth="1"/>
    <col min="6175" max="6175" width="9.140625" style="191"/>
    <col min="6176" max="6177" width="12.85546875" style="191" customWidth="1"/>
    <col min="6178" max="6178" width="16.140625" style="191" customWidth="1"/>
    <col min="6179" max="6180" width="9.140625" style="191"/>
    <col min="6181" max="6181" width="12.5703125" style="191" customWidth="1"/>
    <col min="6182" max="6392" width="9.140625" style="191"/>
    <col min="6393" max="6393" width="7" style="191" customWidth="1"/>
    <col min="6394" max="6394" width="12" style="191" customWidth="1"/>
    <col min="6395" max="6395" width="69.28515625" style="191" customWidth="1"/>
    <col min="6396" max="6396" width="12.7109375" style="191" customWidth="1"/>
    <col min="6397" max="6397" width="8.28515625" style="191" customWidth="1"/>
    <col min="6398" max="6398" width="17.85546875" style="191" customWidth="1"/>
    <col min="6399" max="6399" width="24.42578125" style="191" customWidth="1"/>
    <col min="6400" max="6400" width="10.7109375" style="191" customWidth="1"/>
    <col min="6401" max="6401" width="13.7109375" style="191" customWidth="1"/>
    <col min="6402" max="6402" width="22" style="191" customWidth="1"/>
    <col min="6403" max="6403" width="13.85546875" style="191" customWidth="1"/>
    <col min="6404" max="6404" width="9.140625" style="191"/>
    <col min="6405" max="6405" width="14.42578125" style="191" customWidth="1"/>
    <col min="6406" max="6406" width="9.28515625" style="191" customWidth="1"/>
    <col min="6407" max="6407" width="14.42578125" style="191" customWidth="1"/>
    <col min="6408" max="6408" width="10.140625" style="191" customWidth="1"/>
    <col min="6409" max="6409" width="15" style="191" customWidth="1"/>
    <col min="6410" max="6410" width="9.140625" style="191"/>
    <col min="6411" max="6411" width="14.85546875" style="191" customWidth="1"/>
    <col min="6412" max="6419" width="9.140625" style="191"/>
    <col min="6420" max="6420" width="13" style="191" customWidth="1"/>
    <col min="6421" max="6421" width="9.140625" style="191"/>
    <col min="6422" max="6422" width="16.140625" style="191" customWidth="1"/>
    <col min="6423" max="6423" width="9.140625" style="191"/>
    <col min="6424" max="6425" width="12.85546875" style="191" customWidth="1"/>
    <col min="6426" max="6426" width="14.28515625" style="191" customWidth="1"/>
    <col min="6427" max="6429" width="9.140625" style="191"/>
    <col min="6430" max="6430" width="16.28515625" style="191" customWidth="1"/>
    <col min="6431" max="6431" width="9.140625" style="191"/>
    <col min="6432" max="6433" width="12.85546875" style="191" customWidth="1"/>
    <col min="6434" max="6434" width="16.140625" style="191" customWidth="1"/>
    <col min="6435" max="6436" width="9.140625" style="191"/>
    <col min="6437" max="6437" width="12.5703125" style="191" customWidth="1"/>
    <col min="6438" max="6648" width="9.140625" style="191"/>
    <col min="6649" max="6649" width="7" style="191" customWidth="1"/>
    <col min="6650" max="6650" width="12" style="191" customWidth="1"/>
    <col min="6651" max="6651" width="69.28515625" style="191" customWidth="1"/>
    <col min="6652" max="6652" width="12.7109375" style="191" customWidth="1"/>
    <col min="6653" max="6653" width="8.28515625" style="191" customWidth="1"/>
    <col min="6654" max="6654" width="17.85546875" style="191" customWidth="1"/>
    <col min="6655" max="6655" width="24.42578125" style="191" customWidth="1"/>
    <col min="6656" max="6656" width="10.7109375" style="191" customWidth="1"/>
    <col min="6657" max="6657" width="13.7109375" style="191" customWidth="1"/>
    <col min="6658" max="6658" width="22" style="191" customWidth="1"/>
    <col min="6659" max="6659" width="13.85546875" style="191" customWidth="1"/>
    <col min="6660" max="6660" width="9.140625" style="191"/>
    <col min="6661" max="6661" width="14.42578125" style="191" customWidth="1"/>
    <col min="6662" max="6662" width="9.28515625" style="191" customWidth="1"/>
    <col min="6663" max="6663" width="14.42578125" style="191" customWidth="1"/>
    <col min="6664" max="6664" width="10.140625" style="191" customWidth="1"/>
    <col min="6665" max="6665" width="15" style="191" customWidth="1"/>
    <col min="6666" max="6666" width="9.140625" style="191"/>
    <col min="6667" max="6667" width="14.85546875" style="191" customWidth="1"/>
    <col min="6668" max="6675" width="9.140625" style="191"/>
    <col min="6676" max="6676" width="13" style="191" customWidth="1"/>
    <col min="6677" max="6677" width="9.140625" style="191"/>
    <col min="6678" max="6678" width="16.140625" style="191" customWidth="1"/>
    <col min="6679" max="6679" width="9.140625" style="191"/>
    <col min="6680" max="6681" width="12.85546875" style="191" customWidth="1"/>
    <col min="6682" max="6682" width="14.28515625" style="191" customWidth="1"/>
    <col min="6683" max="6685" width="9.140625" style="191"/>
    <col min="6686" max="6686" width="16.28515625" style="191" customWidth="1"/>
    <col min="6687" max="6687" width="9.140625" style="191"/>
    <col min="6688" max="6689" width="12.85546875" style="191" customWidth="1"/>
    <col min="6690" max="6690" width="16.140625" style="191" customWidth="1"/>
    <col min="6691" max="6692" width="9.140625" style="191"/>
    <col min="6693" max="6693" width="12.5703125" style="191" customWidth="1"/>
    <col min="6694" max="6904" width="9.140625" style="191"/>
    <col min="6905" max="6905" width="7" style="191" customWidth="1"/>
    <col min="6906" max="6906" width="12" style="191" customWidth="1"/>
    <col min="6907" max="6907" width="69.28515625" style="191" customWidth="1"/>
    <col min="6908" max="6908" width="12.7109375" style="191" customWidth="1"/>
    <col min="6909" max="6909" width="8.28515625" style="191" customWidth="1"/>
    <col min="6910" max="6910" width="17.85546875" style="191" customWidth="1"/>
    <col min="6911" max="6911" width="24.42578125" style="191" customWidth="1"/>
    <col min="6912" max="6912" width="10.7109375" style="191" customWidth="1"/>
    <col min="6913" max="6913" width="13.7109375" style="191" customWidth="1"/>
    <col min="6914" max="6914" width="22" style="191" customWidth="1"/>
    <col min="6915" max="6915" width="13.85546875" style="191" customWidth="1"/>
    <col min="6916" max="6916" width="9.140625" style="191"/>
    <col min="6917" max="6917" width="14.42578125" style="191" customWidth="1"/>
    <col min="6918" max="6918" width="9.28515625" style="191" customWidth="1"/>
    <col min="6919" max="6919" width="14.42578125" style="191" customWidth="1"/>
    <col min="6920" max="6920" width="10.140625" style="191" customWidth="1"/>
    <col min="6921" max="6921" width="15" style="191" customWidth="1"/>
    <col min="6922" max="6922" width="9.140625" style="191"/>
    <col min="6923" max="6923" width="14.85546875" style="191" customWidth="1"/>
    <col min="6924" max="6931" width="9.140625" style="191"/>
    <col min="6932" max="6932" width="13" style="191" customWidth="1"/>
    <col min="6933" max="6933" width="9.140625" style="191"/>
    <col min="6934" max="6934" width="16.140625" style="191" customWidth="1"/>
    <col min="6935" max="6935" width="9.140625" style="191"/>
    <col min="6936" max="6937" width="12.85546875" style="191" customWidth="1"/>
    <col min="6938" max="6938" width="14.28515625" style="191" customWidth="1"/>
    <col min="6939" max="6941" width="9.140625" style="191"/>
    <col min="6942" max="6942" width="16.28515625" style="191" customWidth="1"/>
    <col min="6943" max="6943" width="9.140625" style="191"/>
    <col min="6944" max="6945" width="12.85546875" style="191" customWidth="1"/>
    <col min="6946" max="6946" width="16.140625" style="191" customWidth="1"/>
    <col min="6947" max="6948" width="9.140625" style="191"/>
    <col min="6949" max="6949" width="12.5703125" style="191" customWidth="1"/>
    <col min="6950" max="7160" width="9.140625" style="191"/>
    <col min="7161" max="7161" width="7" style="191" customWidth="1"/>
    <col min="7162" max="7162" width="12" style="191" customWidth="1"/>
    <col min="7163" max="7163" width="69.28515625" style="191" customWidth="1"/>
    <col min="7164" max="7164" width="12.7109375" style="191" customWidth="1"/>
    <col min="7165" max="7165" width="8.28515625" style="191" customWidth="1"/>
    <col min="7166" max="7166" width="17.85546875" style="191" customWidth="1"/>
    <col min="7167" max="7167" width="24.42578125" style="191" customWidth="1"/>
    <col min="7168" max="7168" width="10.7109375" style="191" customWidth="1"/>
    <col min="7169" max="7169" width="13.7109375" style="191" customWidth="1"/>
    <col min="7170" max="7170" width="22" style="191" customWidth="1"/>
    <col min="7171" max="7171" width="13.85546875" style="191" customWidth="1"/>
    <col min="7172" max="7172" width="9.140625" style="191"/>
    <col min="7173" max="7173" width="14.42578125" style="191" customWidth="1"/>
    <col min="7174" max="7174" width="9.28515625" style="191" customWidth="1"/>
    <col min="7175" max="7175" width="14.42578125" style="191" customWidth="1"/>
    <col min="7176" max="7176" width="10.140625" style="191" customWidth="1"/>
    <col min="7177" max="7177" width="15" style="191" customWidth="1"/>
    <col min="7178" max="7178" width="9.140625" style="191"/>
    <col min="7179" max="7179" width="14.85546875" style="191" customWidth="1"/>
    <col min="7180" max="7187" width="9.140625" style="191"/>
    <col min="7188" max="7188" width="13" style="191" customWidth="1"/>
    <col min="7189" max="7189" width="9.140625" style="191"/>
    <col min="7190" max="7190" width="16.140625" style="191" customWidth="1"/>
    <col min="7191" max="7191" width="9.140625" style="191"/>
    <col min="7192" max="7193" width="12.85546875" style="191" customWidth="1"/>
    <col min="7194" max="7194" width="14.28515625" style="191" customWidth="1"/>
    <col min="7195" max="7197" width="9.140625" style="191"/>
    <col min="7198" max="7198" width="16.28515625" style="191" customWidth="1"/>
    <col min="7199" max="7199" width="9.140625" style="191"/>
    <col min="7200" max="7201" width="12.85546875" style="191" customWidth="1"/>
    <col min="7202" max="7202" width="16.140625" style="191" customWidth="1"/>
    <col min="7203" max="7204" width="9.140625" style="191"/>
    <col min="7205" max="7205" width="12.5703125" style="191" customWidth="1"/>
    <col min="7206" max="7416" width="9.140625" style="191"/>
    <col min="7417" max="7417" width="7" style="191" customWidth="1"/>
    <col min="7418" max="7418" width="12" style="191" customWidth="1"/>
    <col min="7419" max="7419" width="69.28515625" style="191" customWidth="1"/>
    <col min="7420" max="7420" width="12.7109375" style="191" customWidth="1"/>
    <col min="7421" max="7421" width="8.28515625" style="191" customWidth="1"/>
    <col min="7422" max="7422" width="17.85546875" style="191" customWidth="1"/>
    <col min="7423" max="7423" width="24.42578125" style="191" customWidth="1"/>
    <col min="7424" max="7424" width="10.7109375" style="191" customWidth="1"/>
    <col min="7425" max="7425" width="13.7109375" style="191" customWidth="1"/>
    <col min="7426" max="7426" width="22" style="191" customWidth="1"/>
    <col min="7427" max="7427" width="13.85546875" style="191" customWidth="1"/>
    <col min="7428" max="7428" width="9.140625" style="191"/>
    <col min="7429" max="7429" width="14.42578125" style="191" customWidth="1"/>
    <col min="7430" max="7430" width="9.28515625" style="191" customWidth="1"/>
    <col min="7431" max="7431" width="14.42578125" style="191" customWidth="1"/>
    <col min="7432" max="7432" width="10.140625" style="191" customWidth="1"/>
    <col min="7433" max="7433" width="15" style="191" customWidth="1"/>
    <col min="7434" max="7434" width="9.140625" style="191"/>
    <col min="7435" max="7435" width="14.85546875" style="191" customWidth="1"/>
    <col min="7436" max="7443" width="9.140625" style="191"/>
    <col min="7444" max="7444" width="13" style="191" customWidth="1"/>
    <col min="7445" max="7445" width="9.140625" style="191"/>
    <col min="7446" max="7446" width="16.140625" style="191" customWidth="1"/>
    <col min="7447" max="7447" width="9.140625" style="191"/>
    <col min="7448" max="7449" width="12.85546875" style="191" customWidth="1"/>
    <col min="7450" max="7450" width="14.28515625" style="191" customWidth="1"/>
    <col min="7451" max="7453" width="9.140625" style="191"/>
    <col min="7454" max="7454" width="16.28515625" style="191" customWidth="1"/>
    <col min="7455" max="7455" width="9.140625" style="191"/>
    <col min="7456" max="7457" width="12.85546875" style="191" customWidth="1"/>
    <col min="7458" max="7458" width="16.140625" style="191" customWidth="1"/>
    <col min="7459" max="7460" width="9.140625" style="191"/>
    <col min="7461" max="7461" width="12.5703125" style="191" customWidth="1"/>
    <col min="7462" max="7672" width="9.140625" style="191"/>
    <col min="7673" max="7673" width="7" style="191" customWidth="1"/>
    <col min="7674" max="7674" width="12" style="191" customWidth="1"/>
    <col min="7675" max="7675" width="69.28515625" style="191" customWidth="1"/>
    <col min="7676" max="7676" width="12.7109375" style="191" customWidth="1"/>
    <col min="7677" max="7677" width="8.28515625" style="191" customWidth="1"/>
    <col min="7678" max="7678" width="17.85546875" style="191" customWidth="1"/>
    <col min="7679" max="7679" width="24.42578125" style="191" customWidth="1"/>
    <col min="7680" max="7680" width="10.7109375" style="191" customWidth="1"/>
    <col min="7681" max="7681" width="13.7109375" style="191" customWidth="1"/>
    <col min="7682" max="7682" width="22" style="191" customWidth="1"/>
    <col min="7683" max="7683" width="13.85546875" style="191" customWidth="1"/>
    <col min="7684" max="7684" width="9.140625" style="191"/>
    <col min="7685" max="7685" width="14.42578125" style="191" customWidth="1"/>
    <col min="7686" max="7686" width="9.28515625" style="191" customWidth="1"/>
    <col min="7687" max="7687" width="14.42578125" style="191" customWidth="1"/>
    <col min="7688" max="7688" width="10.140625" style="191" customWidth="1"/>
    <col min="7689" max="7689" width="15" style="191" customWidth="1"/>
    <col min="7690" max="7690" width="9.140625" style="191"/>
    <col min="7691" max="7691" width="14.85546875" style="191" customWidth="1"/>
    <col min="7692" max="7699" width="9.140625" style="191"/>
    <col min="7700" max="7700" width="13" style="191" customWidth="1"/>
    <col min="7701" max="7701" width="9.140625" style="191"/>
    <col min="7702" max="7702" width="16.140625" style="191" customWidth="1"/>
    <col min="7703" max="7703" width="9.140625" style="191"/>
    <col min="7704" max="7705" width="12.85546875" style="191" customWidth="1"/>
    <col min="7706" max="7706" width="14.28515625" style="191" customWidth="1"/>
    <col min="7707" max="7709" width="9.140625" style="191"/>
    <col min="7710" max="7710" width="16.28515625" style="191" customWidth="1"/>
    <col min="7711" max="7711" width="9.140625" style="191"/>
    <col min="7712" max="7713" width="12.85546875" style="191" customWidth="1"/>
    <col min="7714" max="7714" width="16.140625" style="191" customWidth="1"/>
    <col min="7715" max="7716" width="9.140625" style="191"/>
    <col min="7717" max="7717" width="12.5703125" style="191" customWidth="1"/>
    <col min="7718" max="7928" width="9.140625" style="191"/>
    <col min="7929" max="7929" width="7" style="191" customWidth="1"/>
    <col min="7930" max="7930" width="12" style="191" customWidth="1"/>
    <col min="7931" max="7931" width="69.28515625" style="191" customWidth="1"/>
    <col min="7932" max="7932" width="12.7109375" style="191" customWidth="1"/>
    <col min="7933" max="7933" width="8.28515625" style="191" customWidth="1"/>
    <col min="7934" max="7934" width="17.85546875" style="191" customWidth="1"/>
    <col min="7935" max="7935" width="24.42578125" style="191" customWidth="1"/>
    <col min="7936" max="7936" width="10.7109375" style="191" customWidth="1"/>
    <col min="7937" max="7937" width="13.7109375" style="191" customWidth="1"/>
    <col min="7938" max="7938" width="22" style="191" customWidth="1"/>
    <col min="7939" max="7939" width="13.85546875" style="191" customWidth="1"/>
    <col min="7940" max="7940" width="9.140625" style="191"/>
    <col min="7941" max="7941" width="14.42578125" style="191" customWidth="1"/>
    <col min="7942" max="7942" width="9.28515625" style="191" customWidth="1"/>
    <col min="7943" max="7943" width="14.42578125" style="191" customWidth="1"/>
    <col min="7944" max="7944" width="10.140625" style="191" customWidth="1"/>
    <col min="7945" max="7945" width="15" style="191" customWidth="1"/>
    <col min="7946" max="7946" width="9.140625" style="191"/>
    <col min="7947" max="7947" width="14.85546875" style="191" customWidth="1"/>
    <col min="7948" max="7955" width="9.140625" style="191"/>
    <col min="7956" max="7956" width="13" style="191" customWidth="1"/>
    <col min="7957" max="7957" width="9.140625" style="191"/>
    <col min="7958" max="7958" width="16.140625" style="191" customWidth="1"/>
    <col min="7959" max="7959" width="9.140625" style="191"/>
    <col min="7960" max="7961" width="12.85546875" style="191" customWidth="1"/>
    <col min="7962" max="7962" width="14.28515625" style="191" customWidth="1"/>
    <col min="7963" max="7965" width="9.140625" style="191"/>
    <col min="7966" max="7966" width="16.28515625" style="191" customWidth="1"/>
    <col min="7967" max="7967" width="9.140625" style="191"/>
    <col min="7968" max="7969" width="12.85546875" style="191" customWidth="1"/>
    <col min="7970" max="7970" width="16.140625" style="191" customWidth="1"/>
    <col min="7971" max="7972" width="9.140625" style="191"/>
    <col min="7973" max="7973" width="12.5703125" style="191" customWidth="1"/>
    <col min="7974" max="8184" width="9.140625" style="191"/>
    <col min="8185" max="8185" width="7" style="191" customWidth="1"/>
    <col min="8186" max="8186" width="12" style="191" customWidth="1"/>
    <col min="8187" max="8187" width="69.28515625" style="191" customWidth="1"/>
    <col min="8188" max="8188" width="12.7109375" style="191" customWidth="1"/>
    <col min="8189" max="8189" width="8.28515625" style="191" customWidth="1"/>
    <col min="8190" max="8190" width="17.85546875" style="191" customWidth="1"/>
    <col min="8191" max="8191" width="24.42578125" style="191" customWidth="1"/>
    <col min="8192" max="8192" width="10.7109375" style="191" customWidth="1"/>
    <col min="8193" max="8193" width="13.7109375" style="191" customWidth="1"/>
    <col min="8194" max="8194" width="22" style="191" customWidth="1"/>
    <col min="8195" max="8195" width="13.85546875" style="191" customWidth="1"/>
    <col min="8196" max="8196" width="9.140625" style="191"/>
    <col min="8197" max="8197" width="14.42578125" style="191" customWidth="1"/>
    <col min="8198" max="8198" width="9.28515625" style="191" customWidth="1"/>
    <col min="8199" max="8199" width="14.42578125" style="191" customWidth="1"/>
    <col min="8200" max="8200" width="10.140625" style="191" customWidth="1"/>
    <col min="8201" max="8201" width="15" style="191" customWidth="1"/>
    <col min="8202" max="8202" width="9.140625" style="191"/>
    <col min="8203" max="8203" width="14.85546875" style="191" customWidth="1"/>
    <col min="8204" max="8211" width="9.140625" style="191"/>
    <col min="8212" max="8212" width="13" style="191" customWidth="1"/>
    <col min="8213" max="8213" width="9.140625" style="191"/>
    <col min="8214" max="8214" width="16.140625" style="191" customWidth="1"/>
    <col min="8215" max="8215" width="9.140625" style="191"/>
    <col min="8216" max="8217" width="12.85546875" style="191" customWidth="1"/>
    <col min="8218" max="8218" width="14.28515625" style="191" customWidth="1"/>
    <col min="8219" max="8221" width="9.140625" style="191"/>
    <col min="8222" max="8222" width="16.28515625" style="191" customWidth="1"/>
    <col min="8223" max="8223" width="9.140625" style="191"/>
    <col min="8224" max="8225" width="12.85546875" style="191" customWidth="1"/>
    <col min="8226" max="8226" width="16.140625" style="191" customWidth="1"/>
    <col min="8227" max="8228" width="9.140625" style="191"/>
    <col min="8229" max="8229" width="12.5703125" style="191" customWidth="1"/>
    <col min="8230" max="8440" width="9.140625" style="191"/>
    <col min="8441" max="8441" width="7" style="191" customWidth="1"/>
    <col min="8442" max="8442" width="12" style="191" customWidth="1"/>
    <col min="8443" max="8443" width="69.28515625" style="191" customWidth="1"/>
    <col min="8444" max="8444" width="12.7109375" style="191" customWidth="1"/>
    <col min="8445" max="8445" width="8.28515625" style="191" customWidth="1"/>
    <col min="8446" max="8446" width="17.85546875" style="191" customWidth="1"/>
    <col min="8447" max="8447" width="24.42578125" style="191" customWidth="1"/>
    <col min="8448" max="8448" width="10.7109375" style="191" customWidth="1"/>
    <col min="8449" max="8449" width="13.7109375" style="191" customWidth="1"/>
    <col min="8450" max="8450" width="22" style="191" customWidth="1"/>
    <col min="8451" max="8451" width="13.85546875" style="191" customWidth="1"/>
    <col min="8452" max="8452" width="9.140625" style="191"/>
    <col min="8453" max="8453" width="14.42578125" style="191" customWidth="1"/>
    <col min="8454" max="8454" width="9.28515625" style="191" customWidth="1"/>
    <col min="8455" max="8455" width="14.42578125" style="191" customWidth="1"/>
    <col min="8456" max="8456" width="10.140625" style="191" customWidth="1"/>
    <col min="8457" max="8457" width="15" style="191" customWidth="1"/>
    <col min="8458" max="8458" width="9.140625" style="191"/>
    <col min="8459" max="8459" width="14.85546875" style="191" customWidth="1"/>
    <col min="8460" max="8467" width="9.140625" style="191"/>
    <col min="8468" max="8468" width="13" style="191" customWidth="1"/>
    <col min="8469" max="8469" width="9.140625" style="191"/>
    <col min="8470" max="8470" width="16.140625" style="191" customWidth="1"/>
    <col min="8471" max="8471" width="9.140625" style="191"/>
    <col min="8472" max="8473" width="12.85546875" style="191" customWidth="1"/>
    <col min="8474" max="8474" width="14.28515625" style="191" customWidth="1"/>
    <col min="8475" max="8477" width="9.140625" style="191"/>
    <col min="8478" max="8478" width="16.28515625" style="191" customWidth="1"/>
    <col min="8479" max="8479" width="9.140625" style="191"/>
    <col min="8480" max="8481" width="12.85546875" style="191" customWidth="1"/>
    <col min="8482" max="8482" width="16.140625" style="191" customWidth="1"/>
    <col min="8483" max="8484" width="9.140625" style="191"/>
    <col min="8485" max="8485" width="12.5703125" style="191" customWidth="1"/>
    <col min="8486" max="8696" width="9.140625" style="191"/>
    <col min="8697" max="8697" width="7" style="191" customWidth="1"/>
    <col min="8698" max="8698" width="12" style="191" customWidth="1"/>
    <col min="8699" max="8699" width="69.28515625" style="191" customWidth="1"/>
    <col min="8700" max="8700" width="12.7109375" style="191" customWidth="1"/>
    <col min="8701" max="8701" width="8.28515625" style="191" customWidth="1"/>
    <col min="8702" max="8702" width="17.85546875" style="191" customWidth="1"/>
    <col min="8703" max="8703" width="24.42578125" style="191" customWidth="1"/>
    <col min="8704" max="8704" width="10.7109375" style="191" customWidth="1"/>
    <col min="8705" max="8705" width="13.7109375" style="191" customWidth="1"/>
    <col min="8706" max="8706" width="22" style="191" customWidth="1"/>
    <col min="8707" max="8707" width="13.85546875" style="191" customWidth="1"/>
    <col min="8708" max="8708" width="9.140625" style="191"/>
    <col min="8709" max="8709" width="14.42578125" style="191" customWidth="1"/>
    <col min="8710" max="8710" width="9.28515625" style="191" customWidth="1"/>
    <col min="8711" max="8711" width="14.42578125" style="191" customWidth="1"/>
    <col min="8712" max="8712" width="10.140625" style="191" customWidth="1"/>
    <col min="8713" max="8713" width="15" style="191" customWidth="1"/>
    <col min="8714" max="8714" width="9.140625" style="191"/>
    <col min="8715" max="8715" width="14.85546875" style="191" customWidth="1"/>
    <col min="8716" max="8723" width="9.140625" style="191"/>
    <col min="8724" max="8724" width="13" style="191" customWidth="1"/>
    <col min="8725" max="8725" width="9.140625" style="191"/>
    <col min="8726" max="8726" width="16.140625" style="191" customWidth="1"/>
    <col min="8727" max="8727" width="9.140625" style="191"/>
    <col min="8728" max="8729" width="12.85546875" style="191" customWidth="1"/>
    <col min="8730" max="8730" width="14.28515625" style="191" customWidth="1"/>
    <col min="8731" max="8733" width="9.140625" style="191"/>
    <col min="8734" max="8734" width="16.28515625" style="191" customWidth="1"/>
    <col min="8735" max="8735" width="9.140625" style="191"/>
    <col min="8736" max="8737" width="12.85546875" style="191" customWidth="1"/>
    <col min="8738" max="8738" width="16.140625" style="191" customWidth="1"/>
    <col min="8739" max="8740" width="9.140625" style="191"/>
    <col min="8741" max="8741" width="12.5703125" style="191" customWidth="1"/>
    <col min="8742" max="8952" width="9.140625" style="191"/>
    <col min="8953" max="8953" width="7" style="191" customWidth="1"/>
    <col min="8954" max="8954" width="12" style="191" customWidth="1"/>
    <col min="8955" max="8955" width="69.28515625" style="191" customWidth="1"/>
    <col min="8956" max="8956" width="12.7109375" style="191" customWidth="1"/>
    <col min="8957" max="8957" width="8.28515625" style="191" customWidth="1"/>
    <col min="8958" max="8958" width="17.85546875" style="191" customWidth="1"/>
    <col min="8959" max="8959" width="24.42578125" style="191" customWidth="1"/>
    <col min="8960" max="8960" width="10.7109375" style="191" customWidth="1"/>
    <col min="8961" max="8961" width="13.7109375" style="191" customWidth="1"/>
    <col min="8962" max="8962" width="22" style="191" customWidth="1"/>
    <col min="8963" max="8963" width="13.85546875" style="191" customWidth="1"/>
    <col min="8964" max="8964" width="9.140625" style="191"/>
    <col min="8965" max="8965" width="14.42578125" style="191" customWidth="1"/>
    <col min="8966" max="8966" width="9.28515625" style="191" customWidth="1"/>
    <col min="8967" max="8967" width="14.42578125" style="191" customWidth="1"/>
    <col min="8968" max="8968" width="10.140625" style="191" customWidth="1"/>
    <col min="8969" max="8969" width="15" style="191" customWidth="1"/>
    <col min="8970" max="8970" width="9.140625" style="191"/>
    <col min="8971" max="8971" width="14.85546875" style="191" customWidth="1"/>
    <col min="8972" max="8979" width="9.140625" style="191"/>
    <col min="8980" max="8980" width="13" style="191" customWidth="1"/>
    <col min="8981" max="8981" width="9.140625" style="191"/>
    <col min="8982" max="8982" width="16.140625" style="191" customWidth="1"/>
    <col min="8983" max="8983" width="9.140625" style="191"/>
    <col min="8984" max="8985" width="12.85546875" style="191" customWidth="1"/>
    <col min="8986" max="8986" width="14.28515625" style="191" customWidth="1"/>
    <col min="8987" max="8989" width="9.140625" style="191"/>
    <col min="8990" max="8990" width="16.28515625" style="191" customWidth="1"/>
    <col min="8991" max="8991" width="9.140625" style="191"/>
    <col min="8992" max="8993" width="12.85546875" style="191" customWidth="1"/>
    <col min="8994" max="8994" width="16.140625" style="191" customWidth="1"/>
    <col min="8995" max="8996" width="9.140625" style="191"/>
    <col min="8997" max="8997" width="12.5703125" style="191" customWidth="1"/>
    <col min="8998" max="9208" width="9.140625" style="191"/>
    <col min="9209" max="9209" width="7" style="191" customWidth="1"/>
    <col min="9210" max="9210" width="12" style="191" customWidth="1"/>
    <col min="9211" max="9211" width="69.28515625" style="191" customWidth="1"/>
    <col min="9212" max="9212" width="12.7109375" style="191" customWidth="1"/>
    <col min="9213" max="9213" width="8.28515625" style="191" customWidth="1"/>
    <col min="9214" max="9214" width="17.85546875" style="191" customWidth="1"/>
    <col min="9215" max="9215" width="24.42578125" style="191" customWidth="1"/>
    <col min="9216" max="9216" width="10.7109375" style="191" customWidth="1"/>
    <col min="9217" max="9217" width="13.7109375" style="191" customWidth="1"/>
    <col min="9218" max="9218" width="22" style="191" customWidth="1"/>
    <col min="9219" max="9219" width="13.85546875" style="191" customWidth="1"/>
    <col min="9220" max="9220" width="9.140625" style="191"/>
    <col min="9221" max="9221" width="14.42578125" style="191" customWidth="1"/>
    <col min="9222" max="9222" width="9.28515625" style="191" customWidth="1"/>
    <col min="9223" max="9223" width="14.42578125" style="191" customWidth="1"/>
    <col min="9224" max="9224" width="10.140625" style="191" customWidth="1"/>
    <col min="9225" max="9225" width="15" style="191" customWidth="1"/>
    <col min="9226" max="9226" width="9.140625" style="191"/>
    <col min="9227" max="9227" width="14.85546875" style="191" customWidth="1"/>
    <col min="9228" max="9235" width="9.140625" style="191"/>
    <col min="9236" max="9236" width="13" style="191" customWidth="1"/>
    <col min="9237" max="9237" width="9.140625" style="191"/>
    <col min="9238" max="9238" width="16.140625" style="191" customWidth="1"/>
    <col min="9239" max="9239" width="9.140625" style="191"/>
    <col min="9240" max="9241" width="12.85546875" style="191" customWidth="1"/>
    <col min="9242" max="9242" width="14.28515625" style="191" customWidth="1"/>
    <col min="9243" max="9245" width="9.140625" style="191"/>
    <col min="9246" max="9246" width="16.28515625" style="191" customWidth="1"/>
    <col min="9247" max="9247" width="9.140625" style="191"/>
    <col min="9248" max="9249" width="12.85546875" style="191" customWidth="1"/>
    <col min="9250" max="9250" width="16.140625" style="191" customWidth="1"/>
    <col min="9251" max="9252" width="9.140625" style="191"/>
    <col min="9253" max="9253" width="12.5703125" style="191" customWidth="1"/>
    <col min="9254" max="9464" width="9.140625" style="191"/>
    <col min="9465" max="9465" width="7" style="191" customWidth="1"/>
    <col min="9466" max="9466" width="12" style="191" customWidth="1"/>
    <col min="9467" max="9467" width="69.28515625" style="191" customWidth="1"/>
    <col min="9468" max="9468" width="12.7109375" style="191" customWidth="1"/>
    <col min="9469" max="9469" width="8.28515625" style="191" customWidth="1"/>
    <col min="9470" max="9470" width="17.85546875" style="191" customWidth="1"/>
    <col min="9471" max="9471" width="24.42578125" style="191" customWidth="1"/>
    <col min="9472" max="9472" width="10.7109375" style="191" customWidth="1"/>
    <col min="9473" max="9473" width="13.7109375" style="191" customWidth="1"/>
    <col min="9474" max="9474" width="22" style="191" customWidth="1"/>
    <col min="9475" max="9475" width="13.85546875" style="191" customWidth="1"/>
    <col min="9476" max="9476" width="9.140625" style="191"/>
    <col min="9477" max="9477" width="14.42578125" style="191" customWidth="1"/>
    <col min="9478" max="9478" width="9.28515625" style="191" customWidth="1"/>
    <col min="9479" max="9479" width="14.42578125" style="191" customWidth="1"/>
    <col min="9480" max="9480" width="10.140625" style="191" customWidth="1"/>
    <col min="9481" max="9481" width="15" style="191" customWidth="1"/>
    <col min="9482" max="9482" width="9.140625" style="191"/>
    <col min="9483" max="9483" width="14.85546875" style="191" customWidth="1"/>
    <col min="9484" max="9491" width="9.140625" style="191"/>
    <col min="9492" max="9492" width="13" style="191" customWidth="1"/>
    <col min="9493" max="9493" width="9.140625" style="191"/>
    <col min="9494" max="9494" width="16.140625" style="191" customWidth="1"/>
    <col min="9495" max="9495" width="9.140625" style="191"/>
    <col min="9496" max="9497" width="12.85546875" style="191" customWidth="1"/>
    <col min="9498" max="9498" width="14.28515625" style="191" customWidth="1"/>
    <col min="9499" max="9501" width="9.140625" style="191"/>
    <col min="9502" max="9502" width="16.28515625" style="191" customWidth="1"/>
    <col min="9503" max="9503" width="9.140625" style="191"/>
    <col min="9504" max="9505" width="12.85546875" style="191" customWidth="1"/>
    <col min="9506" max="9506" width="16.140625" style="191" customWidth="1"/>
    <col min="9507" max="9508" width="9.140625" style="191"/>
    <col min="9509" max="9509" width="12.5703125" style="191" customWidth="1"/>
    <col min="9510" max="9720" width="9.140625" style="191"/>
    <col min="9721" max="9721" width="7" style="191" customWidth="1"/>
    <col min="9722" max="9722" width="12" style="191" customWidth="1"/>
    <col min="9723" max="9723" width="69.28515625" style="191" customWidth="1"/>
    <col min="9724" max="9724" width="12.7109375" style="191" customWidth="1"/>
    <col min="9725" max="9725" width="8.28515625" style="191" customWidth="1"/>
    <col min="9726" max="9726" width="17.85546875" style="191" customWidth="1"/>
    <col min="9727" max="9727" width="24.42578125" style="191" customWidth="1"/>
    <col min="9728" max="9728" width="10.7109375" style="191" customWidth="1"/>
    <col min="9729" max="9729" width="13.7109375" style="191" customWidth="1"/>
    <col min="9730" max="9730" width="22" style="191" customWidth="1"/>
    <col min="9731" max="9731" width="13.85546875" style="191" customWidth="1"/>
    <col min="9732" max="9732" width="9.140625" style="191"/>
    <col min="9733" max="9733" width="14.42578125" style="191" customWidth="1"/>
    <col min="9734" max="9734" width="9.28515625" style="191" customWidth="1"/>
    <col min="9735" max="9735" width="14.42578125" style="191" customWidth="1"/>
    <col min="9736" max="9736" width="10.140625" style="191" customWidth="1"/>
    <col min="9737" max="9737" width="15" style="191" customWidth="1"/>
    <col min="9738" max="9738" width="9.140625" style="191"/>
    <col min="9739" max="9739" width="14.85546875" style="191" customWidth="1"/>
    <col min="9740" max="9747" width="9.140625" style="191"/>
    <col min="9748" max="9748" width="13" style="191" customWidth="1"/>
    <col min="9749" max="9749" width="9.140625" style="191"/>
    <col min="9750" max="9750" width="16.140625" style="191" customWidth="1"/>
    <col min="9751" max="9751" width="9.140625" style="191"/>
    <col min="9752" max="9753" width="12.85546875" style="191" customWidth="1"/>
    <col min="9754" max="9754" width="14.28515625" style="191" customWidth="1"/>
    <col min="9755" max="9757" width="9.140625" style="191"/>
    <col min="9758" max="9758" width="16.28515625" style="191" customWidth="1"/>
    <col min="9759" max="9759" width="9.140625" style="191"/>
    <col min="9760" max="9761" width="12.85546875" style="191" customWidth="1"/>
    <col min="9762" max="9762" width="16.140625" style="191" customWidth="1"/>
    <col min="9763" max="9764" width="9.140625" style="191"/>
    <col min="9765" max="9765" width="12.5703125" style="191" customWidth="1"/>
    <col min="9766" max="9976" width="9.140625" style="191"/>
    <col min="9977" max="9977" width="7" style="191" customWidth="1"/>
    <col min="9978" max="9978" width="12" style="191" customWidth="1"/>
    <col min="9979" max="9979" width="69.28515625" style="191" customWidth="1"/>
    <col min="9980" max="9980" width="12.7109375" style="191" customWidth="1"/>
    <col min="9981" max="9981" width="8.28515625" style="191" customWidth="1"/>
    <col min="9982" max="9982" width="17.85546875" style="191" customWidth="1"/>
    <col min="9983" max="9983" width="24.42578125" style="191" customWidth="1"/>
    <col min="9984" max="9984" width="10.7109375" style="191" customWidth="1"/>
    <col min="9985" max="9985" width="13.7109375" style="191" customWidth="1"/>
    <col min="9986" max="9986" width="22" style="191" customWidth="1"/>
    <col min="9987" max="9987" width="13.85546875" style="191" customWidth="1"/>
    <col min="9988" max="9988" width="9.140625" style="191"/>
    <col min="9989" max="9989" width="14.42578125" style="191" customWidth="1"/>
    <col min="9990" max="9990" width="9.28515625" style="191" customWidth="1"/>
    <col min="9991" max="9991" width="14.42578125" style="191" customWidth="1"/>
    <col min="9992" max="9992" width="10.140625" style="191" customWidth="1"/>
    <col min="9993" max="9993" width="15" style="191" customWidth="1"/>
    <col min="9994" max="9994" width="9.140625" style="191"/>
    <col min="9995" max="9995" width="14.85546875" style="191" customWidth="1"/>
    <col min="9996" max="10003" width="9.140625" style="191"/>
    <col min="10004" max="10004" width="13" style="191" customWidth="1"/>
    <col min="10005" max="10005" width="9.140625" style="191"/>
    <col min="10006" max="10006" width="16.140625" style="191" customWidth="1"/>
    <col min="10007" max="10007" width="9.140625" style="191"/>
    <col min="10008" max="10009" width="12.85546875" style="191" customWidth="1"/>
    <col min="10010" max="10010" width="14.28515625" style="191" customWidth="1"/>
    <col min="10011" max="10013" width="9.140625" style="191"/>
    <col min="10014" max="10014" width="16.28515625" style="191" customWidth="1"/>
    <col min="10015" max="10015" width="9.140625" style="191"/>
    <col min="10016" max="10017" width="12.85546875" style="191" customWidth="1"/>
    <col min="10018" max="10018" width="16.140625" style="191" customWidth="1"/>
    <col min="10019" max="10020" width="9.140625" style="191"/>
    <col min="10021" max="10021" width="12.5703125" style="191" customWidth="1"/>
    <col min="10022" max="10232" width="9.140625" style="191"/>
    <col min="10233" max="10233" width="7" style="191" customWidth="1"/>
    <col min="10234" max="10234" width="12" style="191" customWidth="1"/>
    <col min="10235" max="10235" width="69.28515625" style="191" customWidth="1"/>
    <col min="10236" max="10236" width="12.7109375" style="191" customWidth="1"/>
    <col min="10237" max="10237" width="8.28515625" style="191" customWidth="1"/>
    <col min="10238" max="10238" width="17.85546875" style="191" customWidth="1"/>
    <col min="10239" max="10239" width="24.42578125" style="191" customWidth="1"/>
    <col min="10240" max="10240" width="10.7109375" style="191" customWidth="1"/>
    <col min="10241" max="10241" width="13.7109375" style="191" customWidth="1"/>
    <col min="10242" max="10242" width="22" style="191" customWidth="1"/>
    <col min="10243" max="10243" width="13.85546875" style="191" customWidth="1"/>
    <col min="10244" max="10244" width="9.140625" style="191"/>
    <col min="10245" max="10245" width="14.42578125" style="191" customWidth="1"/>
    <col min="10246" max="10246" width="9.28515625" style="191" customWidth="1"/>
    <col min="10247" max="10247" width="14.42578125" style="191" customWidth="1"/>
    <col min="10248" max="10248" width="10.140625" style="191" customWidth="1"/>
    <col min="10249" max="10249" width="15" style="191" customWidth="1"/>
    <col min="10250" max="10250" width="9.140625" style="191"/>
    <col min="10251" max="10251" width="14.85546875" style="191" customWidth="1"/>
    <col min="10252" max="10259" width="9.140625" style="191"/>
    <col min="10260" max="10260" width="13" style="191" customWidth="1"/>
    <col min="10261" max="10261" width="9.140625" style="191"/>
    <col min="10262" max="10262" width="16.140625" style="191" customWidth="1"/>
    <col min="10263" max="10263" width="9.140625" style="191"/>
    <col min="10264" max="10265" width="12.85546875" style="191" customWidth="1"/>
    <col min="10266" max="10266" width="14.28515625" style="191" customWidth="1"/>
    <col min="10267" max="10269" width="9.140625" style="191"/>
    <col min="10270" max="10270" width="16.28515625" style="191" customWidth="1"/>
    <col min="10271" max="10271" width="9.140625" style="191"/>
    <col min="10272" max="10273" width="12.85546875" style="191" customWidth="1"/>
    <col min="10274" max="10274" width="16.140625" style="191" customWidth="1"/>
    <col min="10275" max="10276" width="9.140625" style="191"/>
    <col min="10277" max="10277" width="12.5703125" style="191" customWidth="1"/>
    <col min="10278" max="10488" width="9.140625" style="191"/>
    <col min="10489" max="10489" width="7" style="191" customWidth="1"/>
    <col min="10490" max="10490" width="12" style="191" customWidth="1"/>
    <col min="10491" max="10491" width="69.28515625" style="191" customWidth="1"/>
    <col min="10492" max="10492" width="12.7109375" style="191" customWidth="1"/>
    <col min="10493" max="10493" width="8.28515625" style="191" customWidth="1"/>
    <col min="10494" max="10494" width="17.85546875" style="191" customWidth="1"/>
    <col min="10495" max="10495" width="24.42578125" style="191" customWidth="1"/>
    <col min="10496" max="10496" width="10.7109375" style="191" customWidth="1"/>
    <col min="10497" max="10497" width="13.7109375" style="191" customWidth="1"/>
    <col min="10498" max="10498" width="22" style="191" customWidth="1"/>
    <col min="10499" max="10499" width="13.85546875" style="191" customWidth="1"/>
    <col min="10500" max="10500" width="9.140625" style="191"/>
    <col min="10501" max="10501" width="14.42578125" style="191" customWidth="1"/>
    <col min="10502" max="10502" width="9.28515625" style="191" customWidth="1"/>
    <col min="10503" max="10503" width="14.42578125" style="191" customWidth="1"/>
    <col min="10504" max="10504" width="10.140625" style="191" customWidth="1"/>
    <col min="10505" max="10505" width="15" style="191" customWidth="1"/>
    <col min="10506" max="10506" width="9.140625" style="191"/>
    <col min="10507" max="10507" width="14.85546875" style="191" customWidth="1"/>
    <col min="10508" max="10515" width="9.140625" style="191"/>
    <col min="10516" max="10516" width="13" style="191" customWidth="1"/>
    <col min="10517" max="10517" width="9.140625" style="191"/>
    <col min="10518" max="10518" width="16.140625" style="191" customWidth="1"/>
    <col min="10519" max="10519" width="9.140625" style="191"/>
    <col min="10520" max="10521" width="12.85546875" style="191" customWidth="1"/>
    <col min="10522" max="10522" width="14.28515625" style="191" customWidth="1"/>
    <col min="10523" max="10525" width="9.140625" style="191"/>
    <col min="10526" max="10526" width="16.28515625" style="191" customWidth="1"/>
    <col min="10527" max="10527" width="9.140625" style="191"/>
    <col min="10528" max="10529" width="12.85546875" style="191" customWidth="1"/>
    <col min="10530" max="10530" width="16.140625" style="191" customWidth="1"/>
    <col min="10531" max="10532" width="9.140625" style="191"/>
    <col min="10533" max="10533" width="12.5703125" style="191" customWidth="1"/>
    <col min="10534" max="10744" width="9.140625" style="191"/>
    <col min="10745" max="10745" width="7" style="191" customWidth="1"/>
    <col min="10746" max="10746" width="12" style="191" customWidth="1"/>
    <col min="10747" max="10747" width="69.28515625" style="191" customWidth="1"/>
    <col min="10748" max="10748" width="12.7109375" style="191" customWidth="1"/>
    <col min="10749" max="10749" width="8.28515625" style="191" customWidth="1"/>
    <col min="10750" max="10750" width="17.85546875" style="191" customWidth="1"/>
    <col min="10751" max="10751" width="24.42578125" style="191" customWidth="1"/>
    <col min="10752" max="10752" width="10.7109375" style="191" customWidth="1"/>
    <col min="10753" max="10753" width="13.7109375" style="191" customWidth="1"/>
    <col min="10754" max="10754" width="22" style="191" customWidth="1"/>
    <col min="10755" max="10755" width="13.85546875" style="191" customWidth="1"/>
    <col min="10756" max="10756" width="9.140625" style="191"/>
    <col min="10757" max="10757" width="14.42578125" style="191" customWidth="1"/>
    <col min="10758" max="10758" width="9.28515625" style="191" customWidth="1"/>
    <col min="10759" max="10759" width="14.42578125" style="191" customWidth="1"/>
    <col min="10760" max="10760" width="10.140625" style="191" customWidth="1"/>
    <col min="10761" max="10761" width="15" style="191" customWidth="1"/>
    <col min="10762" max="10762" width="9.140625" style="191"/>
    <col min="10763" max="10763" width="14.85546875" style="191" customWidth="1"/>
    <col min="10764" max="10771" width="9.140625" style="191"/>
    <col min="10772" max="10772" width="13" style="191" customWidth="1"/>
    <col min="10773" max="10773" width="9.140625" style="191"/>
    <col min="10774" max="10774" width="16.140625" style="191" customWidth="1"/>
    <col min="10775" max="10775" width="9.140625" style="191"/>
    <col min="10776" max="10777" width="12.85546875" style="191" customWidth="1"/>
    <col min="10778" max="10778" width="14.28515625" style="191" customWidth="1"/>
    <col min="10779" max="10781" width="9.140625" style="191"/>
    <col min="10782" max="10782" width="16.28515625" style="191" customWidth="1"/>
    <col min="10783" max="10783" width="9.140625" style="191"/>
    <col min="10784" max="10785" width="12.85546875" style="191" customWidth="1"/>
    <col min="10786" max="10786" width="16.140625" style="191" customWidth="1"/>
    <col min="10787" max="10788" width="9.140625" style="191"/>
    <col min="10789" max="10789" width="12.5703125" style="191" customWidth="1"/>
    <col min="10790" max="11000" width="9.140625" style="191"/>
    <col min="11001" max="11001" width="7" style="191" customWidth="1"/>
    <col min="11002" max="11002" width="12" style="191" customWidth="1"/>
    <col min="11003" max="11003" width="69.28515625" style="191" customWidth="1"/>
    <col min="11004" max="11004" width="12.7109375" style="191" customWidth="1"/>
    <col min="11005" max="11005" width="8.28515625" style="191" customWidth="1"/>
    <col min="11006" max="11006" width="17.85546875" style="191" customWidth="1"/>
    <col min="11007" max="11007" width="24.42578125" style="191" customWidth="1"/>
    <col min="11008" max="11008" width="10.7109375" style="191" customWidth="1"/>
    <col min="11009" max="11009" width="13.7109375" style="191" customWidth="1"/>
    <col min="11010" max="11010" width="22" style="191" customWidth="1"/>
    <col min="11011" max="11011" width="13.85546875" style="191" customWidth="1"/>
    <col min="11012" max="11012" width="9.140625" style="191"/>
    <col min="11013" max="11013" width="14.42578125" style="191" customWidth="1"/>
    <col min="11014" max="11014" width="9.28515625" style="191" customWidth="1"/>
    <col min="11015" max="11015" width="14.42578125" style="191" customWidth="1"/>
    <col min="11016" max="11016" width="10.140625" style="191" customWidth="1"/>
    <col min="11017" max="11017" width="15" style="191" customWidth="1"/>
    <col min="11018" max="11018" width="9.140625" style="191"/>
    <col min="11019" max="11019" width="14.85546875" style="191" customWidth="1"/>
    <col min="11020" max="11027" width="9.140625" style="191"/>
    <col min="11028" max="11028" width="13" style="191" customWidth="1"/>
    <col min="11029" max="11029" width="9.140625" style="191"/>
    <col min="11030" max="11030" width="16.140625" style="191" customWidth="1"/>
    <col min="11031" max="11031" width="9.140625" style="191"/>
    <col min="11032" max="11033" width="12.85546875" style="191" customWidth="1"/>
    <col min="11034" max="11034" width="14.28515625" style="191" customWidth="1"/>
    <col min="11035" max="11037" width="9.140625" style="191"/>
    <col min="11038" max="11038" width="16.28515625" style="191" customWidth="1"/>
    <col min="11039" max="11039" width="9.140625" style="191"/>
    <col min="11040" max="11041" width="12.85546875" style="191" customWidth="1"/>
    <col min="11042" max="11042" width="16.140625" style="191" customWidth="1"/>
    <col min="11043" max="11044" width="9.140625" style="191"/>
    <col min="11045" max="11045" width="12.5703125" style="191" customWidth="1"/>
    <col min="11046" max="11256" width="9.140625" style="191"/>
    <col min="11257" max="11257" width="7" style="191" customWidth="1"/>
    <col min="11258" max="11258" width="12" style="191" customWidth="1"/>
    <col min="11259" max="11259" width="69.28515625" style="191" customWidth="1"/>
    <col min="11260" max="11260" width="12.7109375" style="191" customWidth="1"/>
    <col min="11261" max="11261" width="8.28515625" style="191" customWidth="1"/>
    <col min="11262" max="11262" width="17.85546875" style="191" customWidth="1"/>
    <col min="11263" max="11263" width="24.42578125" style="191" customWidth="1"/>
    <col min="11264" max="11264" width="10.7109375" style="191" customWidth="1"/>
    <col min="11265" max="11265" width="13.7109375" style="191" customWidth="1"/>
    <col min="11266" max="11266" width="22" style="191" customWidth="1"/>
    <col min="11267" max="11267" width="13.85546875" style="191" customWidth="1"/>
    <col min="11268" max="11268" width="9.140625" style="191"/>
    <col min="11269" max="11269" width="14.42578125" style="191" customWidth="1"/>
    <col min="11270" max="11270" width="9.28515625" style="191" customWidth="1"/>
    <col min="11271" max="11271" width="14.42578125" style="191" customWidth="1"/>
    <col min="11272" max="11272" width="10.140625" style="191" customWidth="1"/>
    <col min="11273" max="11273" width="15" style="191" customWidth="1"/>
    <col min="11274" max="11274" width="9.140625" style="191"/>
    <col min="11275" max="11275" width="14.85546875" style="191" customWidth="1"/>
    <col min="11276" max="11283" width="9.140625" style="191"/>
    <col min="11284" max="11284" width="13" style="191" customWidth="1"/>
    <col min="11285" max="11285" width="9.140625" style="191"/>
    <col min="11286" max="11286" width="16.140625" style="191" customWidth="1"/>
    <col min="11287" max="11287" width="9.140625" style="191"/>
    <col min="11288" max="11289" width="12.85546875" style="191" customWidth="1"/>
    <col min="11290" max="11290" width="14.28515625" style="191" customWidth="1"/>
    <col min="11291" max="11293" width="9.140625" style="191"/>
    <col min="11294" max="11294" width="16.28515625" style="191" customWidth="1"/>
    <col min="11295" max="11295" width="9.140625" style="191"/>
    <col min="11296" max="11297" width="12.85546875" style="191" customWidth="1"/>
    <col min="11298" max="11298" width="16.140625" style="191" customWidth="1"/>
    <col min="11299" max="11300" width="9.140625" style="191"/>
    <col min="11301" max="11301" width="12.5703125" style="191" customWidth="1"/>
    <col min="11302" max="11512" width="9.140625" style="191"/>
    <col min="11513" max="11513" width="7" style="191" customWidth="1"/>
    <col min="11514" max="11514" width="12" style="191" customWidth="1"/>
    <col min="11515" max="11515" width="69.28515625" style="191" customWidth="1"/>
    <col min="11516" max="11516" width="12.7109375" style="191" customWidth="1"/>
    <col min="11517" max="11517" width="8.28515625" style="191" customWidth="1"/>
    <col min="11518" max="11518" width="17.85546875" style="191" customWidth="1"/>
    <col min="11519" max="11519" width="24.42578125" style="191" customWidth="1"/>
    <col min="11520" max="11520" width="10.7109375" style="191" customWidth="1"/>
    <col min="11521" max="11521" width="13.7109375" style="191" customWidth="1"/>
    <col min="11522" max="11522" width="22" style="191" customWidth="1"/>
    <col min="11523" max="11523" width="13.85546875" style="191" customWidth="1"/>
    <col min="11524" max="11524" width="9.140625" style="191"/>
    <col min="11525" max="11525" width="14.42578125" style="191" customWidth="1"/>
    <col min="11526" max="11526" width="9.28515625" style="191" customWidth="1"/>
    <col min="11527" max="11527" width="14.42578125" style="191" customWidth="1"/>
    <col min="11528" max="11528" width="10.140625" style="191" customWidth="1"/>
    <col min="11529" max="11529" width="15" style="191" customWidth="1"/>
    <col min="11530" max="11530" width="9.140625" style="191"/>
    <col min="11531" max="11531" width="14.85546875" style="191" customWidth="1"/>
    <col min="11532" max="11539" width="9.140625" style="191"/>
    <col min="11540" max="11540" width="13" style="191" customWidth="1"/>
    <col min="11541" max="11541" width="9.140625" style="191"/>
    <col min="11542" max="11542" width="16.140625" style="191" customWidth="1"/>
    <col min="11543" max="11543" width="9.140625" style="191"/>
    <col min="11544" max="11545" width="12.85546875" style="191" customWidth="1"/>
    <col min="11546" max="11546" width="14.28515625" style="191" customWidth="1"/>
    <col min="11547" max="11549" width="9.140625" style="191"/>
    <col min="11550" max="11550" width="16.28515625" style="191" customWidth="1"/>
    <col min="11551" max="11551" width="9.140625" style="191"/>
    <col min="11552" max="11553" width="12.85546875" style="191" customWidth="1"/>
    <col min="11554" max="11554" width="16.140625" style="191" customWidth="1"/>
    <col min="11555" max="11556" width="9.140625" style="191"/>
    <col min="11557" max="11557" width="12.5703125" style="191" customWidth="1"/>
    <col min="11558" max="11768" width="9.140625" style="191"/>
    <col min="11769" max="11769" width="7" style="191" customWidth="1"/>
    <col min="11770" max="11770" width="12" style="191" customWidth="1"/>
    <col min="11771" max="11771" width="69.28515625" style="191" customWidth="1"/>
    <col min="11772" max="11772" width="12.7109375" style="191" customWidth="1"/>
    <col min="11773" max="11773" width="8.28515625" style="191" customWidth="1"/>
    <col min="11774" max="11774" width="17.85546875" style="191" customWidth="1"/>
    <col min="11775" max="11775" width="24.42578125" style="191" customWidth="1"/>
    <col min="11776" max="11776" width="10.7109375" style="191" customWidth="1"/>
    <col min="11777" max="11777" width="13.7109375" style="191" customWidth="1"/>
    <col min="11778" max="11778" width="22" style="191" customWidth="1"/>
    <col min="11779" max="11779" width="13.85546875" style="191" customWidth="1"/>
    <col min="11780" max="11780" width="9.140625" style="191"/>
    <col min="11781" max="11781" width="14.42578125" style="191" customWidth="1"/>
    <col min="11782" max="11782" width="9.28515625" style="191" customWidth="1"/>
    <col min="11783" max="11783" width="14.42578125" style="191" customWidth="1"/>
    <col min="11784" max="11784" width="10.140625" style="191" customWidth="1"/>
    <col min="11785" max="11785" width="15" style="191" customWidth="1"/>
    <col min="11786" max="11786" width="9.140625" style="191"/>
    <col min="11787" max="11787" width="14.85546875" style="191" customWidth="1"/>
    <col min="11788" max="11795" width="9.140625" style="191"/>
    <col min="11796" max="11796" width="13" style="191" customWidth="1"/>
    <col min="11797" max="11797" width="9.140625" style="191"/>
    <col min="11798" max="11798" width="16.140625" style="191" customWidth="1"/>
    <col min="11799" max="11799" width="9.140625" style="191"/>
    <col min="11800" max="11801" width="12.85546875" style="191" customWidth="1"/>
    <col min="11802" max="11802" width="14.28515625" style="191" customWidth="1"/>
    <col min="11803" max="11805" width="9.140625" style="191"/>
    <col min="11806" max="11806" width="16.28515625" style="191" customWidth="1"/>
    <col min="11807" max="11807" width="9.140625" style="191"/>
    <col min="11808" max="11809" width="12.85546875" style="191" customWidth="1"/>
    <col min="11810" max="11810" width="16.140625" style="191" customWidth="1"/>
    <col min="11811" max="11812" width="9.140625" style="191"/>
    <col min="11813" max="11813" width="12.5703125" style="191" customWidth="1"/>
    <col min="11814" max="12024" width="9.140625" style="191"/>
    <col min="12025" max="12025" width="7" style="191" customWidth="1"/>
    <col min="12026" max="12026" width="12" style="191" customWidth="1"/>
    <col min="12027" max="12027" width="69.28515625" style="191" customWidth="1"/>
    <col min="12028" max="12028" width="12.7109375" style="191" customWidth="1"/>
    <col min="12029" max="12029" width="8.28515625" style="191" customWidth="1"/>
    <col min="12030" max="12030" width="17.85546875" style="191" customWidth="1"/>
    <col min="12031" max="12031" width="24.42578125" style="191" customWidth="1"/>
    <col min="12032" max="12032" width="10.7109375" style="191" customWidth="1"/>
    <col min="12033" max="12033" width="13.7109375" style="191" customWidth="1"/>
    <col min="12034" max="12034" width="22" style="191" customWidth="1"/>
    <col min="12035" max="12035" width="13.85546875" style="191" customWidth="1"/>
    <col min="12036" max="12036" width="9.140625" style="191"/>
    <col min="12037" max="12037" width="14.42578125" style="191" customWidth="1"/>
    <col min="12038" max="12038" width="9.28515625" style="191" customWidth="1"/>
    <col min="12039" max="12039" width="14.42578125" style="191" customWidth="1"/>
    <col min="12040" max="12040" width="10.140625" style="191" customWidth="1"/>
    <col min="12041" max="12041" width="15" style="191" customWidth="1"/>
    <col min="12042" max="12042" width="9.140625" style="191"/>
    <col min="12043" max="12043" width="14.85546875" style="191" customWidth="1"/>
    <col min="12044" max="12051" width="9.140625" style="191"/>
    <col min="12052" max="12052" width="13" style="191" customWidth="1"/>
    <col min="12053" max="12053" width="9.140625" style="191"/>
    <col min="12054" max="12054" width="16.140625" style="191" customWidth="1"/>
    <col min="12055" max="12055" width="9.140625" style="191"/>
    <col min="12056" max="12057" width="12.85546875" style="191" customWidth="1"/>
    <col min="12058" max="12058" width="14.28515625" style="191" customWidth="1"/>
    <col min="12059" max="12061" width="9.140625" style="191"/>
    <col min="12062" max="12062" width="16.28515625" style="191" customWidth="1"/>
    <col min="12063" max="12063" width="9.140625" style="191"/>
    <col min="12064" max="12065" width="12.85546875" style="191" customWidth="1"/>
    <col min="12066" max="12066" width="16.140625" style="191" customWidth="1"/>
    <col min="12067" max="12068" width="9.140625" style="191"/>
    <col min="12069" max="12069" width="12.5703125" style="191" customWidth="1"/>
    <col min="12070" max="12280" width="9.140625" style="191"/>
    <col min="12281" max="12281" width="7" style="191" customWidth="1"/>
    <col min="12282" max="12282" width="12" style="191" customWidth="1"/>
    <col min="12283" max="12283" width="69.28515625" style="191" customWidth="1"/>
    <col min="12284" max="12284" width="12.7109375" style="191" customWidth="1"/>
    <col min="12285" max="12285" width="8.28515625" style="191" customWidth="1"/>
    <col min="12286" max="12286" width="17.85546875" style="191" customWidth="1"/>
    <col min="12287" max="12287" width="24.42578125" style="191" customWidth="1"/>
    <col min="12288" max="12288" width="10.7109375" style="191" customWidth="1"/>
    <col min="12289" max="12289" width="13.7109375" style="191" customWidth="1"/>
    <col min="12290" max="12290" width="22" style="191" customWidth="1"/>
    <col min="12291" max="12291" width="13.85546875" style="191" customWidth="1"/>
    <col min="12292" max="12292" width="9.140625" style="191"/>
    <col min="12293" max="12293" width="14.42578125" style="191" customWidth="1"/>
    <col min="12294" max="12294" width="9.28515625" style="191" customWidth="1"/>
    <col min="12295" max="12295" width="14.42578125" style="191" customWidth="1"/>
    <col min="12296" max="12296" width="10.140625" style="191" customWidth="1"/>
    <col min="12297" max="12297" width="15" style="191" customWidth="1"/>
    <col min="12298" max="12298" width="9.140625" style="191"/>
    <col min="12299" max="12299" width="14.85546875" style="191" customWidth="1"/>
    <col min="12300" max="12307" width="9.140625" style="191"/>
    <col min="12308" max="12308" width="13" style="191" customWidth="1"/>
    <col min="12309" max="12309" width="9.140625" style="191"/>
    <col min="12310" max="12310" width="16.140625" style="191" customWidth="1"/>
    <col min="12311" max="12311" width="9.140625" style="191"/>
    <col min="12312" max="12313" width="12.85546875" style="191" customWidth="1"/>
    <col min="12314" max="12314" width="14.28515625" style="191" customWidth="1"/>
    <col min="12315" max="12317" width="9.140625" style="191"/>
    <col min="12318" max="12318" width="16.28515625" style="191" customWidth="1"/>
    <col min="12319" max="12319" width="9.140625" style="191"/>
    <col min="12320" max="12321" width="12.85546875" style="191" customWidth="1"/>
    <col min="12322" max="12322" width="16.140625" style="191" customWidth="1"/>
    <col min="12323" max="12324" width="9.140625" style="191"/>
    <col min="12325" max="12325" width="12.5703125" style="191" customWidth="1"/>
    <col min="12326" max="12536" width="9.140625" style="191"/>
    <col min="12537" max="12537" width="7" style="191" customWidth="1"/>
    <col min="12538" max="12538" width="12" style="191" customWidth="1"/>
    <col min="12539" max="12539" width="69.28515625" style="191" customWidth="1"/>
    <col min="12540" max="12540" width="12.7109375" style="191" customWidth="1"/>
    <col min="12541" max="12541" width="8.28515625" style="191" customWidth="1"/>
    <col min="12542" max="12542" width="17.85546875" style="191" customWidth="1"/>
    <col min="12543" max="12543" width="24.42578125" style="191" customWidth="1"/>
    <col min="12544" max="12544" width="10.7109375" style="191" customWidth="1"/>
    <col min="12545" max="12545" width="13.7109375" style="191" customWidth="1"/>
    <col min="12546" max="12546" width="22" style="191" customWidth="1"/>
    <col min="12547" max="12547" width="13.85546875" style="191" customWidth="1"/>
    <col min="12548" max="12548" width="9.140625" style="191"/>
    <col min="12549" max="12549" width="14.42578125" style="191" customWidth="1"/>
    <col min="12550" max="12550" width="9.28515625" style="191" customWidth="1"/>
    <col min="12551" max="12551" width="14.42578125" style="191" customWidth="1"/>
    <col min="12552" max="12552" width="10.140625" style="191" customWidth="1"/>
    <col min="12553" max="12553" width="15" style="191" customWidth="1"/>
    <col min="12554" max="12554" width="9.140625" style="191"/>
    <col min="12555" max="12555" width="14.85546875" style="191" customWidth="1"/>
    <col min="12556" max="12563" width="9.140625" style="191"/>
    <col min="12564" max="12564" width="13" style="191" customWidth="1"/>
    <col min="12565" max="12565" width="9.140625" style="191"/>
    <col min="12566" max="12566" width="16.140625" style="191" customWidth="1"/>
    <col min="12567" max="12567" width="9.140625" style="191"/>
    <col min="12568" max="12569" width="12.85546875" style="191" customWidth="1"/>
    <col min="12570" max="12570" width="14.28515625" style="191" customWidth="1"/>
    <col min="12571" max="12573" width="9.140625" style="191"/>
    <col min="12574" max="12574" width="16.28515625" style="191" customWidth="1"/>
    <col min="12575" max="12575" width="9.140625" style="191"/>
    <col min="12576" max="12577" width="12.85546875" style="191" customWidth="1"/>
    <col min="12578" max="12578" width="16.140625" style="191" customWidth="1"/>
    <col min="12579" max="12580" width="9.140625" style="191"/>
    <col min="12581" max="12581" width="12.5703125" style="191" customWidth="1"/>
    <col min="12582" max="12792" width="9.140625" style="191"/>
    <col min="12793" max="12793" width="7" style="191" customWidth="1"/>
    <col min="12794" max="12794" width="12" style="191" customWidth="1"/>
    <col min="12795" max="12795" width="69.28515625" style="191" customWidth="1"/>
    <col min="12796" max="12796" width="12.7109375" style="191" customWidth="1"/>
    <col min="12797" max="12797" width="8.28515625" style="191" customWidth="1"/>
    <col min="12798" max="12798" width="17.85546875" style="191" customWidth="1"/>
    <col min="12799" max="12799" width="24.42578125" style="191" customWidth="1"/>
    <col min="12800" max="12800" width="10.7109375" style="191" customWidth="1"/>
    <col min="12801" max="12801" width="13.7109375" style="191" customWidth="1"/>
    <col min="12802" max="12802" width="22" style="191" customWidth="1"/>
    <col min="12803" max="12803" width="13.85546875" style="191" customWidth="1"/>
    <col min="12804" max="12804" width="9.140625" style="191"/>
    <col min="12805" max="12805" width="14.42578125" style="191" customWidth="1"/>
    <col min="12806" max="12806" width="9.28515625" style="191" customWidth="1"/>
    <col min="12807" max="12807" width="14.42578125" style="191" customWidth="1"/>
    <col min="12808" max="12808" width="10.140625" style="191" customWidth="1"/>
    <col min="12809" max="12809" width="15" style="191" customWidth="1"/>
    <col min="12810" max="12810" width="9.140625" style="191"/>
    <col min="12811" max="12811" width="14.85546875" style="191" customWidth="1"/>
    <col min="12812" max="12819" width="9.140625" style="191"/>
    <col min="12820" max="12820" width="13" style="191" customWidth="1"/>
    <col min="12821" max="12821" width="9.140625" style="191"/>
    <col min="12822" max="12822" width="16.140625" style="191" customWidth="1"/>
    <col min="12823" max="12823" width="9.140625" style="191"/>
    <col min="12824" max="12825" width="12.85546875" style="191" customWidth="1"/>
    <col min="12826" max="12826" width="14.28515625" style="191" customWidth="1"/>
    <col min="12827" max="12829" width="9.140625" style="191"/>
    <col min="12830" max="12830" width="16.28515625" style="191" customWidth="1"/>
    <col min="12831" max="12831" width="9.140625" style="191"/>
    <col min="12832" max="12833" width="12.85546875" style="191" customWidth="1"/>
    <col min="12834" max="12834" width="16.140625" style="191" customWidth="1"/>
    <col min="12835" max="12836" width="9.140625" style="191"/>
    <col min="12837" max="12837" width="12.5703125" style="191" customWidth="1"/>
    <col min="12838" max="13048" width="9.140625" style="191"/>
    <col min="13049" max="13049" width="7" style="191" customWidth="1"/>
    <col min="13050" max="13050" width="12" style="191" customWidth="1"/>
    <col min="13051" max="13051" width="69.28515625" style="191" customWidth="1"/>
    <col min="13052" max="13052" width="12.7109375" style="191" customWidth="1"/>
    <col min="13053" max="13053" width="8.28515625" style="191" customWidth="1"/>
    <col min="13054" max="13054" width="17.85546875" style="191" customWidth="1"/>
    <col min="13055" max="13055" width="24.42578125" style="191" customWidth="1"/>
    <col min="13056" max="13056" width="10.7109375" style="191" customWidth="1"/>
    <col min="13057" max="13057" width="13.7109375" style="191" customWidth="1"/>
    <col min="13058" max="13058" width="22" style="191" customWidth="1"/>
    <col min="13059" max="13059" width="13.85546875" style="191" customWidth="1"/>
    <col min="13060" max="13060" width="9.140625" style="191"/>
    <col min="13061" max="13061" width="14.42578125" style="191" customWidth="1"/>
    <col min="13062" max="13062" width="9.28515625" style="191" customWidth="1"/>
    <col min="13063" max="13063" width="14.42578125" style="191" customWidth="1"/>
    <col min="13064" max="13064" width="10.140625" style="191" customWidth="1"/>
    <col min="13065" max="13065" width="15" style="191" customWidth="1"/>
    <col min="13066" max="13066" width="9.140625" style="191"/>
    <col min="13067" max="13067" width="14.85546875" style="191" customWidth="1"/>
    <col min="13068" max="13075" width="9.140625" style="191"/>
    <col min="13076" max="13076" width="13" style="191" customWidth="1"/>
    <col min="13077" max="13077" width="9.140625" style="191"/>
    <col min="13078" max="13078" width="16.140625" style="191" customWidth="1"/>
    <col min="13079" max="13079" width="9.140625" style="191"/>
    <col min="13080" max="13081" width="12.85546875" style="191" customWidth="1"/>
    <col min="13082" max="13082" width="14.28515625" style="191" customWidth="1"/>
    <col min="13083" max="13085" width="9.140625" style="191"/>
    <col min="13086" max="13086" width="16.28515625" style="191" customWidth="1"/>
    <col min="13087" max="13087" width="9.140625" style="191"/>
    <col min="13088" max="13089" width="12.85546875" style="191" customWidth="1"/>
    <col min="13090" max="13090" width="16.140625" style="191" customWidth="1"/>
    <col min="13091" max="13092" width="9.140625" style="191"/>
    <col min="13093" max="13093" width="12.5703125" style="191" customWidth="1"/>
    <col min="13094" max="13304" width="9.140625" style="191"/>
    <col min="13305" max="13305" width="7" style="191" customWidth="1"/>
    <col min="13306" max="13306" width="12" style="191" customWidth="1"/>
    <col min="13307" max="13307" width="69.28515625" style="191" customWidth="1"/>
    <col min="13308" max="13308" width="12.7109375" style="191" customWidth="1"/>
    <col min="13309" max="13309" width="8.28515625" style="191" customWidth="1"/>
    <col min="13310" max="13310" width="17.85546875" style="191" customWidth="1"/>
    <col min="13311" max="13311" width="24.42578125" style="191" customWidth="1"/>
    <col min="13312" max="13312" width="10.7109375" style="191" customWidth="1"/>
    <col min="13313" max="13313" width="13.7109375" style="191" customWidth="1"/>
    <col min="13314" max="13314" width="22" style="191" customWidth="1"/>
    <col min="13315" max="13315" width="13.85546875" style="191" customWidth="1"/>
    <col min="13316" max="13316" width="9.140625" style="191"/>
    <col min="13317" max="13317" width="14.42578125" style="191" customWidth="1"/>
    <col min="13318" max="13318" width="9.28515625" style="191" customWidth="1"/>
    <col min="13319" max="13319" width="14.42578125" style="191" customWidth="1"/>
    <col min="13320" max="13320" width="10.140625" style="191" customWidth="1"/>
    <col min="13321" max="13321" width="15" style="191" customWidth="1"/>
    <col min="13322" max="13322" width="9.140625" style="191"/>
    <col min="13323" max="13323" width="14.85546875" style="191" customWidth="1"/>
    <col min="13324" max="13331" width="9.140625" style="191"/>
    <col min="13332" max="13332" width="13" style="191" customWidth="1"/>
    <col min="13333" max="13333" width="9.140625" style="191"/>
    <col min="13334" max="13334" width="16.140625" style="191" customWidth="1"/>
    <col min="13335" max="13335" width="9.140625" style="191"/>
    <col min="13336" max="13337" width="12.85546875" style="191" customWidth="1"/>
    <col min="13338" max="13338" width="14.28515625" style="191" customWidth="1"/>
    <col min="13339" max="13341" width="9.140625" style="191"/>
    <col min="13342" max="13342" width="16.28515625" style="191" customWidth="1"/>
    <col min="13343" max="13343" width="9.140625" style="191"/>
    <col min="13344" max="13345" width="12.85546875" style="191" customWidth="1"/>
    <col min="13346" max="13346" width="16.140625" style="191" customWidth="1"/>
    <col min="13347" max="13348" width="9.140625" style="191"/>
    <col min="13349" max="13349" width="12.5703125" style="191" customWidth="1"/>
    <col min="13350" max="13560" width="9.140625" style="191"/>
    <col min="13561" max="13561" width="7" style="191" customWidth="1"/>
    <col min="13562" max="13562" width="12" style="191" customWidth="1"/>
    <col min="13563" max="13563" width="69.28515625" style="191" customWidth="1"/>
    <col min="13564" max="13564" width="12.7109375" style="191" customWidth="1"/>
    <col min="13565" max="13565" width="8.28515625" style="191" customWidth="1"/>
    <col min="13566" max="13566" width="17.85546875" style="191" customWidth="1"/>
    <col min="13567" max="13567" width="24.42578125" style="191" customWidth="1"/>
    <col min="13568" max="13568" width="10.7109375" style="191" customWidth="1"/>
    <col min="13569" max="13569" width="13.7109375" style="191" customWidth="1"/>
    <col min="13570" max="13570" width="22" style="191" customWidth="1"/>
    <col min="13571" max="13571" width="13.85546875" style="191" customWidth="1"/>
    <col min="13572" max="13572" width="9.140625" style="191"/>
    <col min="13573" max="13573" width="14.42578125" style="191" customWidth="1"/>
    <col min="13574" max="13574" width="9.28515625" style="191" customWidth="1"/>
    <col min="13575" max="13575" width="14.42578125" style="191" customWidth="1"/>
    <col min="13576" max="13576" width="10.140625" style="191" customWidth="1"/>
    <col min="13577" max="13577" width="15" style="191" customWidth="1"/>
    <col min="13578" max="13578" width="9.140625" style="191"/>
    <col min="13579" max="13579" width="14.85546875" style="191" customWidth="1"/>
    <col min="13580" max="13587" width="9.140625" style="191"/>
    <col min="13588" max="13588" width="13" style="191" customWidth="1"/>
    <col min="13589" max="13589" width="9.140625" style="191"/>
    <col min="13590" max="13590" width="16.140625" style="191" customWidth="1"/>
    <col min="13591" max="13591" width="9.140625" style="191"/>
    <col min="13592" max="13593" width="12.85546875" style="191" customWidth="1"/>
    <col min="13594" max="13594" width="14.28515625" style="191" customWidth="1"/>
    <col min="13595" max="13597" width="9.140625" style="191"/>
    <col min="13598" max="13598" width="16.28515625" style="191" customWidth="1"/>
    <col min="13599" max="13599" width="9.140625" style="191"/>
    <col min="13600" max="13601" width="12.85546875" style="191" customWidth="1"/>
    <col min="13602" max="13602" width="16.140625" style="191" customWidth="1"/>
    <col min="13603" max="13604" width="9.140625" style="191"/>
    <col min="13605" max="13605" width="12.5703125" style="191" customWidth="1"/>
    <col min="13606" max="13816" width="9.140625" style="191"/>
    <col min="13817" max="13817" width="7" style="191" customWidth="1"/>
    <col min="13818" max="13818" width="12" style="191" customWidth="1"/>
    <col min="13819" max="13819" width="69.28515625" style="191" customWidth="1"/>
    <col min="13820" max="13820" width="12.7109375" style="191" customWidth="1"/>
    <col min="13821" max="13821" width="8.28515625" style="191" customWidth="1"/>
    <col min="13822" max="13822" width="17.85546875" style="191" customWidth="1"/>
    <col min="13823" max="13823" width="24.42578125" style="191" customWidth="1"/>
    <col min="13824" max="13824" width="10.7109375" style="191" customWidth="1"/>
    <col min="13825" max="13825" width="13.7109375" style="191" customWidth="1"/>
    <col min="13826" max="13826" width="22" style="191" customWidth="1"/>
    <col min="13827" max="13827" width="13.85546875" style="191" customWidth="1"/>
    <col min="13828" max="13828" width="9.140625" style="191"/>
    <col min="13829" max="13829" width="14.42578125" style="191" customWidth="1"/>
    <col min="13830" max="13830" width="9.28515625" style="191" customWidth="1"/>
    <col min="13831" max="13831" width="14.42578125" style="191" customWidth="1"/>
    <col min="13832" max="13832" width="10.140625" style="191" customWidth="1"/>
    <col min="13833" max="13833" width="15" style="191" customWidth="1"/>
    <col min="13834" max="13834" width="9.140625" style="191"/>
    <col min="13835" max="13835" width="14.85546875" style="191" customWidth="1"/>
    <col min="13836" max="13843" width="9.140625" style="191"/>
    <col min="13844" max="13844" width="13" style="191" customWidth="1"/>
    <col min="13845" max="13845" width="9.140625" style="191"/>
    <col min="13846" max="13846" width="16.140625" style="191" customWidth="1"/>
    <col min="13847" max="13847" width="9.140625" style="191"/>
    <col min="13848" max="13849" width="12.85546875" style="191" customWidth="1"/>
    <col min="13850" max="13850" width="14.28515625" style="191" customWidth="1"/>
    <col min="13851" max="13853" width="9.140625" style="191"/>
    <col min="13854" max="13854" width="16.28515625" style="191" customWidth="1"/>
    <col min="13855" max="13855" width="9.140625" style="191"/>
    <col min="13856" max="13857" width="12.85546875" style="191" customWidth="1"/>
    <col min="13858" max="13858" width="16.140625" style="191" customWidth="1"/>
    <col min="13859" max="13860" width="9.140625" style="191"/>
    <col min="13861" max="13861" width="12.5703125" style="191" customWidth="1"/>
    <col min="13862" max="14072" width="9.140625" style="191"/>
    <col min="14073" max="14073" width="7" style="191" customWidth="1"/>
    <col min="14074" max="14074" width="12" style="191" customWidth="1"/>
    <col min="14075" max="14075" width="69.28515625" style="191" customWidth="1"/>
    <col min="14076" max="14076" width="12.7109375" style="191" customWidth="1"/>
    <col min="14077" max="14077" width="8.28515625" style="191" customWidth="1"/>
    <col min="14078" max="14078" width="17.85546875" style="191" customWidth="1"/>
    <col min="14079" max="14079" width="24.42578125" style="191" customWidth="1"/>
    <col min="14080" max="14080" width="10.7109375" style="191" customWidth="1"/>
    <col min="14081" max="14081" width="13.7109375" style="191" customWidth="1"/>
    <col min="14082" max="14082" width="22" style="191" customWidth="1"/>
    <col min="14083" max="14083" width="13.85546875" style="191" customWidth="1"/>
    <col min="14084" max="14084" width="9.140625" style="191"/>
    <col min="14085" max="14085" width="14.42578125" style="191" customWidth="1"/>
    <col min="14086" max="14086" width="9.28515625" style="191" customWidth="1"/>
    <col min="14087" max="14087" width="14.42578125" style="191" customWidth="1"/>
    <col min="14088" max="14088" width="10.140625" style="191" customWidth="1"/>
    <col min="14089" max="14089" width="15" style="191" customWidth="1"/>
    <col min="14090" max="14090" width="9.140625" style="191"/>
    <col min="14091" max="14091" width="14.85546875" style="191" customWidth="1"/>
    <col min="14092" max="14099" width="9.140625" style="191"/>
    <col min="14100" max="14100" width="13" style="191" customWidth="1"/>
    <col min="14101" max="14101" width="9.140625" style="191"/>
    <col min="14102" max="14102" width="16.140625" style="191" customWidth="1"/>
    <col min="14103" max="14103" width="9.140625" style="191"/>
    <col min="14104" max="14105" width="12.85546875" style="191" customWidth="1"/>
    <col min="14106" max="14106" width="14.28515625" style="191" customWidth="1"/>
    <col min="14107" max="14109" width="9.140625" style="191"/>
    <col min="14110" max="14110" width="16.28515625" style="191" customWidth="1"/>
    <col min="14111" max="14111" width="9.140625" style="191"/>
    <col min="14112" max="14113" width="12.85546875" style="191" customWidth="1"/>
    <col min="14114" max="14114" width="16.140625" style="191" customWidth="1"/>
    <col min="14115" max="14116" width="9.140625" style="191"/>
    <col min="14117" max="14117" width="12.5703125" style="191" customWidth="1"/>
    <col min="14118" max="14328" width="9.140625" style="191"/>
    <col min="14329" max="14329" width="7" style="191" customWidth="1"/>
    <col min="14330" max="14330" width="12" style="191" customWidth="1"/>
    <col min="14331" max="14331" width="69.28515625" style="191" customWidth="1"/>
    <col min="14332" max="14332" width="12.7109375" style="191" customWidth="1"/>
    <col min="14333" max="14333" width="8.28515625" style="191" customWidth="1"/>
    <col min="14334" max="14334" width="17.85546875" style="191" customWidth="1"/>
    <col min="14335" max="14335" width="24.42578125" style="191" customWidth="1"/>
    <col min="14336" max="14336" width="10.7109375" style="191" customWidth="1"/>
    <col min="14337" max="14337" width="13.7109375" style="191" customWidth="1"/>
    <col min="14338" max="14338" width="22" style="191" customWidth="1"/>
    <col min="14339" max="14339" width="13.85546875" style="191" customWidth="1"/>
    <col min="14340" max="14340" width="9.140625" style="191"/>
    <col min="14341" max="14341" width="14.42578125" style="191" customWidth="1"/>
    <col min="14342" max="14342" width="9.28515625" style="191" customWidth="1"/>
    <col min="14343" max="14343" width="14.42578125" style="191" customWidth="1"/>
    <col min="14344" max="14344" width="10.140625" style="191" customWidth="1"/>
    <col min="14345" max="14345" width="15" style="191" customWidth="1"/>
    <col min="14346" max="14346" width="9.140625" style="191"/>
    <col min="14347" max="14347" width="14.85546875" style="191" customWidth="1"/>
    <col min="14348" max="14355" width="9.140625" style="191"/>
    <col min="14356" max="14356" width="13" style="191" customWidth="1"/>
    <col min="14357" max="14357" width="9.140625" style="191"/>
    <col min="14358" max="14358" width="16.140625" style="191" customWidth="1"/>
    <col min="14359" max="14359" width="9.140625" style="191"/>
    <col min="14360" max="14361" width="12.85546875" style="191" customWidth="1"/>
    <col min="14362" max="14362" width="14.28515625" style="191" customWidth="1"/>
    <col min="14363" max="14365" width="9.140625" style="191"/>
    <col min="14366" max="14366" width="16.28515625" style="191" customWidth="1"/>
    <col min="14367" max="14367" width="9.140625" style="191"/>
    <col min="14368" max="14369" width="12.85546875" style="191" customWidth="1"/>
    <col min="14370" max="14370" width="16.140625" style="191" customWidth="1"/>
    <col min="14371" max="14372" width="9.140625" style="191"/>
    <col min="14373" max="14373" width="12.5703125" style="191" customWidth="1"/>
    <col min="14374" max="14584" width="9.140625" style="191"/>
    <col min="14585" max="14585" width="7" style="191" customWidth="1"/>
    <col min="14586" max="14586" width="12" style="191" customWidth="1"/>
    <col min="14587" max="14587" width="69.28515625" style="191" customWidth="1"/>
    <col min="14588" max="14588" width="12.7109375" style="191" customWidth="1"/>
    <col min="14589" max="14589" width="8.28515625" style="191" customWidth="1"/>
    <col min="14590" max="14590" width="17.85546875" style="191" customWidth="1"/>
    <col min="14591" max="14591" width="24.42578125" style="191" customWidth="1"/>
    <col min="14592" max="14592" width="10.7109375" style="191" customWidth="1"/>
    <col min="14593" max="14593" width="13.7109375" style="191" customWidth="1"/>
    <col min="14594" max="14594" width="22" style="191" customWidth="1"/>
    <col min="14595" max="14595" width="13.85546875" style="191" customWidth="1"/>
    <col min="14596" max="14596" width="9.140625" style="191"/>
    <col min="14597" max="14597" width="14.42578125" style="191" customWidth="1"/>
    <col min="14598" max="14598" width="9.28515625" style="191" customWidth="1"/>
    <col min="14599" max="14599" width="14.42578125" style="191" customWidth="1"/>
    <col min="14600" max="14600" width="10.140625" style="191" customWidth="1"/>
    <col min="14601" max="14601" width="15" style="191" customWidth="1"/>
    <col min="14602" max="14602" width="9.140625" style="191"/>
    <col min="14603" max="14603" width="14.85546875" style="191" customWidth="1"/>
    <col min="14604" max="14611" width="9.140625" style="191"/>
    <col min="14612" max="14612" width="13" style="191" customWidth="1"/>
    <col min="14613" max="14613" width="9.140625" style="191"/>
    <col min="14614" max="14614" width="16.140625" style="191" customWidth="1"/>
    <col min="14615" max="14615" width="9.140625" style="191"/>
    <col min="14616" max="14617" width="12.85546875" style="191" customWidth="1"/>
    <col min="14618" max="14618" width="14.28515625" style="191" customWidth="1"/>
    <col min="14619" max="14621" width="9.140625" style="191"/>
    <col min="14622" max="14622" width="16.28515625" style="191" customWidth="1"/>
    <col min="14623" max="14623" width="9.140625" style="191"/>
    <col min="14624" max="14625" width="12.85546875" style="191" customWidth="1"/>
    <col min="14626" max="14626" width="16.140625" style="191" customWidth="1"/>
    <col min="14627" max="14628" width="9.140625" style="191"/>
    <col min="14629" max="14629" width="12.5703125" style="191" customWidth="1"/>
    <col min="14630" max="14840" width="9.140625" style="191"/>
    <col min="14841" max="14841" width="7" style="191" customWidth="1"/>
    <col min="14842" max="14842" width="12" style="191" customWidth="1"/>
    <col min="14843" max="14843" width="69.28515625" style="191" customWidth="1"/>
    <col min="14844" max="14844" width="12.7109375" style="191" customWidth="1"/>
    <col min="14845" max="14845" width="8.28515625" style="191" customWidth="1"/>
    <col min="14846" max="14846" width="17.85546875" style="191" customWidth="1"/>
    <col min="14847" max="14847" width="24.42578125" style="191" customWidth="1"/>
    <col min="14848" max="14848" width="10.7109375" style="191" customWidth="1"/>
    <col min="14849" max="14849" width="13.7109375" style="191" customWidth="1"/>
    <col min="14850" max="14850" width="22" style="191" customWidth="1"/>
    <col min="14851" max="14851" width="13.85546875" style="191" customWidth="1"/>
    <col min="14852" max="14852" width="9.140625" style="191"/>
    <col min="14853" max="14853" width="14.42578125" style="191" customWidth="1"/>
    <col min="14854" max="14854" width="9.28515625" style="191" customWidth="1"/>
    <col min="14855" max="14855" width="14.42578125" style="191" customWidth="1"/>
    <col min="14856" max="14856" width="10.140625" style="191" customWidth="1"/>
    <col min="14857" max="14857" width="15" style="191" customWidth="1"/>
    <col min="14858" max="14858" width="9.140625" style="191"/>
    <col min="14859" max="14859" width="14.85546875" style="191" customWidth="1"/>
    <col min="14860" max="14867" width="9.140625" style="191"/>
    <col min="14868" max="14868" width="13" style="191" customWidth="1"/>
    <col min="14869" max="14869" width="9.140625" style="191"/>
    <col min="14870" max="14870" width="16.140625" style="191" customWidth="1"/>
    <col min="14871" max="14871" width="9.140625" style="191"/>
    <col min="14872" max="14873" width="12.85546875" style="191" customWidth="1"/>
    <col min="14874" max="14874" width="14.28515625" style="191" customWidth="1"/>
    <col min="14875" max="14877" width="9.140625" style="191"/>
    <col min="14878" max="14878" width="16.28515625" style="191" customWidth="1"/>
    <col min="14879" max="14879" width="9.140625" style="191"/>
    <col min="14880" max="14881" width="12.85546875" style="191" customWidth="1"/>
    <col min="14882" max="14882" width="16.140625" style="191" customWidth="1"/>
    <col min="14883" max="14884" width="9.140625" style="191"/>
    <col min="14885" max="14885" width="12.5703125" style="191" customWidth="1"/>
    <col min="14886" max="15096" width="9.140625" style="191"/>
    <col min="15097" max="15097" width="7" style="191" customWidth="1"/>
    <col min="15098" max="15098" width="12" style="191" customWidth="1"/>
    <col min="15099" max="15099" width="69.28515625" style="191" customWidth="1"/>
    <col min="15100" max="15100" width="12.7109375" style="191" customWidth="1"/>
    <col min="15101" max="15101" width="8.28515625" style="191" customWidth="1"/>
    <col min="15102" max="15102" width="17.85546875" style="191" customWidth="1"/>
    <col min="15103" max="15103" width="24.42578125" style="191" customWidth="1"/>
    <col min="15104" max="15104" width="10.7109375" style="191" customWidth="1"/>
    <col min="15105" max="15105" width="13.7109375" style="191" customWidth="1"/>
    <col min="15106" max="15106" width="22" style="191" customWidth="1"/>
    <col min="15107" max="15107" width="13.85546875" style="191" customWidth="1"/>
    <col min="15108" max="15108" width="9.140625" style="191"/>
    <col min="15109" max="15109" width="14.42578125" style="191" customWidth="1"/>
    <col min="15110" max="15110" width="9.28515625" style="191" customWidth="1"/>
    <col min="15111" max="15111" width="14.42578125" style="191" customWidth="1"/>
    <col min="15112" max="15112" width="10.140625" style="191" customWidth="1"/>
    <col min="15113" max="15113" width="15" style="191" customWidth="1"/>
    <col min="15114" max="15114" width="9.140625" style="191"/>
    <col min="15115" max="15115" width="14.85546875" style="191" customWidth="1"/>
    <col min="15116" max="15123" width="9.140625" style="191"/>
    <col min="15124" max="15124" width="13" style="191" customWidth="1"/>
    <col min="15125" max="15125" width="9.140625" style="191"/>
    <col min="15126" max="15126" width="16.140625" style="191" customWidth="1"/>
    <col min="15127" max="15127" width="9.140625" style="191"/>
    <col min="15128" max="15129" width="12.85546875" style="191" customWidth="1"/>
    <col min="15130" max="15130" width="14.28515625" style="191" customWidth="1"/>
    <col min="15131" max="15133" width="9.140625" style="191"/>
    <col min="15134" max="15134" width="16.28515625" style="191" customWidth="1"/>
    <col min="15135" max="15135" width="9.140625" style="191"/>
    <col min="15136" max="15137" width="12.85546875" style="191" customWidth="1"/>
    <col min="15138" max="15138" width="16.140625" style="191" customWidth="1"/>
    <col min="15139" max="15140" width="9.140625" style="191"/>
    <col min="15141" max="15141" width="12.5703125" style="191" customWidth="1"/>
    <col min="15142" max="15352" width="9.140625" style="191"/>
    <col min="15353" max="15353" width="7" style="191" customWidth="1"/>
    <col min="15354" max="15354" width="12" style="191" customWidth="1"/>
    <col min="15355" max="15355" width="69.28515625" style="191" customWidth="1"/>
    <col min="15356" max="15356" width="12.7109375" style="191" customWidth="1"/>
    <col min="15357" max="15357" width="8.28515625" style="191" customWidth="1"/>
    <col min="15358" max="15358" width="17.85546875" style="191" customWidth="1"/>
    <col min="15359" max="15359" width="24.42578125" style="191" customWidth="1"/>
    <col min="15360" max="15360" width="10.7109375" style="191" customWidth="1"/>
    <col min="15361" max="15361" width="13.7109375" style="191" customWidth="1"/>
    <col min="15362" max="15362" width="22" style="191" customWidth="1"/>
    <col min="15363" max="15363" width="13.85546875" style="191" customWidth="1"/>
    <col min="15364" max="15364" width="9.140625" style="191"/>
    <col min="15365" max="15365" width="14.42578125" style="191" customWidth="1"/>
    <col min="15366" max="15366" width="9.28515625" style="191" customWidth="1"/>
    <col min="15367" max="15367" width="14.42578125" style="191" customWidth="1"/>
    <col min="15368" max="15368" width="10.140625" style="191" customWidth="1"/>
    <col min="15369" max="15369" width="15" style="191" customWidth="1"/>
    <col min="15370" max="15370" width="9.140625" style="191"/>
    <col min="15371" max="15371" width="14.85546875" style="191" customWidth="1"/>
    <col min="15372" max="15379" width="9.140625" style="191"/>
    <col min="15380" max="15380" width="13" style="191" customWidth="1"/>
    <col min="15381" max="15381" width="9.140625" style="191"/>
    <col min="15382" max="15382" width="16.140625" style="191" customWidth="1"/>
    <col min="15383" max="15383" width="9.140625" style="191"/>
    <col min="15384" max="15385" width="12.85546875" style="191" customWidth="1"/>
    <col min="15386" max="15386" width="14.28515625" style="191" customWidth="1"/>
    <col min="15387" max="15389" width="9.140625" style="191"/>
    <col min="15390" max="15390" width="16.28515625" style="191" customWidth="1"/>
    <col min="15391" max="15391" width="9.140625" style="191"/>
    <col min="15392" max="15393" width="12.85546875" style="191" customWidth="1"/>
    <col min="15394" max="15394" width="16.140625" style="191" customWidth="1"/>
    <col min="15395" max="15396" width="9.140625" style="191"/>
    <col min="15397" max="15397" width="12.5703125" style="191" customWidth="1"/>
    <col min="15398" max="15608" width="9.140625" style="191"/>
    <col min="15609" max="15609" width="7" style="191" customWidth="1"/>
    <col min="15610" max="15610" width="12" style="191" customWidth="1"/>
    <col min="15611" max="15611" width="69.28515625" style="191" customWidth="1"/>
    <col min="15612" max="15612" width="12.7109375" style="191" customWidth="1"/>
    <col min="15613" max="15613" width="8.28515625" style="191" customWidth="1"/>
    <col min="15614" max="15614" width="17.85546875" style="191" customWidth="1"/>
    <col min="15615" max="15615" width="24.42578125" style="191" customWidth="1"/>
    <col min="15616" max="15616" width="10.7109375" style="191" customWidth="1"/>
    <col min="15617" max="15617" width="13.7109375" style="191" customWidth="1"/>
    <col min="15618" max="15618" width="22" style="191" customWidth="1"/>
    <col min="15619" max="15619" width="13.85546875" style="191" customWidth="1"/>
    <col min="15620" max="15620" width="9.140625" style="191"/>
    <col min="15621" max="15621" width="14.42578125" style="191" customWidth="1"/>
    <col min="15622" max="15622" width="9.28515625" style="191" customWidth="1"/>
    <col min="15623" max="15623" width="14.42578125" style="191" customWidth="1"/>
    <col min="15624" max="15624" width="10.140625" style="191" customWidth="1"/>
    <col min="15625" max="15625" width="15" style="191" customWidth="1"/>
    <col min="15626" max="15626" width="9.140625" style="191"/>
    <col min="15627" max="15627" width="14.85546875" style="191" customWidth="1"/>
    <col min="15628" max="15635" width="9.140625" style="191"/>
    <col min="15636" max="15636" width="13" style="191" customWidth="1"/>
    <col min="15637" max="15637" width="9.140625" style="191"/>
    <col min="15638" max="15638" width="16.140625" style="191" customWidth="1"/>
    <col min="15639" max="15639" width="9.140625" style="191"/>
    <col min="15640" max="15641" width="12.85546875" style="191" customWidth="1"/>
    <col min="15642" max="15642" width="14.28515625" style="191" customWidth="1"/>
    <col min="15643" max="15645" width="9.140625" style="191"/>
    <col min="15646" max="15646" width="16.28515625" style="191" customWidth="1"/>
    <col min="15647" max="15647" width="9.140625" style="191"/>
    <col min="15648" max="15649" width="12.85546875" style="191" customWidth="1"/>
    <col min="15650" max="15650" width="16.140625" style="191" customWidth="1"/>
    <col min="15651" max="15652" width="9.140625" style="191"/>
    <col min="15653" max="15653" width="12.5703125" style="191" customWidth="1"/>
    <col min="15654" max="15864" width="9.140625" style="191"/>
    <col min="15865" max="15865" width="7" style="191" customWidth="1"/>
    <col min="15866" max="15866" width="12" style="191" customWidth="1"/>
    <col min="15867" max="15867" width="69.28515625" style="191" customWidth="1"/>
    <col min="15868" max="15868" width="12.7109375" style="191" customWidth="1"/>
    <col min="15869" max="15869" width="8.28515625" style="191" customWidth="1"/>
    <col min="15870" max="15870" width="17.85546875" style="191" customWidth="1"/>
    <col min="15871" max="15871" width="24.42578125" style="191" customWidth="1"/>
    <col min="15872" max="15872" width="10.7109375" style="191" customWidth="1"/>
    <col min="15873" max="15873" width="13.7109375" style="191" customWidth="1"/>
    <col min="15874" max="15874" width="22" style="191" customWidth="1"/>
    <col min="15875" max="15875" width="13.85546875" style="191" customWidth="1"/>
    <col min="15876" max="15876" width="9.140625" style="191"/>
    <col min="15877" max="15877" width="14.42578125" style="191" customWidth="1"/>
    <col min="15878" max="15878" width="9.28515625" style="191" customWidth="1"/>
    <col min="15879" max="15879" width="14.42578125" style="191" customWidth="1"/>
    <col min="15880" max="15880" width="10.140625" style="191" customWidth="1"/>
    <col min="15881" max="15881" width="15" style="191" customWidth="1"/>
    <col min="15882" max="15882" width="9.140625" style="191"/>
    <col min="15883" max="15883" width="14.85546875" style="191" customWidth="1"/>
    <col min="15884" max="15891" width="9.140625" style="191"/>
    <col min="15892" max="15892" width="13" style="191" customWidth="1"/>
    <col min="15893" max="15893" width="9.140625" style="191"/>
    <col min="15894" max="15894" width="16.140625" style="191" customWidth="1"/>
    <col min="15895" max="15895" width="9.140625" style="191"/>
    <col min="15896" max="15897" width="12.85546875" style="191" customWidth="1"/>
    <col min="15898" max="15898" width="14.28515625" style="191" customWidth="1"/>
    <col min="15899" max="15901" width="9.140625" style="191"/>
    <col min="15902" max="15902" width="16.28515625" style="191" customWidth="1"/>
    <col min="15903" max="15903" width="9.140625" style="191"/>
    <col min="15904" max="15905" width="12.85546875" style="191" customWidth="1"/>
    <col min="15906" max="15906" width="16.140625" style="191" customWidth="1"/>
    <col min="15907" max="15908" width="9.140625" style="191"/>
    <col min="15909" max="15909" width="12.5703125" style="191" customWidth="1"/>
    <col min="15910" max="16120" width="9.140625" style="191"/>
    <col min="16121" max="16121" width="7" style="191" customWidth="1"/>
    <col min="16122" max="16122" width="12" style="191" customWidth="1"/>
    <col min="16123" max="16123" width="69.28515625" style="191" customWidth="1"/>
    <col min="16124" max="16124" width="12.7109375" style="191" customWidth="1"/>
    <col min="16125" max="16125" width="8.28515625" style="191" customWidth="1"/>
    <col min="16126" max="16126" width="17.85546875" style="191" customWidth="1"/>
    <col min="16127" max="16127" width="24.42578125" style="191" customWidth="1"/>
    <col min="16128" max="16128" width="10.7109375" style="191" customWidth="1"/>
    <col min="16129" max="16129" width="13.7109375" style="191" customWidth="1"/>
    <col min="16130" max="16130" width="22" style="191" customWidth="1"/>
    <col min="16131" max="16131" width="13.85546875" style="191" customWidth="1"/>
    <col min="16132" max="16132" width="9.140625" style="191"/>
    <col min="16133" max="16133" width="14.42578125" style="191" customWidth="1"/>
    <col min="16134" max="16134" width="9.28515625" style="191" customWidth="1"/>
    <col min="16135" max="16135" width="14.42578125" style="191" customWidth="1"/>
    <col min="16136" max="16136" width="10.140625" style="191" customWidth="1"/>
    <col min="16137" max="16137" width="15" style="191" customWidth="1"/>
    <col min="16138" max="16138" width="9.140625" style="191"/>
    <col min="16139" max="16139" width="14.85546875" style="191" customWidth="1"/>
    <col min="16140" max="16147" width="9.140625" style="191"/>
    <col min="16148" max="16148" width="13" style="191" customWidth="1"/>
    <col min="16149" max="16149" width="9.140625" style="191"/>
    <col min="16150" max="16150" width="16.140625" style="191" customWidth="1"/>
    <col min="16151" max="16151" width="9.140625" style="191"/>
    <col min="16152" max="16153" width="12.85546875" style="191" customWidth="1"/>
    <col min="16154" max="16154" width="14.28515625" style="191" customWidth="1"/>
    <col min="16155" max="16157" width="9.140625" style="191"/>
    <col min="16158" max="16158" width="16.28515625" style="191" customWidth="1"/>
    <col min="16159" max="16159" width="9.140625" style="191"/>
    <col min="16160" max="16161" width="12.85546875" style="191" customWidth="1"/>
    <col min="16162" max="16162" width="16.140625" style="191" customWidth="1"/>
    <col min="16163" max="16164" width="9.140625" style="191"/>
    <col min="16165" max="16165" width="12.5703125" style="191" customWidth="1"/>
    <col min="16166" max="16384" width="9.140625" style="191"/>
  </cols>
  <sheetData>
    <row r="1" spans="1:11" ht="73.5" customHeight="1" thickTop="1">
      <c r="A1" s="295" t="s">
        <v>498</v>
      </c>
      <c r="B1" s="296"/>
      <c r="C1" s="296"/>
      <c r="D1" s="296"/>
      <c r="E1" s="296"/>
      <c r="F1" s="297"/>
      <c r="G1" s="158"/>
      <c r="H1" s="158"/>
      <c r="I1" s="158"/>
      <c r="J1" s="158"/>
      <c r="K1" s="158"/>
    </row>
    <row r="2" spans="1:11" ht="29.25" customHeight="1">
      <c r="A2" s="159"/>
      <c r="B2" s="160"/>
      <c r="C2" s="161" t="s">
        <v>103</v>
      </c>
      <c r="D2" s="292"/>
      <c r="E2" s="293"/>
      <c r="F2" s="294"/>
      <c r="G2" s="158"/>
      <c r="H2" s="158"/>
      <c r="I2" s="158"/>
      <c r="J2" s="158"/>
      <c r="K2" s="158"/>
    </row>
    <row r="3" spans="1:11" ht="25.5" hidden="1" customHeight="1">
      <c r="A3" s="162"/>
      <c r="B3" s="163"/>
      <c r="C3" s="163"/>
      <c r="D3" s="163"/>
      <c r="E3" s="163"/>
      <c r="F3" s="164"/>
      <c r="G3" s="158"/>
      <c r="H3" s="158"/>
      <c r="I3" s="158"/>
      <c r="J3" s="158"/>
      <c r="K3" s="158"/>
    </row>
    <row r="4" spans="1:11" s="192" customFormat="1" ht="42.75" customHeight="1">
      <c r="A4" s="165" t="s">
        <v>25</v>
      </c>
      <c r="B4" s="161" t="s">
        <v>26</v>
      </c>
      <c r="C4" s="161" t="s">
        <v>27</v>
      </c>
      <c r="D4" s="161" t="s">
        <v>28</v>
      </c>
      <c r="E4" s="166" t="s">
        <v>29</v>
      </c>
      <c r="F4" s="161" t="s">
        <v>30</v>
      </c>
      <c r="G4" s="167"/>
      <c r="H4" s="298"/>
      <c r="I4" s="298"/>
      <c r="J4" s="298"/>
      <c r="K4" s="298"/>
    </row>
    <row r="5" spans="1:11" s="192" customFormat="1" ht="89.25" customHeight="1">
      <c r="A5" s="168">
        <v>1</v>
      </c>
      <c r="B5" s="169">
        <f>'EB Qtrs Det'!H6</f>
        <v>558</v>
      </c>
      <c r="C5" s="170" t="s">
        <v>33</v>
      </c>
      <c r="D5" s="171">
        <v>19.260000000000002</v>
      </c>
      <c r="E5" s="171" t="s">
        <v>107</v>
      </c>
      <c r="F5" s="171">
        <f>D5*B5</f>
        <v>10747.080000000002</v>
      </c>
      <c r="G5" s="167"/>
      <c r="H5" s="167"/>
      <c r="I5" s="167"/>
      <c r="J5" s="167"/>
      <c r="K5" s="167"/>
    </row>
    <row r="6" spans="1:11" s="192" customFormat="1" ht="69" customHeight="1">
      <c r="A6" s="168">
        <f>+A5+1</f>
        <v>2</v>
      </c>
      <c r="B6" s="169">
        <f>'EB Qtrs Det'!H14</f>
        <v>394.46000000000004</v>
      </c>
      <c r="C6" s="172" t="s">
        <v>35</v>
      </c>
      <c r="D6" s="173">
        <v>66.84</v>
      </c>
      <c r="E6" s="173" t="s">
        <v>107</v>
      </c>
      <c r="F6" s="171">
        <f t="shared" ref="F6:F38" si="0">D6*B6</f>
        <v>26365.706400000003</v>
      </c>
      <c r="G6" s="167"/>
      <c r="H6" s="167"/>
      <c r="I6" s="167"/>
      <c r="J6" s="167"/>
      <c r="K6" s="167"/>
    </row>
    <row r="7" spans="1:11" s="192" customFormat="1" ht="240" customHeight="1">
      <c r="A7" s="168">
        <f t="shared" ref="A7:A34" si="1">+A6+1</f>
        <v>3</v>
      </c>
      <c r="B7" s="169">
        <f>'EB Qtrs Det'!H17</f>
        <v>5.7153600000000004</v>
      </c>
      <c r="C7" s="174" t="s">
        <v>22</v>
      </c>
      <c r="D7" s="171">
        <f>[3]Data!$K$88</f>
        <v>284.5</v>
      </c>
      <c r="E7" s="171" t="s">
        <v>108</v>
      </c>
      <c r="F7" s="171">
        <f t="shared" si="0"/>
        <v>1626.0199200000002</v>
      </c>
      <c r="G7" s="167"/>
      <c r="H7" s="167"/>
      <c r="I7" s="167"/>
      <c r="J7" s="167"/>
      <c r="K7" s="167"/>
    </row>
    <row r="8" spans="1:11" s="192" customFormat="1" ht="109.5" customHeight="1">
      <c r="A8" s="168">
        <f t="shared" si="1"/>
        <v>4</v>
      </c>
      <c r="B8" s="169">
        <f>'EB Qtrs Det'!H20</f>
        <v>1.2700800000000001</v>
      </c>
      <c r="C8" s="193" t="s">
        <v>75</v>
      </c>
      <c r="D8" s="175">
        <f>[3]Data!$K$204</f>
        <v>5488.73</v>
      </c>
      <c r="E8" s="175" t="s">
        <v>108</v>
      </c>
      <c r="F8" s="171">
        <f t="shared" si="0"/>
        <v>6971.1261984000002</v>
      </c>
      <c r="G8" s="167"/>
      <c r="H8" s="167"/>
      <c r="I8" s="167"/>
      <c r="J8" s="167"/>
      <c r="K8" s="167"/>
    </row>
    <row r="9" spans="1:11" s="192" customFormat="1" ht="120.75" customHeight="1">
      <c r="A9" s="168">
        <f t="shared" si="1"/>
        <v>5</v>
      </c>
      <c r="B9" s="169">
        <f>'EB Qtrs Det'!H23</f>
        <v>3.6652800000000001</v>
      </c>
      <c r="C9" s="193" t="s">
        <v>77</v>
      </c>
      <c r="D9" s="175">
        <f>[3]Data!$AU$73</f>
        <v>7829.37</v>
      </c>
      <c r="E9" s="175" t="s">
        <v>108</v>
      </c>
      <c r="F9" s="171">
        <f t="shared" si="0"/>
        <v>28696.833273600001</v>
      </c>
      <c r="G9" s="167"/>
      <c r="H9" s="167"/>
      <c r="I9" s="167"/>
      <c r="J9" s="167"/>
      <c r="K9" s="167"/>
    </row>
    <row r="10" spans="1:11" s="192" customFormat="1" ht="120" customHeight="1">
      <c r="A10" s="168">
        <v>6</v>
      </c>
      <c r="B10" s="169">
        <f>'EB Qtrs Det'!H26</f>
        <v>2.88</v>
      </c>
      <c r="C10" s="193" t="s">
        <v>42</v>
      </c>
      <c r="D10" s="175">
        <f>[3]Data!$AU$99</f>
        <v>7847.63</v>
      </c>
      <c r="E10" s="175" t="s">
        <v>108</v>
      </c>
      <c r="F10" s="171">
        <f t="shared" si="0"/>
        <v>22601.1744</v>
      </c>
      <c r="G10" s="167"/>
      <c r="H10" s="167"/>
      <c r="I10" s="167"/>
      <c r="J10" s="167"/>
      <c r="K10" s="167"/>
    </row>
    <row r="11" spans="1:11" ht="92.25" customHeight="1">
      <c r="A11" s="168">
        <f t="shared" si="1"/>
        <v>7</v>
      </c>
      <c r="B11" s="176">
        <f>'EB Qtrs Det'!H33</f>
        <v>178.27200000000002</v>
      </c>
      <c r="C11" s="177" t="s">
        <v>8</v>
      </c>
      <c r="D11" s="178">
        <f>[3]Data!$R$344</f>
        <v>590.97</v>
      </c>
      <c r="E11" s="178" t="s">
        <v>107</v>
      </c>
      <c r="F11" s="171">
        <f t="shared" si="0"/>
        <v>105353.40384000001</v>
      </c>
    </row>
    <row r="12" spans="1:11" ht="303" customHeight="1">
      <c r="A12" s="168">
        <f t="shared" si="1"/>
        <v>8</v>
      </c>
      <c r="B12" s="176">
        <f>'EB Qtrs Det'!H36</f>
        <v>8</v>
      </c>
      <c r="C12" s="179" t="s">
        <v>47</v>
      </c>
      <c r="D12" s="180">
        <f>[3]Data!$R$1978</f>
        <v>3753.28</v>
      </c>
      <c r="E12" s="180" t="s">
        <v>3</v>
      </c>
      <c r="F12" s="171">
        <f t="shared" si="0"/>
        <v>30026.240000000002</v>
      </c>
    </row>
    <row r="13" spans="1:11" ht="83.25" customHeight="1">
      <c r="A13" s="168">
        <f t="shared" si="1"/>
        <v>9</v>
      </c>
      <c r="B13" s="176">
        <f>'EB Qtrs Det'!H42</f>
        <v>28</v>
      </c>
      <c r="C13" s="193" t="s">
        <v>493</v>
      </c>
      <c r="D13" s="175">
        <f>[3]Data!$AI$3115</f>
        <v>518</v>
      </c>
      <c r="E13" s="175" t="s">
        <v>3</v>
      </c>
      <c r="F13" s="171">
        <f t="shared" si="0"/>
        <v>14504</v>
      </c>
    </row>
    <row r="14" spans="1:11" ht="165" customHeight="1">
      <c r="A14" s="168">
        <f t="shared" si="1"/>
        <v>10</v>
      </c>
      <c r="B14" s="176">
        <f>'EB Qtrs Det'!H45</f>
        <v>8</v>
      </c>
      <c r="C14" s="194" t="s">
        <v>53</v>
      </c>
      <c r="D14" s="181">
        <f>[3]Data!$K$2119</f>
        <v>160</v>
      </c>
      <c r="E14" s="181" t="s">
        <v>3</v>
      </c>
      <c r="F14" s="171">
        <f t="shared" si="0"/>
        <v>1280</v>
      </c>
    </row>
    <row r="15" spans="1:11" ht="71.25" customHeight="1">
      <c r="A15" s="168">
        <f t="shared" si="1"/>
        <v>11</v>
      </c>
      <c r="B15" s="176">
        <f>'EB Qtrs Det'!H52</f>
        <v>2578</v>
      </c>
      <c r="C15" s="193" t="s">
        <v>55</v>
      </c>
      <c r="D15" s="175">
        <f>[3]Data!$K$1193</f>
        <v>70.150000000000006</v>
      </c>
      <c r="E15" s="175" t="s">
        <v>109</v>
      </c>
      <c r="F15" s="171">
        <f t="shared" si="0"/>
        <v>180846.7</v>
      </c>
    </row>
    <row r="16" spans="1:11" ht="234" customHeight="1">
      <c r="A16" s="168">
        <f t="shared" si="1"/>
        <v>12</v>
      </c>
      <c r="B16" s="176">
        <f>'EB Qtrs Det'!H55</f>
        <v>2</v>
      </c>
      <c r="C16" s="193" t="s">
        <v>61</v>
      </c>
      <c r="D16" s="175">
        <f>[3]Data!$L$1795</f>
        <v>20100</v>
      </c>
      <c r="E16" s="175" t="s">
        <v>3</v>
      </c>
      <c r="F16" s="171">
        <f t="shared" si="0"/>
        <v>40200</v>
      </c>
    </row>
    <row r="17" spans="1:11" ht="221.25" customHeight="1">
      <c r="A17" s="168">
        <f t="shared" si="1"/>
        <v>13</v>
      </c>
      <c r="B17" s="176"/>
      <c r="C17" s="179" t="s">
        <v>63</v>
      </c>
      <c r="D17" s="180"/>
      <c r="E17" s="180"/>
      <c r="F17" s="171">
        <f t="shared" si="0"/>
        <v>0</v>
      </c>
    </row>
    <row r="18" spans="1:11" ht="53.25" customHeight="1">
      <c r="A18" s="168"/>
      <c r="B18" s="176">
        <f>'EB Qtrs Det'!H58</f>
        <v>40</v>
      </c>
      <c r="C18" s="179" t="s">
        <v>64</v>
      </c>
      <c r="D18" s="180">
        <f>[3]Data!$K$1890</f>
        <v>285.82</v>
      </c>
      <c r="E18" s="180" t="s">
        <v>110</v>
      </c>
      <c r="F18" s="171">
        <f t="shared" si="0"/>
        <v>11432.8</v>
      </c>
    </row>
    <row r="19" spans="1:11" ht="60" customHeight="1">
      <c r="A19" s="168"/>
      <c r="B19" s="176">
        <f>'EB Qtrs Det'!H63</f>
        <v>112</v>
      </c>
      <c r="C19" s="179" t="s">
        <v>65</v>
      </c>
      <c r="D19" s="180">
        <f>[3]Data!$K$1882</f>
        <v>268.35000000000002</v>
      </c>
      <c r="E19" s="180" t="s">
        <v>110</v>
      </c>
      <c r="F19" s="171">
        <f t="shared" si="0"/>
        <v>30055.200000000004</v>
      </c>
    </row>
    <row r="20" spans="1:11" ht="158.25" customHeight="1">
      <c r="A20" s="168">
        <v>14</v>
      </c>
      <c r="B20" s="176"/>
      <c r="C20" s="182" t="s">
        <v>70</v>
      </c>
      <c r="D20" s="181"/>
      <c r="E20" s="181"/>
      <c r="F20" s="171">
        <f t="shared" si="0"/>
        <v>0</v>
      </c>
    </row>
    <row r="21" spans="1:11" ht="41.25" customHeight="1">
      <c r="A21" s="168"/>
      <c r="B21" s="176">
        <f>'EB Qtrs Det'!H68</f>
        <v>92</v>
      </c>
      <c r="C21" s="182" t="s">
        <v>71</v>
      </c>
      <c r="D21" s="181">
        <f>[3]Data!$K$2063</f>
        <v>799.19</v>
      </c>
      <c r="E21" s="181" t="s">
        <v>110</v>
      </c>
      <c r="F21" s="171">
        <f t="shared" si="0"/>
        <v>73525.48000000001</v>
      </c>
    </row>
    <row r="22" spans="1:11" ht="155.25" customHeight="1">
      <c r="A22" s="168">
        <f>+A20+1</f>
        <v>15</v>
      </c>
      <c r="B22" s="176">
        <f>'EB Qtrs Det'!H71</f>
        <v>25.92</v>
      </c>
      <c r="C22" s="183" t="s">
        <v>494</v>
      </c>
      <c r="D22" s="184">
        <f>[3]Data!$K$3216</f>
        <v>110.89</v>
      </c>
      <c r="E22" s="184" t="s">
        <v>107</v>
      </c>
      <c r="F22" s="171">
        <f t="shared" si="0"/>
        <v>2874.2688000000003</v>
      </c>
    </row>
    <row r="23" spans="1:11" ht="116.25" customHeight="1">
      <c r="A23" s="168">
        <f t="shared" si="1"/>
        <v>16</v>
      </c>
      <c r="B23" s="176">
        <f>'EB Qtrs Det'!H79</f>
        <v>381.44</v>
      </c>
      <c r="C23" s="185" t="s">
        <v>10</v>
      </c>
      <c r="D23" s="186">
        <f>[3]Data!$K$2716</f>
        <v>73.14</v>
      </c>
      <c r="E23" s="186" t="s">
        <v>107</v>
      </c>
      <c r="F23" s="171">
        <f t="shared" si="0"/>
        <v>27898.5216</v>
      </c>
    </row>
    <row r="24" spans="1:11" ht="141.75" customHeight="1">
      <c r="A24" s="168">
        <v>17</v>
      </c>
      <c r="B24" s="176">
        <f>'EB Qtrs Det'!H84</f>
        <v>103.6</v>
      </c>
      <c r="C24" s="183" t="s">
        <v>82</v>
      </c>
      <c r="D24" s="184">
        <f>[3]Data!$K$1553</f>
        <v>155.88</v>
      </c>
      <c r="E24" s="184" t="s">
        <v>107</v>
      </c>
      <c r="F24" s="171">
        <f t="shared" si="0"/>
        <v>16149.167999999998</v>
      </c>
      <c r="K24" s="216" t="s">
        <v>497</v>
      </c>
    </row>
    <row r="25" spans="1:11" ht="203.25" customHeight="1">
      <c r="A25" s="168">
        <f t="shared" si="1"/>
        <v>18</v>
      </c>
      <c r="B25" s="176">
        <f>'EB Qtrs Det'!H88</f>
        <v>24</v>
      </c>
      <c r="C25" s="174" t="s">
        <v>104</v>
      </c>
      <c r="D25" s="171">
        <f>[3]Elec.Data!$K$1019</f>
        <v>924.28</v>
      </c>
      <c r="E25" s="171" t="s">
        <v>3</v>
      </c>
      <c r="F25" s="171">
        <f t="shared" si="0"/>
        <v>22182.720000000001</v>
      </c>
    </row>
    <row r="26" spans="1:11" ht="339.75" customHeight="1">
      <c r="A26" s="168">
        <f t="shared" si="1"/>
        <v>19</v>
      </c>
      <c r="B26" s="176">
        <f>'EB Qtrs Det'!H96</f>
        <v>48</v>
      </c>
      <c r="C26" s="174" t="s">
        <v>89</v>
      </c>
      <c r="D26" s="171">
        <f>[3]Elec.Data!$K$993</f>
        <v>922.28</v>
      </c>
      <c r="E26" s="171" t="s">
        <v>3</v>
      </c>
      <c r="F26" s="171">
        <f t="shared" si="0"/>
        <v>44269.440000000002</v>
      </c>
    </row>
    <row r="27" spans="1:11" ht="219.75" customHeight="1">
      <c r="A27" s="168">
        <f t="shared" si="1"/>
        <v>20</v>
      </c>
      <c r="B27" s="176">
        <f>'EB Qtrs Det'!H101</f>
        <v>24</v>
      </c>
      <c r="C27" s="174" t="s">
        <v>15</v>
      </c>
      <c r="D27" s="171">
        <f>[3]Elec.Data!$K$1057</f>
        <v>1008.47</v>
      </c>
      <c r="E27" s="171" t="s">
        <v>3</v>
      </c>
      <c r="F27" s="171">
        <f t="shared" si="0"/>
        <v>24203.279999999999</v>
      </c>
    </row>
    <row r="28" spans="1:11" ht="190.5" customHeight="1">
      <c r="A28" s="168">
        <f t="shared" si="1"/>
        <v>21</v>
      </c>
      <c r="B28" s="176">
        <f>'EB Qtrs Det'!H105</f>
        <v>16</v>
      </c>
      <c r="C28" s="174" t="s">
        <v>16</v>
      </c>
      <c r="D28" s="171">
        <f>[3]Elec.Data!$K$1096</f>
        <v>708.83</v>
      </c>
      <c r="E28" s="171" t="s">
        <v>3</v>
      </c>
      <c r="F28" s="171">
        <f t="shared" si="0"/>
        <v>11341.28</v>
      </c>
    </row>
    <row r="29" spans="1:11" ht="142.5" customHeight="1">
      <c r="A29" s="168">
        <f t="shared" si="1"/>
        <v>22</v>
      </c>
      <c r="B29" s="176">
        <f>'EB Qtrs Det'!H108</f>
        <v>96</v>
      </c>
      <c r="C29" s="174" t="s">
        <v>17</v>
      </c>
      <c r="D29" s="171">
        <f>[4]Elec.Data!$K$1132</f>
        <v>149.51</v>
      </c>
      <c r="E29" s="171" t="s">
        <v>110</v>
      </c>
      <c r="F29" s="171">
        <f t="shared" si="0"/>
        <v>14352.96</v>
      </c>
    </row>
    <row r="30" spans="1:11" ht="173.25" customHeight="1">
      <c r="A30" s="168">
        <f t="shared" si="1"/>
        <v>23</v>
      </c>
      <c r="B30" s="176">
        <f>'EB Qtrs Det'!H113</f>
        <v>24</v>
      </c>
      <c r="C30" s="174" t="s">
        <v>18</v>
      </c>
      <c r="D30" s="171">
        <f>[3]Data!$K$3038</f>
        <v>1552.7</v>
      </c>
      <c r="E30" s="171" t="s">
        <v>3</v>
      </c>
      <c r="F30" s="171">
        <f t="shared" si="0"/>
        <v>37264.800000000003</v>
      </c>
    </row>
    <row r="31" spans="1:11" ht="111" customHeight="1">
      <c r="A31" s="168">
        <f t="shared" si="1"/>
        <v>24</v>
      </c>
      <c r="B31" s="176">
        <f>'EB Qtrs Det'!H118</f>
        <v>24</v>
      </c>
      <c r="C31" s="187" t="s">
        <v>19</v>
      </c>
      <c r="D31" s="188">
        <f>[3]Data!$K$2277</f>
        <v>601</v>
      </c>
      <c r="E31" s="188" t="s">
        <v>3</v>
      </c>
      <c r="F31" s="171">
        <f t="shared" si="0"/>
        <v>14424</v>
      </c>
    </row>
    <row r="32" spans="1:11" ht="120" customHeight="1">
      <c r="A32" s="168">
        <f t="shared" si="1"/>
        <v>25</v>
      </c>
      <c r="B32" s="176">
        <f>'EB Qtrs Det'!H125</f>
        <v>308.06</v>
      </c>
      <c r="C32" s="195" t="s">
        <v>408</v>
      </c>
      <c r="D32" s="171">
        <f>[3]Data!$K$1312</f>
        <v>523.78</v>
      </c>
      <c r="E32" s="171" t="s">
        <v>107</v>
      </c>
      <c r="F32" s="171">
        <f t="shared" si="0"/>
        <v>161355.66680000001</v>
      </c>
    </row>
    <row r="33" spans="1:6" ht="108" customHeight="1">
      <c r="A33" s="168">
        <f t="shared" si="1"/>
        <v>26</v>
      </c>
      <c r="B33" s="176">
        <f>'EB Qtrs Det'!H128</f>
        <v>8</v>
      </c>
      <c r="C33" s="174" t="s">
        <v>20</v>
      </c>
      <c r="D33" s="171">
        <f>[3]Elec.Data!$R$807</f>
        <v>3459</v>
      </c>
      <c r="E33" s="171" t="s">
        <v>3</v>
      </c>
      <c r="F33" s="171">
        <f t="shared" si="0"/>
        <v>27672</v>
      </c>
    </row>
    <row r="34" spans="1:6" ht="178.5" customHeight="1">
      <c r="A34" s="168">
        <f t="shared" si="1"/>
        <v>27</v>
      </c>
      <c r="B34" s="176">
        <f>'EB Qtrs Det'!H135</f>
        <v>40</v>
      </c>
      <c r="C34" s="174" t="s">
        <v>21</v>
      </c>
      <c r="D34" s="171">
        <v>705</v>
      </c>
      <c r="E34" s="171" t="s">
        <v>3</v>
      </c>
      <c r="F34" s="171">
        <f t="shared" si="0"/>
        <v>28200</v>
      </c>
    </row>
    <row r="35" spans="1:6" ht="130.5" customHeight="1">
      <c r="A35" s="168">
        <v>28</v>
      </c>
      <c r="B35" s="176">
        <f>'EB Qtrs Det'!H138</f>
        <v>60</v>
      </c>
      <c r="C35" s="193" t="s">
        <v>495</v>
      </c>
      <c r="D35" s="175">
        <f>[4]Elec.Data!$K$288</f>
        <v>407.08</v>
      </c>
      <c r="E35" s="175" t="s">
        <v>110</v>
      </c>
      <c r="F35" s="171">
        <f t="shared" si="0"/>
        <v>24424.799999999999</v>
      </c>
    </row>
    <row r="36" spans="1:6" s="197" customFormat="1" ht="111" customHeight="1">
      <c r="A36" s="189">
        <v>29</v>
      </c>
      <c r="B36" s="190">
        <v>2</v>
      </c>
      <c r="C36" s="196" t="s">
        <v>496</v>
      </c>
      <c r="D36" s="175">
        <f>[3]Elec.Data!$K$650</f>
        <v>1345.34</v>
      </c>
      <c r="E36" s="175" t="s">
        <v>3</v>
      </c>
      <c r="F36" s="171">
        <f t="shared" si="0"/>
        <v>2690.68</v>
      </c>
    </row>
    <row r="37" spans="1:6" ht="96.75" customHeight="1">
      <c r="A37" s="198">
        <v>30</v>
      </c>
      <c r="B37" s="176">
        <v>6</v>
      </c>
      <c r="C37" s="196" t="s">
        <v>381</v>
      </c>
      <c r="D37" s="175">
        <f>[3]Elec.Data!$K$716</f>
        <v>165</v>
      </c>
      <c r="E37" s="175" t="s">
        <v>110</v>
      </c>
      <c r="F37" s="171">
        <f t="shared" si="0"/>
        <v>990</v>
      </c>
    </row>
    <row r="38" spans="1:6" ht="47.25" customHeight="1">
      <c r="A38" s="198">
        <v>31</v>
      </c>
      <c r="B38" s="176">
        <v>2</v>
      </c>
      <c r="C38" s="199" t="s">
        <v>415</v>
      </c>
      <c r="D38" s="92">
        <v>1167.1199999999999</v>
      </c>
      <c r="E38" s="92" t="s">
        <v>3</v>
      </c>
      <c r="F38" s="171">
        <f t="shared" si="0"/>
        <v>2334.2399999999998</v>
      </c>
    </row>
    <row r="39" spans="1:6" ht="47.25" customHeight="1">
      <c r="A39" s="198">
        <v>32</v>
      </c>
      <c r="B39" s="176">
        <f>'EB Qtrs Det'!H150</f>
        <v>464</v>
      </c>
      <c r="C39" s="199" t="str">
        <f>'EB Qtrs Det'!B148</f>
        <v>Existing AC sheet Reroofing  without roof timbers etc., complete complying with standard specifications.</v>
      </c>
      <c r="D39" s="92">
        <v>324.87</v>
      </c>
      <c r="E39" s="92" t="s">
        <v>107</v>
      </c>
      <c r="F39" s="171">
        <f>D39*B39</f>
        <v>150739.68</v>
      </c>
    </row>
    <row r="40" spans="1:6" ht="24.75" customHeight="1">
      <c r="A40" s="198"/>
      <c r="B40" s="176"/>
      <c r="C40" s="200"/>
      <c r="D40" s="201"/>
      <c r="E40" s="201"/>
      <c r="F40" s="235">
        <f>SUM(F5:F39)</f>
        <v>1197599.269232</v>
      </c>
    </row>
    <row r="41" spans="1:6" ht="15.75">
      <c r="A41" s="202"/>
      <c r="B41" s="203"/>
      <c r="C41" s="204"/>
      <c r="D41" s="205"/>
      <c r="E41" s="205"/>
      <c r="F41" s="204"/>
    </row>
    <row r="42" spans="1:6" ht="15.75">
      <c r="A42" s="202"/>
      <c r="B42" s="203"/>
      <c r="C42" s="204"/>
      <c r="D42" s="205"/>
      <c r="E42" s="205"/>
      <c r="F42" s="204">
        <f>F40*29%</f>
        <v>347303.78807727998</v>
      </c>
    </row>
    <row r="43" spans="1:6" ht="15.75">
      <c r="A43" s="202"/>
      <c r="B43" s="203"/>
      <c r="C43" s="204"/>
      <c r="D43" s="205"/>
      <c r="E43" s="205"/>
      <c r="F43" s="204"/>
    </row>
    <row r="44" spans="1:6" ht="15.75">
      <c r="A44" s="202"/>
      <c r="B44" s="203"/>
      <c r="C44" s="204"/>
      <c r="D44" s="205"/>
      <c r="E44" s="205"/>
      <c r="F44" s="204">
        <f>F42+F40</f>
        <v>1544903.0573092799</v>
      </c>
    </row>
    <row r="45" spans="1:6" ht="15.75">
      <c r="A45" s="202"/>
      <c r="B45" s="203"/>
      <c r="C45" s="204"/>
      <c r="D45" s="205"/>
      <c r="E45" s="205"/>
      <c r="F45" s="204"/>
    </row>
    <row r="46" spans="1:6" ht="15.75">
      <c r="A46" s="202"/>
      <c r="B46" s="203"/>
      <c r="C46" s="204"/>
      <c r="D46" s="205"/>
      <c r="E46" s="205"/>
      <c r="F46" s="204"/>
    </row>
    <row r="47" spans="1:6" ht="15.75">
      <c r="A47" s="202"/>
      <c r="B47" s="203"/>
      <c r="C47" s="204"/>
      <c r="D47" s="205"/>
      <c r="E47" s="205"/>
      <c r="F47" s="204"/>
    </row>
    <row r="48" spans="1:6" ht="15.75">
      <c r="A48" s="202"/>
      <c r="B48" s="203"/>
      <c r="C48" s="204"/>
      <c r="D48" s="205"/>
      <c r="E48" s="205"/>
      <c r="F48" s="204"/>
    </row>
    <row r="49" spans="1:6" ht="15.75">
      <c r="A49" s="202"/>
      <c r="B49" s="203"/>
      <c r="C49" s="204"/>
      <c r="D49" s="205"/>
      <c r="E49" s="205"/>
      <c r="F49" s="204"/>
    </row>
    <row r="50" spans="1:6" ht="21">
      <c r="A50" s="206"/>
      <c r="B50" s="207"/>
      <c r="C50" s="208"/>
      <c r="D50" s="208"/>
      <c r="E50" s="209"/>
      <c r="F50" s="208"/>
    </row>
    <row r="51" spans="1:6" ht="17.25">
      <c r="A51" s="206"/>
      <c r="B51" s="210"/>
      <c r="C51" s="208"/>
      <c r="D51" s="208"/>
      <c r="E51" s="209"/>
      <c r="F51" s="208"/>
    </row>
    <row r="52" spans="1:6" ht="17.25">
      <c r="A52" s="206"/>
      <c r="B52" s="210"/>
      <c r="C52" s="208"/>
      <c r="D52" s="208"/>
      <c r="E52" s="209"/>
      <c r="F52" s="208"/>
    </row>
    <row r="53" spans="1:6" ht="17.25">
      <c r="A53" s="206"/>
      <c r="B53" s="210"/>
      <c r="C53" s="208"/>
      <c r="D53" s="208"/>
      <c r="E53" s="209"/>
      <c r="F53" s="208"/>
    </row>
    <row r="54" spans="1:6" ht="17.25">
      <c r="A54" s="206"/>
      <c r="B54" s="210"/>
      <c r="C54" s="208"/>
      <c r="D54" s="208"/>
      <c r="E54" s="209"/>
      <c r="F54" s="208"/>
    </row>
    <row r="55" spans="1:6" ht="17.25">
      <c r="A55" s="206"/>
      <c r="B55" s="210"/>
      <c r="C55" s="208"/>
      <c r="D55" s="208"/>
      <c r="E55" s="209"/>
      <c r="F55" s="208"/>
    </row>
    <row r="56" spans="1:6" ht="17.25">
      <c r="A56" s="206"/>
      <c r="B56" s="210"/>
      <c r="C56" s="208"/>
      <c r="D56" s="208"/>
      <c r="E56" s="209"/>
      <c r="F56" s="208"/>
    </row>
    <row r="57" spans="1:6" ht="17.25">
      <c r="A57" s="206"/>
      <c r="B57" s="210"/>
      <c r="C57" s="208"/>
      <c r="D57" s="208"/>
      <c r="E57" s="209"/>
      <c r="F57" s="208"/>
    </row>
    <row r="58" spans="1:6" ht="17.25">
      <c r="A58" s="206"/>
      <c r="B58" s="210"/>
      <c r="C58" s="208"/>
      <c r="D58" s="208"/>
      <c r="E58" s="209"/>
      <c r="F58" s="208"/>
    </row>
    <row r="59" spans="1:6" ht="17.25">
      <c r="A59" s="206"/>
      <c r="B59" s="210"/>
      <c r="C59" s="208"/>
      <c r="D59" s="208"/>
      <c r="E59" s="209"/>
      <c r="F59" s="208"/>
    </row>
    <row r="60" spans="1:6" ht="17.25">
      <c r="A60" s="206"/>
      <c r="B60" s="210"/>
      <c r="C60" s="208"/>
      <c r="D60" s="208"/>
      <c r="E60" s="209"/>
      <c r="F60" s="208"/>
    </row>
    <row r="61" spans="1:6" ht="17.25">
      <c r="A61" s="206"/>
      <c r="B61" s="210"/>
      <c r="C61" s="208"/>
      <c r="D61" s="208"/>
      <c r="E61" s="209"/>
      <c r="F61" s="208"/>
    </row>
    <row r="62" spans="1:6" ht="17.25">
      <c r="A62" s="206"/>
      <c r="B62" s="210"/>
      <c r="C62" s="208"/>
      <c r="D62" s="208"/>
      <c r="E62" s="209"/>
      <c r="F62" s="208"/>
    </row>
    <row r="63" spans="1:6" ht="17.25">
      <c r="A63" s="206"/>
      <c r="B63" s="210"/>
      <c r="C63" s="208"/>
      <c r="D63" s="208"/>
      <c r="E63" s="209"/>
      <c r="F63" s="208"/>
    </row>
    <row r="64" spans="1:6" ht="17.25">
      <c r="A64" s="206"/>
      <c r="B64" s="210"/>
      <c r="C64" s="208"/>
      <c r="D64" s="208"/>
      <c r="E64" s="209"/>
      <c r="F64" s="208"/>
    </row>
    <row r="65" spans="1:6" ht="17.25">
      <c r="A65" s="206"/>
      <c r="B65" s="210"/>
      <c r="C65" s="208"/>
      <c r="D65" s="208"/>
      <c r="E65" s="209"/>
      <c r="F65" s="208"/>
    </row>
    <row r="66" spans="1:6" ht="17.25">
      <c r="A66" s="206"/>
      <c r="B66" s="210"/>
      <c r="C66" s="208"/>
      <c r="D66" s="208"/>
      <c r="E66" s="209"/>
      <c r="F66" s="208"/>
    </row>
    <row r="67" spans="1:6" ht="17.25">
      <c r="A67" s="206"/>
      <c r="B67" s="210"/>
      <c r="C67" s="208"/>
      <c r="D67" s="208"/>
      <c r="E67" s="209"/>
      <c r="F67" s="208"/>
    </row>
    <row r="68" spans="1:6" ht="17.25">
      <c r="A68" s="206"/>
      <c r="B68" s="210"/>
      <c r="C68" s="208"/>
      <c r="D68" s="208"/>
      <c r="E68" s="209"/>
      <c r="F68" s="208"/>
    </row>
    <row r="69" spans="1:6" ht="17.25">
      <c r="A69" s="206"/>
      <c r="B69" s="210"/>
      <c r="C69" s="208"/>
      <c r="D69" s="208"/>
      <c r="E69" s="209"/>
      <c r="F69" s="208"/>
    </row>
    <row r="70" spans="1:6" ht="17.25">
      <c r="A70" s="206"/>
      <c r="B70" s="210"/>
      <c r="C70" s="208"/>
      <c r="D70" s="208"/>
      <c r="E70" s="209"/>
      <c r="F70" s="208"/>
    </row>
    <row r="71" spans="1:6" ht="17.25">
      <c r="A71" s="206"/>
      <c r="B71" s="210"/>
      <c r="C71" s="208"/>
      <c r="D71" s="208"/>
      <c r="E71" s="209"/>
      <c r="F71" s="208"/>
    </row>
    <row r="72" spans="1:6" ht="17.25">
      <c r="A72" s="206"/>
      <c r="B72" s="210"/>
      <c r="C72" s="208"/>
      <c r="D72" s="208"/>
      <c r="E72" s="209"/>
      <c r="F72" s="208"/>
    </row>
    <row r="73" spans="1:6" ht="17.25">
      <c r="A73" s="206"/>
      <c r="B73" s="210"/>
      <c r="C73" s="208"/>
      <c r="D73" s="208"/>
      <c r="E73" s="209"/>
      <c r="F73" s="208"/>
    </row>
    <row r="74" spans="1:6" ht="17.25">
      <c r="A74" s="206"/>
      <c r="B74" s="210"/>
      <c r="C74" s="208"/>
      <c r="D74" s="208"/>
      <c r="E74" s="209"/>
      <c r="F74" s="208"/>
    </row>
    <row r="75" spans="1:6" ht="17.25">
      <c r="A75" s="206"/>
      <c r="B75" s="210"/>
      <c r="C75" s="208"/>
      <c r="D75" s="208"/>
      <c r="E75" s="209"/>
      <c r="F75" s="208"/>
    </row>
    <row r="76" spans="1:6" ht="17.25">
      <c r="A76" s="206"/>
      <c r="B76" s="210"/>
      <c r="C76" s="208"/>
      <c r="D76" s="208"/>
      <c r="E76" s="209"/>
      <c r="F76" s="208"/>
    </row>
    <row r="77" spans="1:6" ht="17.25">
      <c r="A77" s="206"/>
      <c r="B77" s="210"/>
      <c r="C77" s="208"/>
      <c r="D77" s="208"/>
      <c r="E77" s="209"/>
      <c r="F77" s="208"/>
    </row>
    <row r="78" spans="1:6" ht="17.25">
      <c r="A78" s="206"/>
      <c r="B78" s="210"/>
      <c r="C78" s="208"/>
      <c r="D78" s="208"/>
      <c r="E78" s="209"/>
      <c r="F78" s="208"/>
    </row>
    <row r="79" spans="1:6" ht="17.25">
      <c r="A79" s="206"/>
      <c r="B79" s="210"/>
      <c r="C79" s="208"/>
      <c r="D79" s="208"/>
      <c r="E79" s="209"/>
      <c r="F79" s="208"/>
    </row>
    <row r="80" spans="1:6" ht="17.25">
      <c r="A80" s="206"/>
      <c r="B80" s="210"/>
      <c r="C80" s="208"/>
      <c r="D80" s="208"/>
      <c r="E80" s="209"/>
      <c r="F80" s="208"/>
    </row>
    <row r="81" spans="1:6" ht="17.25">
      <c r="A81" s="206"/>
      <c r="B81" s="210"/>
      <c r="C81" s="208"/>
      <c r="D81" s="208"/>
      <c r="E81" s="209"/>
      <c r="F81" s="208"/>
    </row>
    <row r="82" spans="1:6" ht="17.25">
      <c r="A82" s="206"/>
      <c r="B82" s="210"/>
      <c r="C82" s="208"/>
      <c r="D82" s="208"/>
      <c r="E82" s="209"/>
      <c r="F82" s="208"/>
    </row>
    <row r="83" spans="1:6" ht="17.25">
      <c r="A83" s="206"/>
      <c r="B83" s="210"/>
      <c r="C83" s="208"/>
      <c r="D83" s="208"/>
      <c r="E83" s="209"/>
      <c r="F83" s="208"/>
    </row>
    <row r="84" spans="1:6" ht="17.25">
      <c r="A84" s="206"/>
      <c r="B84" s="210"/>
      <c r="C84" s="208"/>
      <c r="D84" s="208"/>
      <c r="E84" s="209"/>
      <c r="F84" s="208"/>
    </row>
    <row r="85" spans="1:6" ht="17.25">
      <c r="A85" s="206"/>
      <c r="B85" s="210"/>
      <c r="C85" s="208"/>
      <c r="D85" s="208"/>
      <c r="E85" s="209"/>
      <c r="F85" s="208"/>
    </row>
    <row r="86" spans="1:6" ht="17.25">
      <c r="A86" s="206"/>
      <c r="B86" s="210"/>
      <c r="C86" s="208"/>
      <c r="D86" s="208"/>
      <c r="E86" s="209"/>
      <c r="F86" s="208"/>
    </row>
    <row r="87" spans="1:6" ht="17.25">
      <c r="A87" s="206"/>
      <c r="B87" s="210"/>
      <c r="C87" s="208"/>
      <c r="D87" s="208"/>
      <c r="E87" s="209"/>
      <c r="F87" s="208"/>
    </row>
    <row r="88" spans="1:6" ht="17.25">
      <c r="A88" s="206"/>
      <c r="B88" s="210"/>
      <c r="C88" s="208"/>
      <c r="D88" s="208"/>
      <c r="E88" s="209"/>
      <c r="F88" s="208"/>
    </row>
    <row r="89" spans="1:6" ht="17.25">
      <c r="A89" s="206"/>
      <c r="B89" s="210"/>
      <c r="C89" s="208"/>
      <c r="D89" s="208"/>
      <c r="E89" s="209"/>
      <c r="F89" s="208"/>
    </row>
    <row r="90" spans="1:6" ht="17.25">
      <c r="A90" s="206"/>
      <c r="B90" s="210"/>
      <c r="C90" s="208"/>
      <c r="D90" s="208"/>
      <c r="E90" s="209"/>
      <c r="F90" s="208"/>
    </row>
    <row r="91" spans="1:6" ht="17.25">
      <c r="A91" s="206"/>
      <c r="B91" s="210"/>
      <c r="C91" s="208"/>
      <c r="D91" s="208"/>
      <c r="E91" s="209"/>
      <c r="F91" s="208"/>
    </row>
    <row r="92" spans="1:6" ht="17.25">
      <c r="A92" s="206"/>
      <c r="B92" s="210"/>
      <c r="C92" s="208"/>
      <c r="D92" s="208"/>
      <c r="E92" s="209"/>
      <c r="F92" s="208"/>
    </row>
    <row r="93" spans="1:6" ht="17.25">
      <c r="A93" s="206"/>
      <c r="B93" s="210"/>
      <c r="C93" s="208"/>
      <c r="D93" s="208"/>
      <c r="E93" s="209"/>
      <c r="F93" s="208"/>
    </row>
    <row r="94" spans="1:6" ht="17.25">
      <c r="A94" s="206"/>
      <c r="B94" s="210"/>
      <c r="C94" s="208"/>
      <c r="D94" s="208"/>
      <c r="E94" s="209"/>
      <c r="F94" s="208"/>
    </row>
    <row r="95" spans="1:6" ht="17.25">
      <c r="A95" s="206"/>
      <c r="B95" s="210"/>
      <c r="C95" s="208"/>
      <c r="D95" s="208"/>
      <c r="E95" s="209"/>
      <c r="F95" s="208"/>
    </row>
    <row r="96" spans="1:6" ht="17.25">
      <c r="A96" s="206"/>
      <c r="B96" s="210"/>
      <c r="C96" s="208"/>
      <c r="D96" s="208"/>
      <c r="E96" s="209"/>
      <c r="F96" s="208"/>
    </row>
    <row r="97" spans="1:6" ht="17.25">
      <c r="A97" s="206"/>
      <c r="B97" s="210"/>
      <c r="C97" s="208"/>
      <c r="D97" s="208"/>
      <c r="E97" s="209"/>
      <c r="F97" s="208"/>
    </row>
    <row r="98" spans="1:6" ht="17.25">
      <c r="A98" s="206"/>
      <c r="B98" s="210"/>
      <c r="C98" s="208"/>
      <c r="D98" s="208"/>
      <c r="E98" s="209"/>
      <c r="F98" s="208"/>
    </row>
    <row r="99" spans="1:6" ht="17.25">
      <c r="A99" s="206"/>
      <c r="B99" s="210"/>
      <c r="C99" s="208"/>
      <c r="D99" s="208"/>
      <c r="E99" s="209"/>
      <c r="F99" s="208"/>
    </row>
    <row r="100" spans="1:6" ht="17.25">
      <c r="A100" s="206"/>
      <c r="B100" s="210"/>
      <c r="C100" s="208"/>
      <c r="D100" s="208"/>
      <c r="E100" s="209"/>
      <c r="F100" s="208"/>
    </row>
    <row r="101" spans="1:6" ht="17.25">
      <c r="A101" s="206"/>
      <c r="B101" s="210"/>
      <c r="C101" s="208"/>
      <c r="D101" s="208"/>
      <c r="E101" s="209"/>
      <c r="F101" s="208"/>
    </row>
    <row r="102" spans="1:6" ht="17.25">
      <c r="A102" s="206"/>
      <c r="B102" s="210"/>
      <c r="C102" s="208"/>
      <c r="D102" s="208"/>
      <c r="E102" s="209"/>
      <c r="F102" s="208"/>
    </row>
    <row r="103" spans="1:6" ht="17.25">
      <c r="A103" s="206"/>
      <c r="B103" s="210"/>
      <c r="C103" s="208"/>
      <c r="D103" s="208"/>
      <c r="E103" s="209"/>
      <c r="F103" s="208"/>
    </row>
    <row r="104" spans="1:6" ht="17.25">
      <c r="A104" s="206"/>
      <c r="B104" s="210"/>
      <c r="C104" s="208"/>
      <c r="D104" s="208"/>
      <c r="E104" s="209"/>
      <c r="F104" s="208"/>
    </row>
    <row r="105" spans="1:6" ht="17.25">
      <c r="A105" s="206"/>
      <c r="B105" s="210"/>
      <c r="C105" s="208"/>
      <c r="D105" s="208"/>
      <c r="E105" s="209"/>
      <c r="F105" s="208"/>
    </row>
    <row r="106" spans="1:6" ht="17.25">
      <c r="A106" s="206"/>
      <c r="B106" s="210"/>
      <c r="C106" s="208"/>
      <c r="D106" s="208"/>
      <c r="E106" s="209"/>
      <c r="F106" s="208"/>
    </row>
    <row r="107" spans="1:6" ht="17.25">
      <c r="A107" s="206"/>
      <c r="B107" s="210"/>
      <c r="C107" s="208"/>
      <c r="D107" s="208"/>
      <c r="E107" s="209"/>
      <c r="F107" s="208"/>
    </row>
    <row r="108" spans="1:6" ht="17.25">
      <c r="A108" s="206"/>
      <c r="B108" s="210"/>
      <c r="C108" s="208"/>
      <c r="D108" s="208"/>
      <c r="E108" s="209"/>
      <c r="F108" s="208"/>
    </row>
    <row r="109" spans="1:6" ht="17.25">
      <c r="A109" s="206"/>
      <c r="B109" s="210"/>
      <c r="C109" s="208"/>
      <c r="D109" s="208"/>
      <c r="E109" s="209"/>
      <c r="F109" s="208"/>
    </row>
    <row r="110" spans="1:6" ht="17.25">
      <c r="A110" s="206"/>
      <c r="B110" s="210"/>
      <c r="C110" s="208"/>
      <c r="D110" s="208"/>
      <c r="E110" s="209"/>
      <c r="F110" s="208"/>
    </row>
    <row r="111" spans="1:6" ht="17.25">
      <c r="A111" s="206"/>
      <c r="B111" s="210"/>
      <c r="C111" s="208"/>
      <c r="D111" s="208"/>
      <c r="E111" s="209"/>
      <c r="F111" s="208"/>
    </row>
    <row r="112" spans="1:6" ht="17.25">
      <c r="A112" s="206"/>
      <c r="B112" s="210"/>
      <c r="C112" s="208"/>
      <c r="D112" s="208"/>
      <c r="E112" s="209"/>
      <c r="F112" s="208"/>
    </row>
    <row r="113" spans="1:6" ht="17.25">
      <c r="A113" s="206"/>
      <c r="B113" s="210"/>
      <c r="C113" s="208"/>
      <c r="D113" s="208"/>
      <c r="E113" s="209"/>
      <c r="F113" s="208"/>
    </row>
    <row r="114" spans="1:6" ht="17.25">
      <c r="A114" s="206"/>
      <c r="B114" s="210"/>
      <c r="C114" s="208"/>
      <c r="D114" s="208"/>
      <c r="E114" s="209"/>
      <c r="F114" s="208"/>
    </row>
    <row r="115" spans="1:6" ht="17.25">
      <c r="A115" s="206"/>
      <c r="B115" s="210"/>
      <c r="C115" s="208"/>
      <c r="D115" s="208"/>
      <c r="E115" s="209"/>
      <c r="F115" s="208"/>
    </row>
    <row r="116" spans="1:6" ht="17.25">
      <c r="A116" s="206"/>
      <c r="B116" s="210"/>
      <c r="C116" s="208"/>
      <c r="D116" s="208"/>
      <c r="E116" s="209"/>
      <c r="F116" s="208"/>
    </row>
    <row r="117" spans="1:6" ht="17.25">
      <c r="A117" s="206"/>
      <c r="B117" s="210"/>
      <c r="C117" s="208"/>
      <c r="D117" s="208"/>
      <c r="E117" s="209"/>
      <c r="F117" s="208"/>
    </row>
    <row r="118" spans="1:6" ht="17.25">
      <c r="A118" s="206"/>
      <c r="B118" s="210"/>
      <c r="C118" s="208"/>
      <c r="D118" s="208"/>
      <c r="E118" s="209"/>
      <c r="F118" s="208"/>
    </row>
    <row r="119" spans="1:6" ht="17.25">
      <c r="A119" s="206"/>
      <c r="B119" s="210"/>
      <c r="C119" s="208"/>
      <c r="D119" s="208"/>
      <c r="E119" s="209"/>
      <c r="F119" s="208"/>
    </row>
    <row r="120" spans="1:6" ht="17.25">
      <c r="A120" s="206"/>
      <c r="B120" s="210"/>
      <c r="C120" s="208"/>
      <c r="D120" s="208"/>
      <c r="E120" s="209"/>
      <c r="F120" s="208"/>
    </row>
    <row r="121" spans="1:6" ht="17.25">
      <c r="A121" s="206"/>
      <c r="B121" s="210"/>
      <c r="C121" s="208"/>
      <c r="D121" s="208"/>
      <c r="E121" s="209"/>
      <c r="F121" s="208"/>
    </row>
    <row r="122" spans="1:6" ht="17.25">
      <c r="A122" s="206"/>
      <c r="B122" s="210"/>
      <c r="C122" s="208"/>
      <c r="D122" s="208"/>
      <c r="E122" s="209"/>
      <c r="F122" s="208"/>
    </row>
    <row r="123" spans="1:6" ht="17.25">
      <c r="A123" s="206"/>
      <c r="B123" s="210"/>
      <c r="C123" s="208"/>
      <c r="D123" s="208"/>
      <c r="E123" s="209"/>
      <c r="F123" s="208"/>
    </row>
    <row r="124" spans="1:6" ht="17.25">
      <c r="A124" s="206"/>
      <c r="B124" s="210"/>
      <c r="C124" s="208"/>
      <c r="D124" s="208"/>
      <c r="E124" s="209"/>
      <c r="F124" s="208"/>
    </row>
    <row r="125" spans="1:6" ht="17.25">
      <c r="A125" s="206"/>
      <c r="B125" s="210"/>
      <c r="C125" s="208"/>
      <c r="D125" s="208"/>
      <c r="E125" s="209"/>
      <c r="F125" s="208"/>
    </row>
    <row r="126" spans="1:6" ht="17.25">
      <c r="A126" s="206"/>
      <c r="B126" s="210"/>
      <c r="C126" s="208"/>
      <c r="D126" s="208"/>
      <c r="E126" s="209"/>
      <c r="F126" s="208"/>
    </row>
    <row r="127" spans="1:6" ht="17.25">
      <c r="A127" s="206"/>
      <c r="B127" s="210"/>
      <c r="C127" s="208"/>
      <c r="D127" s="208"/>
      <c r="E127" s="209"/>
      <c r="F127" s="208"/>
    </row>
    <row r="128" spans="1:6" ht="17.25">
      <c r="A128" s="206"/>
      <c r="B128" s="210"/>
      <c r="C128" s="208"/>
      <c r="D128" s="208"/>
      <c r="E128" s="209"/>
      <c r="F128" s="208"/>
    </row>
    <row r="129" spans="1:6" ht="17.25">
      <c r="A129" s="206"/>
      <c r="B129" s="210"/>
      <c r="C129" s="208"/>
      <c r="D129" s="208"/>
      <c r="E129" s="209"/>
      <c r="F129" s="208"/>
    </row>
    <row r="130" spans="1:6" ht="17.25">
      <c r="A130" s="206"/>
      <c r="B130" s="210"/>
      <c r="C130" s="208"/>
      <c r="D130" s="208"/>
      <c r="E130" s="209"/>
      <c r="F130" s="208"/>
    </row>
    <row r="131" spans="1:6" ht="17.25">
      <c r="A131" s="206"/>
      <c r="B131" s="210"/>
      <c r="C131" s="208"/>
      <c r="D131" s="208"/>
      <c r="E131" s="209"/>
      <c r="F131" s="208"/>
    </row>
    <row r="132" spans="1:6" ht="17.25">
      <c r="A132" s="206"/>
      <c r="B132" s="210"/>
      <c r="C132" s="208"/>
      <c r="D132" s="208"/>
      <c r="E132" s="209"/>
      <c r="F132" s="208"/>
    </row>
    <row r="133" spans="1:6" ht="17.25">
      <c r="A133" s="206"/>
      <c r="B133" s="210"/>
      <c r="C133" s="208"/>
      <c r="D133" s="208"/>
      <c r="E133" s="209"/>
      <c r="F133" s="208"/>
    </row>
    <row r="134" spans="1:6" ht="17.25">
      <c r="A134" s="206"/>
      <c r="B134" s="210"/>
      <c r="C134" s="208"/>
      <c r="D134" s="208"/>
      <c r="E134" s="209"/>
      <c r="F134" s="208"/>
    </row>
    <row r="135" spans="1:6" ht="17.25">
      <c r="A135" s="206"/>
      <c r="B135" s="210"/>
      <c r="C135" s="208"/>
      <c r="D135" s="208"/>
      <c r="E135" s="209"/>
      <c r="F135" s="208"/>
    </row>
    <row r="136" spans="1:6" ht="17.25">
      <c r="A136" s="206"/>
      <c r="B136" s="210"/>
      <c r="C136" s="208"/>
      <c r="D136" s="208"/>
      <c r="E136" s="209"/>
      <c r="F136" s="208"/>
    </row>
    <row r="137" spans="1:6" ht="17.25">
      <c r="A137" s="206"/>
      <c r="B137" s="210"/>
      <c r="C137" s="208"/>
      <c r="D137" s="208"/>
      <c r="E137" s="209"/>
      <c r="F137" s="208"/>
    </row>
    <row r="138" spans="1:6" ht="17.25">
      <c r="A138" s="206"/>
      <c r="B138" s="210"/>
      <c r="C138" s="208"/>
      <c r="D138" s="208"/>
      <c r="E138" s="209"/>
      <c r="F138" s="208"/>
    </row>
    <row r="139" spans="1:6" ht="17.25">
      <c r="A139" s="206"/>
      <c r="B139" s="210"/>
      <c r="C139" s="208"/>
      <c r="D139" s="208"/>
      <c r="E139" s="209"/>
      <c r="F139" s="208"/>
    </row>
    <row r="140" spans="1:6" ht="17.25">
      <c r="A140" s="206"/>
      <c r="B140" s="210"/>
      <c r="C140" s="208"/>
      <c r="D140" s="208"/>
      <c r="E140" s="209"/>
      <c r="F140" s="208"/>
    </row>
    <row r="141" spans="1:6" ht="17.25">
      <c r="A141" s="206"/>
      <c r="B141" s="210"/>
      <c r="C141" s="208"/>
      <c r="D141" s="208"/>
      <c r="E141" s="209"/>
      <c r="F141" s="208"/>
    </row>
    <row r="142" spans="1:6" ht="17.25">
      <c r="A142" s="206"/>
      <c r="B142" s="210"/>
      <c r="C142" s="208"/>
      <c r="D142" s="208"/>
      <c r="E142" s="209"/>
      <c r="F142" s="208"/>
    </row>
    <row r="143" spans="1:6" ht="17.25">
      <c r="A143" s="206"/>
      <c r="B143" s="210"/>
      <c r="C143" s="208"/>
      <c r="D143" s="208"/>
      <c r="E143" s="209"/>
      <c r="F143" s="208"/>
    </row>
    <row r="144" spans="1:6" ht="17.25">
      <c r="A144" s="206"/>
      <c r="B144" s="210"/>
      <c r="C144" s="208"/>
      <c r="D144" s="208"/>
      <c r="E144" s="209"/>
      <c r="F144" s="208"/>
    </row>
    <row r="145" spans="1:6" ht="17.25">
      <c r="A145" s="206"/>
      <c r="B145" s="210"/>
      <c r="C145" s="208"/>
      <c r="D145" s="208"/>
      <c r="E145" s="209"/>
      <c r="F145" s="208"/>
    </row>
    <row r="146" spans="1:6" ht="17.25">
      <c r="A146" s="206"/>
      <c r="B146" s="210"/>
      <c r="C146" s="208"/>
      <c r="D146" s="208"/>
      <c r="E146" s="209"/>
      <c r="F146" s="208"/>
    </row>
    <row r="147" spans="1:6" ht="17.25">
      <c r="A147" s="206"/>
      <c r="B147" s="210"/>
      <c r="C147" s="208"/>
      <c r="D147" s="208"/>
      <c r="E147" s="209"/>
      <c r="F147" s="208"/>
    </row>
    <row r="148" spans="1:6" ht="17.25">
      <c r="A148" s="206"/>
      <c r="B148" s="210"/>
      <c r="C148" s="208"/>
      <c r="D148" s="208"/>
      <c r="E148" s="209"/>
      <c r="F148" s="208"/>
    </row>
    <row r="149" spans="1:6" ht="17.25">
      <c r="A149" s="206"/>
      <c r="B149" s="210"/>
      <c r="C149" s="208"/>
      <c r="D149" s="208"/>
      <c r="E149" s="209"/>
      <c r="F149" s="208"/>
    </row>
    <row r="150" spans="1:6" ht="17.25">
      <c r="A150" s="206"/>
      <c r="B150" s="210"/>
      <c r="C150" s="208"/>
      <c r="D150" s="208"/>
      <c r="E150" s="209"/>
      <c r="F150" s="208"/>
    </row>
    <row r="151" spans="1:6" ht="17.25">
      <c r="A151" s="206"/>
      <c r="B151" s="210"/>
      <c r="C151" s="208"/>
      <c r="D151" s="208"/>
      <c r="E151" s="209"/>
      <c r="F151" s="208"/>
    </row>
    <row r="152" spans="1:6" ht="17.25">
      <c r="A152" s="206"/>
      <c r="B152" s="210"/>
      <c r="C152" s="208"/>
      <c r="D152" s="208"/>
      <c r="E152" s="209"/>
      <c r="F152" s="208"/>
    </row>
    <row r="153" spans="1:6" ht="17.25">
      <c r="A153" s="206"/>
      <c r="B153" s="210"/>
      <c r="C153" s="208"/>
      <c r="D153" s="208"/>
      <c r="E153" s="209"/>
      <c r="F153" s="208"/>
    </row>
    <row r="154" spans="1:6" ht="17.25">
      <c r="A154" s="206"/>
      <c r="B154" s="210"/>
      <c r="C154" s="208"/>
      <c r="D154" s="208"/>
      <c r="E154" s="209"/>
      <c r="F154" s="208"/>
    </row>
    <row r="155" spans="1:6" ht="17.25">
      <c r="A155" s="206"/>
      <c r="B155" s="210"/>
      <c r="C155" s="208"/>
      <c r="D155" s="208"/>
      <c r="E155" s="209"/>
      <c r="F155" s="208"/>
    </row>
    <row r="156" spans="1:6" ht="17.25">
      <c r="A156" s="206"/>
      <c r="B156" s="210"/>
      <c r="C156" s="208"/>
      <c r="D156" s="208"/>
      <c r="E156" s="209"/>
      <c r="F156" s="208"/>
    </row>
    <row r="157" spans="1:6" ht="17.25">
      <c r="A157" s="206"/>
      <c r="B157" s="210"/>
      <c r="C157" s="208"/>
      <c r="D157" s="208"/>
      <c r="E157" s="209"/>
      <c r="F157" s="208"/>
    </row>
    <row r="158" spans="1:6" ht="17.25">
      <c r="A158" s="206"/>
      <c r="B158" s="210"/>
      <c r="C158" s="208"/>
      <c r="D158" s="208"/>
      <c r="E158" s="209"/>
      <c r="F158" s="208"/>
    </row>
    <row r="159" spans="1:6" ht="17.25">
      <c r="A159" s="206"/>
      <c r="B159" s="210"/>
      <c r="C159" s="208"/>
      <c r="D159" s="208"/>
      <c r="E159" s="209"/>
      <c r="F159" s="208"/>
    </row>
    <row r="160" spans="1:6" ht="17.25">
      <c r="A160" s="206"/>
      <c r="B160" s="210"/>
      <c r="C160" s="208"/>
      <c r="D160" s="208"/>
      <c r="E160" s="209"/>
      <c r="F160" s="208"/>
    </row>
    <row r="161" spans="1:6" ht="17.25">
      <c r="A161" s="206"/>
      <c r="B161" s="210"/>
      <c r="C161" s="208"/>
      <c r="D161" s="208"/>
      <c r="E161" s="209"/>
      <c r="F161" s="208"/>
    </row>
    <row r="162" spans="1:6" ht="17.25">
      <c r="A162" s="206"/>
      <c r="B162" s="210"/>
      <c r="C162" s="208"/>
      <c r="D162" s="208"/>
      <c r="E162" s="209"/>
      <c r="F162" s="208"/>
    </row>
    <row r="163" spans="1:6" ht="17.25">
      <c r="A163" s="206"/>
      <c r="B163" s="210"/>
      <c r="C163" s="208"/>
      <c r="D163" s="208"/>
      <c r="E163" s="209"/>
      <c r="F163" s="208"/>
    </row>
    <row r="164" spans="1:6" ht="17.25">
      <c r="A164" s="206"/>
      <c r="B164" s="210"/>
      <c r="C164" s="208"/>
      <c r="D164" s="208"/>
      <c r="E164" s="209"/>
      <c r="F164" s="208"/>
    </row>
    <row r="165" spans="1:6" ht="17.25">
      <c r="A165" s="206"/>
      <c r="B165" s="210"/>
      <c r="C165" s="208"/>
      <c r="D165" s="208"/>
      <c r="E165" s="209"/>
      <c r="F165" s="208"/>
    </row>
    <row r="166" spans="1:6" ht="17.25">
      <c r="A166" s="206"/>
      <c r="B166" s="210"/>
      <c r="C166" s="208"/>
      <c r="D166" s="208"/>
      <c r="E166" s="209"/>
      <c r="F166" s="208"/>
    </row>
    <row r="167" spans="1:6" ht="17.25">
      <c r="A167" s="206"/>
      <c r="B167" s="210"/>
      <c r="C167" s="208"/>
      <c r="D167" s="208"/>
      <c r="E167" s="209"/>
      <c r="F167" s="208"/>
    </row>
    <row r="168" spans="1:6" ht="17.25">
      <c r="A168" s="206"/>
      <c r="B168" s="210"/>
      <c r="C168" s="208"/>
      <c r="D168" s="208"/>
      <c r="E168" s="209"/>
      <c r="F168" s="208"/>
    </row>
    <row r="169" spans="1:6" ht="17.25">
      <c r="A169" s="206"/>
      <c r="B169" s="210"/>
      <c r="C169" s="208"/>
      <c r="D169" s="208"/>
      <c r="E169" s="209"/>
      <c r="F169" s="208"/>
    </row>
    <row r="170" spans="1:6" ht="17.25">
      <c r="A170" s="206"/>
      <c r="B170" s="210"/>
      <c r="C170" s="208"/>
      <c r="D170" s="208"/>
      <c r="E170" s="209"/>
      <c r="F170" s="208"/>
    </row>
    <row r="171" spans="1:6" ht="17.25">
      <c r="A171" s="206"/>
      <c r="B171" s="210"/>
      <c r="C171" s="208"/>
      <c r="D171" s="208"/>
      <c r="E171" s="209"/>
      <c r="F171" s="208"/>
    </row>
    <row r="172" spans="1:6" ht="17.25">
      <c r="A172" s="206"/>
      <c r="B172" s="210"/>
      <c r="C172" s="208"/>
      <c r="D172" s="208"/>
      <c r="E172" s="209"/>
      <c r="F172" s="208"/>
    </row>
    <row r="173" spans="1:6" ht="17.25">
      <c r="A173" s="206"/>
      <c r="B173" s="210"/>
      <c r="C173" s="208"/>
      <c r="D173" s="208"/>
      <c r="E173" s="209"/>
      <c r="F173" s="208"/>
    </row>
    <row r="174" spans="1:6" ht="17.25">
      <c r="A174" s="206"/>
      <c r="B174" s="210"/>
      <c r="C174" s="208"/>
      <c r="D174" s="208"/>
      <c r="E174" s="209"/>
      <c r="F174" s="208"/>
    </row>
    <row r="175" spans="1:6" ht="17.25">
      <c r="A175" s="206"/>
      <c r="B175" s="210"/>
      <c r="C175" s="208"/>
      <c r="D175" s="208"/>
      <c r="E175" s="209"/>
      <c r="F175" s="208"/>
    </row>
    <row r="176" spans="1:6" ht="17.25">
      <c r="A176" s="206"/>
      <c r="B176" s="210"/>
      <c r="C176" s="208"/>
      <c r="D176" s="208"/>
      <c r="E176" s="209"/>
      <c r="F176" s="208"/>
    </row>
    <row r="177" spans="1:6" ht="17.25">
      <c r="A177" s="206"/>
      <c r="B177" s="210"/>
      <c r="C177" s="208"/>
      <c r="D177" s="208"/>
      <c r="E177" s="209"/>
      <c r="F177" s="208"/>
    </row>
    <row r="178" spans="1:6" ht="17.25">
      <c r="A178" s="206"/>
      <c r="B178" s="210"/>
      <c r="C178" s="208"/>
      <c r="D178" s="208"/>
      <c r="E178" s="209"/>
      <c r="F178" s="208"/>
    </row>
    <row r="179" spans="1:6" ht="17.25">
      <c r="A179" s="206"/>
      <c r="B179" s="210"/>
      <c r="C179" s="208"/>
      <c r="D179" s="208"/>
      <c r="E179" s="209"/>
      <c r="F179" s="208"/>
    </row>
    <row r="180" spans="1:6" ht="17.25">
      <c r="A180" s="206"/>
      <c r="B180" s="210"/>
      <c r="C180" s="208"/>
      <c r="D180" s="208"/>
      <c r="E180" s="209"/>
      <c r="F180" s="208"/>
    </row>
    <row r="181" spans="1:6" ht="17.25">
      <c r="A181" s="206"/>
      <c r="B181" s="210"/>
      <c r="C181" s="208"/>
      <c r="D181" s="208"/>
      <c r="E181" s="209"/>
      <c r="F181" s="208"/>
    </row>
    <row r="182" spans="1:6" ht="17.25">
      <c r="A182" s="206"/>
      <c r="B182" s="210"/>
      <c r="C182" s="208"/>
      <c r="D182" s="208"/>
      <c r="E182" s="209"/>
      <c r="F182" s="208"/>
    </row>
    <row r="183" spans="1:6" ht="17.25">
      <c r="A183" s="206"/>
      <c r="B183" s="210"/>
      <c r="C183" s="208"/>
      <c r="D183" s="208"/>
      <c r="E183" s="209"/>
      <c r="F183" s="208"/>
    </row>
    <row r="184" spans="1:6" ht="17.25">
      <c r="A184" s="206"/>
      <c r="B184" s="210"/>
      <c r="C184" s="208"/>
      <c r="D184" s="208"/>
      <c r="E184" s="209"/>
      <c r="F184" s="208"/>
    </row>
    <row r="185" spans="1:6" ht="17.25">
      <c r="A185" s="206"/>
      <c r="B185" s="210"/>
      <c r="C185" s="208"/>
      <c r="D185" s="208"/>
      <c r="E185" s="209"/>
      <c r="F185" s="208"/>
    </row>
    <row r="186" spans="1:6" ht="17.25">
      <c r="A186" s="206"/>
      <c r="B186" s="210"/>
      <c r="C186" s="208"/>
      <c r="D186" s="208"/>
      <c r="E186" s="209"/>
      <c r="F186" s="208"/>
    </row>
    <row r="187" spans="1:6" ht="17.25">
      <c r="A187" s="206"/>
      <c r="B187" s="210"/>
      <c r="C187" s="208"/>
      <c r="D187" s="208"/>
      <c r="E187" s="209"/>
      <c r="F187" s="208"/>
    </row>
    <row r="188" spans="1:6" ht="17.25">
      <c r="A188" s="206"/>
      <c r="B188" s="210"/>
      <c r="C188" s="208"/>
      <c r="D188" s="208"/>
      <c r="E188" s="209"/>
      <c r="F188" s="208"/>
    </row>
    <row r="189" spans="1:6" ht="17.25">
      <c r="A189" s="206"/>
      <c r="B189" s="210"/>
      <c r="C189" s="208"/>
      <c r="D189" s="208"/>
      <c r="E189" s="209"/>
      <c r="F189" s="208"/>
    </row>
    <row r="190" spans="1:6" ht="17.25">
      <c r="A190" s="206"/>
      <c r="B190" s="210"/>
      <c r="C190" s="208"/>
      <c r="D190" s="208"/>
      <c r="E190" s="209"/>
      <c r="F190" s="208"/>
    </row>
    <row r="191" spans="1:6" ht="17.25">
      <c r="A191" s="206"/>
      <c r="B191" s="210"/>
      <c r="C191" s="208"/>
      <c r="D191" s="208"/>
      <c r="E191" s="209"/>
      <c r="F191" s="208"/>
    </row>
    <row r="192" spans="1:6" ht="17.25">
      <c r="A192" s="206"/>
      <c r="B192" s="210"/>
      <c r="C192" s="208"/>
      <c r="D192" s="208"/>
      <c r="E192" s="209"/>
      <c r="F192" s="208"/>
    </row>
    <row r="193" spans="1:6" ht="17.25">
      <c r="A193" s="206"/>
      <c r="B193" s="210"/>
      <c r="C193" s="208"/>
      <c r="D193" s="208"/>
      <c r="E193" s="209"/>
      <c r="F193" s="208"/>
    </row>
    <row r="194" spans="1:6" ht="17.25">
      <c r="A194" s="206"/>
      <c r="B194" s="210"/>
      <c r="C194" s="208"/>
      <c r="D194" s="208"/>
      <c r="E194" s="209"/>
      <c r="F194" s="208"/>
    </row>
    <row r="195" spans="1:6" ht="17.25">
      <c r="A195" s="206"/>
      <c r="B195" s="210"/>
      <c r="C195" s="208"/>
      <c r="D195" s="208"/>
      <c r="E195" s="209"/>
      <c r="F195" s="208"/>
    </row>
    <row r="196" spans="1:6" ht="17.25">
      <c r="A196" s="206"/>
      <c r="B196" s="210"/>
      <c r="C196" s="208"/>
      <c r="D196" s="208"/>
      <c r="E196" s="209"/>
      <c r="F196" s="208"/>
    </row>
    <row r="197" spans="1:6" ht="17.25">
      <c r="A197" s="206"/>
      <c r="B197" s="210"/>
      <c r="C197" s="208"/>
      <c r="D197" s="208"/>
      <c r="E197" s="209"/>
      <c r="F197" s="208"/>
    </row>
    <row r="198" spans="1:6" ht="17.25">
      <c r="A198" s="206"/>
      <c r="B198" s="210"/>
      <c r="C198" s="208"/>
      <c r="D198" s="208"/>
      <c r="E198" s="209"/>
      <c r="F198" s="208"/>
    </row>
    <row r="199" spans="1:6" ht="17.25">
      <c r="A199" s="206"/>
      <c r="B199" s="210"/>
      <c r="C199" s="208"/>
      <c r="D199" s="208"/>
      <c r="E199" s="209"/>
      <c r="F199" s="208"/>
    </row>
    <row r="200" spans="1:6" ht="17.25">
      <c r="A200" s="206"/>
      <c r="B200" s="210"/>
      <c r="C200" s="208"/>
      <c r="D200" s="208"/>
      <c r="E200" s="209"/>
      <c r="F200" s="208"/>
    </row>
    <row r="201" spans="1:6" ht="17.25">
      <c r="A201" s="206"/>
      <c r="B201" s="210"/>
      <c r="C201" s="208"/>
      <c r="D201" s="208"/>
      <c r="E201" s="209"/>
      <c r="F201" s="208"/>
    </row>
    <row r="202" spans="1:6" ht="17.25">
      <c r="A202" s="206"/>
      <c r="B202" s="210"/>
      <c r="C202" s="208"/>
      <c r="D202" s="208"/>
      <c r="E202" s="209"/>
      <c r="F202" s="208"/>
    </row>
    <row r="203" spans="1:6" ht="17.25">
      <c r="A203" s="206"/>
      <c r="B203" s="210"/>
      <c r="C203" s="208"/>
      <c r="D203" s="208"/>
      <c r="E203" s="209"/>
      <c r="F203" s="208"/>
    </row>
    <row r="204" spans="1:6" ht="17.25">
      <c r="A204" s="206"/>
      <c r="B204" s="210"/>
      <c r="C204" s="208"/>
      <c r="D204" s="208"/>
      <c r="E204" s="209"/>
      <c r="F204" s="208"/>
    </row>
    <row r="205" spans="1:6" ht="17.25">
      <c r="A205" s="206"/>
      <c r="B205" s="210"/>
      <c r="C205" s="208"/>
      <c r="D205" s="208"/>
      <c r="E205" s="209"/>
      <c r="F205" s="208"/>
    </row>
    <row r="206" spans="1:6" ht="17.25">
      <c r="A206" s="206"/>
      <c r="B206" s="210"/>
      <c r="C206" s="208"/>
      <c r="D206" s="208"/>
      <c r="E206" s="209"/>
      <c r="F206" s="208"/>
    </row>
    <row r="207" spans="1:6" ht="17.25">
      <c r="A207" s="206"/>
      <c r="B207" s="210"/>
      <c r="C207" s="208"/>
      <c r="D207" s="208"/>
      <c r="E207" s="209"/>
      <c r="F207" s="208"/>
    </row>
    <row r="208" spans="1:6" ht="17.25">
      <c r="A208" s="206"/>
      <c r="B208" s="210"/>
      <c r="C208" s="208"/>
      <c r="D208" s="208"/>
      <c r="E208" s="209"/>
      <c r="F208" s="208"/>
    </row>
    <row r="209" spans="1:6" ht="17.25">
      <c r="A209" s="206"/>
      <c r="B209" s="210"/>
      <c r="C209" s="208"/>
      <c r="D209" s="208"/>
      <c r="E209" s="209"/>
      <c r="F209" s="208"/>
    </row>
    <row r="210" spans="1:6" ht="17.25">
      <c r="A210" s="206"/>
      <c r="B210" s="210"/>
      <c r="C210" s="208"/>
      <c r="D210" s="208"/>
      <c r="E210" s="209"/>
      <c r="F210" s="208"/>
    </row>
    <row r="211" spans="1:6" ht="17.25">
      <c r="A211" s="206"/>
      <c r="B211" s="210"/>
      <c r="C211" s="208"/>
      <c r="D211" s="208"/>
      <c r="E211" s="209"/>
      <c r="F211" s="208"/>
    </row>
    <row r="212" spans="1:6" ht="17.25">
      <c r="A212" s="206"/>
      <c r="B212" s="210"/>
      <c r="C212" s="208"/>
      <c r="D212" s="208"/>
      <c r="E212" s="209"/>
      <c r="F212" s="208"/>
    </row>
    <row r="213" spans="1:6" ht="17.25">
      <c r="A213" s="206"/>
      <c r="B213" s="210"/>
      <c r="C213" s="208"/>
      <c r="D213" s="208"/>
      <c r="E213" s="209"/>
      <c r="F213" s="208"/>
    </row>
    <row r="214" spans="1:6" ht="17.25">
      <c r="A214" s="206"/>
      <c r="B214" s="210"/>
      <c r="C214" s="208"/>
      <c r="D214" s="208"/>
      <c r="E214" s="209"/>
      <c r="F214" s="208"/>
    </row>
    <row r="215" spans="1:6" ht="17.25">
      <c r="A215" s="206"/>
      <c r="B215" s="210"/>
      <c r="C215" s="208"/>
      <c r="D215" s="208"/>
      <c r="E215" s="209"/>
      <c r="F215" s="208"/>
    </row>
    <row r="216" spans="1:6" ht="17.25">
      <c r="A216" s="206"/>
      <c r="B216" s="210"/>
      <c r="C216" s="208"/>
      <c r="D216" s="208"/>
      <c r="E216" s="209"/>
      <c r="F216" s="208"/>
    </row>
    <row r="217" spans="1:6" ht="17.25">
      <c r="A217" s="206"/>
      <c r="B217" s="210"/>
      <c r="C217" s="208"/>
      <c r="D217" s="208"/>
      <c r="E217" s="209"/>
      <c r="F217" s="208"/>
    </row>
    <row r="218" spans="1:6" ht="17.25">
      <c r="A218" s="206"/>
      <c r="B218" s="210"/>
      <c r="C218" s="208"/>
      <c r="D218" s="208"/>
      <c r="E218" s="209"/>
      <c r="F218" s="208"/>
    </row>
    <row r="219" spans="1:6" ht="17.25">
      <c r="A219" s="206"/>
      <c r="B219" s="210"/>
      <c r="C219" s="208"/>
      <c r="D219" s="208"/>
      <c r="E219" s="209"/>
    </row>
    <row r="220" spans="1:6" ht="17.25">
      <c r="A220" s="206"/>
      <c r="B220" s="210"/>
      <c r="C220" s="208"/>
      <c r="D220" s="208"/>
      <c r="E220" s="209"/>
    </row>
    <row r="221" spans="1:6" ht="17.25">
      <c r="A221" s="206"/>
      <c r="B221" s="210"/>
      <c r="C221" s="208"/>
      <c r="D221" s="208"/>
      <c r="E221" s="209"/>
    </row>
    <row r="222" spans="1:6" ht="17.25">
      <c r="A222" s="206"/>
      <c r="B222" s="210"/>
      <c r="C222" s="208"/>
      <c r="D222" s="208"/>
      <c r="E222" s="209"/>
    </row>
    <row r="223" spans="1:6" ht="17.25">
      <c r="A223" s="206"/>
      <c r="B223" s="210"/>
      <c r="C223" s="208"/>
      <c r="D223" s="208"/>
      <c r="E223" s="209"/>
    </row>
    <row r="224" spans="1:6" ht="17.25">
      <c r="A224" s="206"/>
      <c r="B224" s="210"/>
      <c r="C224" s="208"/>
      <c r="D224" s="208"/>
      <c r="E224" s="209"/>
    </row>
    <row r="225" spans="1:5" ht="17.25">
      <c r="A225" s="206"/>
      <c r="B225" s="210"/>
      <c r="C225" s="208"/>
      <c r="D225" s="208"/>
      <c r="E225" s="209"/>
    </row>
    <row r="226" spans="1:5" ht="17.25">
      <c r="A226" s="206"/>
      <c r="B226" s="210"/>
      <c r="C226" s="208"/>
      <c r="D226" s="208"/>
      <c r="E226" s="209"/>
    </row>
    <row r="227" spans="1:5" ht="17.25">
      <c r="A227" s="206"/>
      <c r="B227" s="210"/>
      <c r="C227" s="208"/>
      <c r="D227" s="208"/>
      <c r="E227" s="209"/>
    </row>
    <row r="228" spans="1:5" ht="17.25">
      <c r="A228" s="206"/>
      <c r="B228" s="210"/>
      <c r="C228" s="208"/>
      <c r="D228" s="208"/>
      <c r="E228" s="209"/>
    </row>
    <row r="229" spans="1:5" ht="17.25">
      <c r="A229" s="206"/>
      <c r="B229" s="210"/>
      <c r="C229" s="208"/>
      <c r="D229" s="208"/>
      <c r="E229" s="209"/>
    </row>
    <row r="230" spans="1:5" ht="17.25">
      <c r="A230" s="206"/>
      <c r="B230" s="210"/>
      <c r="C230" s="208"/>
      <c r="D230" s="208"/>
      <c r="E230" s="209"/>
    </row>
    <row r="231" spans="1:5" ht="17.25">
      <c r="A231" s="206"/>
      <c r="B231" s="210"/>
      <c r="C231" s="208"/>
      <c r="D231" s="208"/>
      <c r="E231" s="209"/>
    </row>
    <row r="232" spans="1:5" ht="17.25">
      <c r="A232" s="206"/>
      <c r="B232" s="210"/>
      <c r="C232" s="208"/>
      <c r="D232" s="208"/>
      <c r="E232" s="209"/>
    </row>
    <row r="233" spans="1:5" ht="17.25">
      <c r="A233" s="206"/>
      <c r="B233" s="210"/>
      <c r="C233" s="208"/>
      <c r="D233" s="208"/>
      <c r="E233" s="209"/>
    </row>
    <row r="234" spans="1:5" ht="17.25">
      <c r="A234" s="206"/>
      <c r="B234" s="210"/>
      <c r="C234" s="208"/>
      <c r="D234" s="208"/>
      <c r="E234" s="209"/>
    </row>
    <row r="235" spans="1:5" ht="17.25">
      <c r="A235" s="206"/>
      <c r="B235" s="210"/>
      <c r="C235" s="208"/>
      <c r="D235" s="208"/>
      <c r="E235" s="209"/>
    </row>
    <row r="236" spans="1:5" ht="17.25">
      <c r="A236" s="206"/>
      <c r="B236" s="210"/>
      <c r="C236" s="208"/>
      <c r="D236" s="208"/>
      <c r="E236" s="209"/>
    </row>
    <row r="237" spans="1:5" ht="17.25">
      <c r="A237" s="206"/>
      <c r="B237" s="210"/>
      <c r="C237" s="208"/>
      <c r="D237" s="208"/>
      <c r="E237" s="209"/>
    </row>
    <row r="238" spans="1:5" ht="17.25">
      <c r="A238" s="206"/>
      <c r="B238" s="210"/>
      <c r="C238" s="208"/>
      <c r="D238" s="208"/>
      <c r="E238" s="209"/>
    </row>
    <row r="239" spans="1:5" ht="17.25">
      <c r="A239" s="206"/>
      <c r="B239" s="210"/>
      <c r="C239" s="208"/>
      <c r="D239" s="208"/>
      <c r="E239" s="209"/>
    </row>
    <row r="240" spans="1:5" ht="17.25">
      <c r="A240" s="206"/>
      <c r="B240" s="210"/>
      <c r="C240" s="208"/>
      <c r="D240" s="208"/>
      <c r="E240" s="209"/>
    </row>
    <row r="241" spans="1:5" ht="17.25">
      <c r="A241" s="206"/>
      <c r="B241" s="210"/>
      <c r="C241" s="208"/>
      <c r="D241" s="208"/>
      <c r="E241" s="209"/>
    </row>
    <row r="242" spans="1:5" ht="17.25">
      <c r="A242" s="206"/>
      <c r="B242" s="210"/>
      <c r="C242" s="208"/>
      <c r="D242" s="208"/>
      <c r="E242" s="209"/>
    </row>
    <row r="243" spans="1:5" ht="17.25">
      <c r="A243" s="206"/>
      <c r="B243" s="210"/>
      <c r="C243" s="208"/>
      <c r="D243" s="208"/>
      <c r="E243" s="209"/>
    </row>
    <row r="244" spans="1:5" ht="17.25">
      <c r="A244" s="206"/>
      <c r="B244" s="210"/>
      <c r="C244" s="208"/>
      <c r="D244" s="208"/>
      <c r="E244" s="209"/>
    </row>
    <row r="245" spans="1:5" ht="17.25">
      <c r="A245" s="206"/>
      <c r="B245" s="210"/>
      <c r="C245" s="208"/>
      <c r="D245" s="208"/>
      <c r="E245" s="209"/>
    </row>
    <row r="246" spans="1:5" ht="17.25">
      <c r="A246" s="206"/>
      <c r="B246" s="210"/>
      <c r="C246" s="208"/>
      <c r="D246" s="208"/>
      <c r="E246" s="209"/>
    </row>
    <row r="247" spans="1:5" ht="17.25">
      <c r="A247" s="206"/>
      <c r="B247" s="210"/>
      <c r="C247" s="208"/>
      <c r="D247" s="208"/>
      <c r="E247" s="209"/>
    </row>
    <row r="248" spans="1:5" ht="17.25">
      <c r="A248" s="206"/>
      <c r="B248" s="210"/>
      <c r="C248" s="208"/>
      <c r="D248" s="208"/>
      <c r="E248" s="209"/>
    </row>
    <row r="249" spans="1:5" ht="17.25">
      <c r="A249" s="206"/>
      <c r="B249" s="210"/>
      <c r="C249" s="208"/>
      <c r="D249" s="208"/>
      <c r="E249" s="209"/>
    </row>
    <row r="250" spans="1:5" ht="17.25">
      <c r="A250" s="206"/>
      <c r="B250" s="210"/>
      <c r="C250" s="208"/>
      <c r="D250" s="208"/>
      <c r="E250" s="209"/>
    </row>
    <row r="251" spans="1:5" ht="17.25">
      <c r="A251" s="206"/>
      <c r="B251" s="210"/>
      <c r="C251" s="208"/>
      <c r="D251" s="208"/>
      <c r="E251" s="209"/>
    </row>
    <row r="252" spans="1:5" ht="17.25">
      <c r="A252" s="206"/>
      <c r="B252" s="210"/>
      <c r="C252" s="208"/>
      <c r="D252" s="208"/>
      <c r="E252" s="209"/>
    </row>
    <row r="253" spans="1:5" ht="17.25">
      <c r="A253" s="206"/>
      <c r="B253" s="210"/>
      <c r="C253" s="208"/>
      <c r="D253" s="208"/>
      <c r="E253" s="209"/>
    </row>
    <row r="254" spans="1:5" ht="17.25">
      <c r="A254" s="206"/>
      <c r="B254" s="210"/>
      <c r="C254" s="208"/>
      <c r="D254" s="208"/>
      <c r="E254" s="209"/>
    </row>
    <row r="255" spans="1:5" ht="17.25">
      <c r="A255" s="206"/>
      <c r="B255" s="210"/>
      <c r="C255" s="208"/>
      <c r="D255" s="208"/>
      <c r="E255" s="209"/>
    </row>
    <row r="256" spans="1:5" ht="17.25">
      <c r="A256" s="206"/>
      <c r="B256" s="210"/>
      <c r="C256" s="208"/>
      <c r="D256" s="208"/>
      <c r="E256" s="209"/>
    </row>
    <row r="257" spans="1:5" ht="17.25">
      <c r="A257" s="206"/>
      <c r="B257" s="210"/>
      <c r="C257" s="208"/>
      <c r="D257" s="208"/>
      <c r="E257" s="209"/>
    </row>
    <row r="258" spans="1:5" ht="17.25">
      <c r="A258" s="206"/>
      <c r="B258" s="210"/>
      <c r="C258" s="208"/>
      <c r="D258" s="208"/>
      <c r="E258" s="209"/>
    </row>
    <row r="259" spans="1:5" ht="17.25">
      <c r="A259" s="206"/>
      <c r="B259" s="210"/>
      <c r="C259" s="208"/>
      <c r="D259" s="208"/>
      <c r="E259" s="209"/>
    </row>
    <row r="260" spans="1:5" ht="17.25">
      <c r="A260" s="206"/>
      <c r="B260" s="210"/>
      <c r="C260" s="208"/>
      <c r="D260" s="208"/>
      <c r="E260" s="209"/>
    </row>
    <row r="261" spans="1:5" ht="17.25">
      <c r="A261" s="206"/>
      <c r="B261" s="210"/>
      <c r="C261" s="208"/>
      <c r="D261" s="208"/>
      <c r="E261" s="209"/>
    </row>
    <row r="262" spans="1:5" ht="17.25">
      <c r="A262" s="206"/>
      <c r="B262" s="210"/>
      <c r="C262" s="208"/>
      <c r="D262" s="208"/>
      <c r="E262" s="209"/>
    </row>
    <row r="263" spans="1:5" ht="17.25">
      <c r="A263" s="206"/>
      <c r="B263" s="210"/>
      <c r="C263" s="208"/>
      <c r="D263" s="208"/>
      <c r="E263" s="209"/>
    </row>
    <row r="264" spans="1:5" ht="17.25">
      <c r="A264" s="206"/>
      <c r="B264" s="210"/>
      <c r="C264" s="208"/>
      <c r="D264" s="208"/>
      <c r="E264" s="209"/>
    </row>
    <row r="265" spans="1:5" ht="17.25">
      <c r="A265" s="206"/>
      <c r="B265" s="210"/>
      <c r="C265" s="208"/>
      <c r="D265" s="208"/>
      <c r="E265" s="209"/>
    </row>
    <row r="266" spans="1:5" ht="17.25">
      <c r="A266" s="206"/>
      <c r="B266" s="210"/>
      <c r="C266" s="208"/>
      <c r="D266" s="208"/>
      <c r="E266" s="209"/>
    </row>
    <row r="267" spans="1:5" ht="17.25">
      <c r="A267" s="206"/>
      <c r="B267" s="210"/>
      <c r="C267" s="208"/>
      <c r="D267" s="208"/>
      <c r="E267" s="209"/>
    </row>
    <row r="268" spans="1:5" ht="17.25">
      <c r="A268" s="206"/>
      <c r="B268" s="210"/>
      <c r="C268" s="208"/>
      <c r="D268" s="208"/>
      <c r="E268" s="209"/>
    </row>
    <row r="269" spans="1:5" ht="17.25">
      <c r="A269" s="206"/>
      <c r="B269" s="210"/>
      <c r="C269" s="208"/>
      <c r="D269" s="208"/>
      <c r="E269" s="209"/>
    </row>
    <row r="270" spans="1:5" ht="17.25">
      <c r="A270" s="206"/>
      <c r="B270" s="210"/>
      <c r="C270" s="208"/>
      <c r="D270" s="208"/>
      <c r="E270" s="209"/>
    </row>
    <row r="271" spans="1:5" ht="17.25">
      <c r="A271" s="206"/>
      <c r="B271" s="210"/>
      <c r="C271" s="208"/>
      <c r="D271" s="208"/>
      <c r="E271" s="209"/>
    </row>
    <row r="272" spans="1:5" ht="17.25">
      <c r="A272" s="206"/>
      <c r="B272" s="210"/>
      <c r="C272" s="208"/>
      <c r="D272" s="208"/>
      <c r="E272" s="209"/>
    </row>
    <row r="273" spans="1:5" ht="17.25">
      <c r="A273" s="206"/>
      <c r="B273" s="210"/>
      <c r="C273" s="208"/>
      <c r="D273" s="208"/>
      <c r="E273" s="209"/>
    </row>
    <row r="274" spans="1:5" ht="17.25">
      <c r="A274" s="206"/>
      <c r="B274" s="210"/>
      <c r="C274" s="208"/>
      <c r="D274" s="208"/>
      <c r="E274" s="209"/>
    </row>
    <row r="275" spans="1:5" ht="17.25">
      <c r="A275" s="206"/>
      <c r="B275" s="210"/>
      <c r="C275" s="208"/>
      <c r="D275" s="208"/>
      <c r="E275" s="209"/>
    </row>
    <row r="276" spans="1:5" ht="17.25">
      <c r="A276" s="206"/>
      <c r="B276" s="210"/>
      <c r="C276" s="208"/>
      <c r="D276" s="208"/>
      <c r="E276" s="209"/>
    </row>
    <row r="277" spans="1:5" ht="17.25">
      <c r="A277" s="206"/>
      <c r="B277" s="210"/>
      <c r="C277" s="208"/>
      <c r="D277" s="208"/>
      <c r="E277" s="209"/>
    </row>
    <row r="278" spans="1:5" ht="17.25">
      <c r="A278" s="206"/>
      <c r="B278" s="210"/>
      <c r="C278" s="208"/>
      <c r="D278" s="208"/>
      <c r="E278" s="209"/>
    </row>
    <row r="279" spans="1:5" ht="17.25">
      <c r="A279" s="206"/>
      <c r="B279" s="210"/>
      <c r="C279" s="208"/>
      <c r="D279" s="208"/>
      <c r="E279" s="209"/>
    </row>
    <row r="280" spans="1:5" ht="17.25">
      <c r="A280" s="206"/>
      <c r="B280" s="210"/>
      <c r="C280" s="208"/>
      <c r="D280" s="208"/>
      <c r="E280" s="209"/>
    </row>
    <row r="281" spans="1:5" ht="17.25">
      <c r="A281" s="206"/>
      <c r="B281" s="210"/>
      <c r="C281" s="208"/>
      <c r="D281" s="208"/>
      <c r="E281" s="209"/>
    </row>
    <row r="282" spans="1:5" ht="17.25">
      <c r="A282" s="206"/>
      <c r="B282" s="210"/>
      <c r="C282" s="208"/>
      <c r="D282" s="208"/>
      <c r="E282" s="209"/>
    </row>
    <row r="283" spans="1:5" ht="17.25">
      <c r="A283" s="206"/>
      <c r="B283" s="210"/>
      <c r="C283" s="208"/>
      <c r="D283" s="208"/>
      <c r="E283" s="209"/>
    </row>
    <row r="284" spans="1:5" ht="17.25">
      <c r="A284" s="206"/>
      <c r="B284" s="210"/>
      <c r="C284" s="208"/>
      <c r="D284" s="208"/>
      <c r="E284" s="209"/>
    </row>
    <row r="285" spans="1:5" ht="17.25">
      <c r="A285" s="206"/>
      <c r="B285" s="210"/>
      <c r="C285" s="208"/>
      <c r="D285" s="208"/>
      <c r="E285" s="209"/>
    </row>
    <row r="286" spans="1:5" ht="17.25">
      <c r="A286" s="206"/>
      <c r="B286" s="210"/>
      <c r="C286" s="208"/>
      <c r="D286" s="208"/>
      <c r="E286" s="209"/>
    </row>
    <row r="287" spans="1:5" ht="17.25">
      <c r="A287" s="206"/>
      <c r="B287" s="210"/>
      <c r="C287" s="208"/>
      <c r="D287" s="208"/>
      <c r="E287" s="209"/>
    </row>
    <row r="288" spans="1:5" ht="17.25">
      <c r="A288" s="206"/>
      <c r="B288" s="210"/>
      <c r="C288" s="208"/>
      <c r="D288" s="208"/>
      <c r="E288" s="209"/>
    </row>
    <row r="289" spans="1:5" ht="17.25">
      <c r="A289" s="206"/>
      <c r="B289" s="210"/>
      <c r="C289" s="208"/>
      <c r="D289" s="208"/>
      <c r="E289" s="209"/>
    </row>
    <row r="290" spans="1:5" ht="17.25">
      <c r="A290" s="206"/>
      <c r="B290" s="210"/>
      <c r="C290" s="208"/>
      <c r="D290" s="208"/>
      <c r="E290" s="209"/>
    </row>
    <row r="291" spans="1:5" ht="17.25">
      <c r="A291" s="206"/>
      <c r="B291" s="210"/>
      <c r="C291" s="208"/>
      <c r="D291" s="208"/>
      <c r="E291" s="209"/>
    </row>
    <row r="292" spans="1:5" ht="17.25">
      <c r="A292" s="206"/>
      <c r="B292" s="210"/>
      <c r="C292" s="208"/>
      <c r="D292" s="208"/>
      <c r="E292" s="209"/>
    </row>
    <row r="293" spans="1:5" ht="17.25">
      <c r="A293" s="206"/>
      <c r="B293" s="210"/>
      <c r="C293" s="208"/>
      <c r="D293" s="208"/>
      <c r="E293" s="209"/>
    </row>
    <row r="294" spans="1:5" ht="17.25">
      <c r="A294" s="206"/>
      <c r="B294" s="210"/>
      <c r="C294" s="208"/>
      <c r="D294" s="208"/>
      <c r="E294" s="209"/>
    </row>
    <row r="295" spans="1:5" ht="17.25">
      <c r="A295" s="206"/>
      <c r="B295" s="210"/>
      <c r="C295" s="208"/>
      <c r="D295" s="208"/>
      <c r="E295" s="209"/>
    </row>
    <row r="296" spans="1:5" ht="17.25">
      <c r="A296" s="206"/>
      <c r="B296" s="210"/>
      <c r="C296" s="208"/>
      <c r="D296" s="208"/>
      <c r="E296" s="209"/>
    </row>
    <row r="297" spans="1:5" ht="17.25">
      <c r="A297" s="206"/>
      <c r="B297" s="210"/>
      <c r="C297" s="208"/>
      <c r="D297" s="208"/>
      <c r="E297" s="209"/>
    </row>
    <row r="298" spans="1:5" ht="17.25">
      <c r="A298" s="206"/>
      <c r="B298" s="210"/>
      <c r="C298" s="208"/>
      <c r="D298" s="208"/>
      <c r="E298" s="209"/>
    </row>
    <row r="299" spans="1:5" ht="17.25">
      <c r="A299" s="206"/>
      <c r="B299" s="210"/>
      <c r="C299" s="208"/>
      <c r="D299" s="208"/>
      <c r="E299" s="209"/>
    </row>
    <row r="300" spans="1:5" ht="17.25">
      <c r="A300" s="206"/>
      <c r="B300" s="210"/>
      <c r="C300" s="208"/>
      <c r="D300" s="208"/>
      <c r="E300" s="209"/>
    </row>
    <row r="301" spans="1:5" ht="17.25">
      <c r="A301" s="206"/>
      <c r="B301" s="210"/>
      <c r="C301" s="208"/>
      <c r="D301" s="208"/>
      <c r="E301" s="209"/>
    </row>
    <row r="302" spans="1:5" ht="17.25">
      <c r="A302" s="206"/>
      <c r="B302" s="210"/>
      <c r="C302" s="208"/>
      <c r="D302" s="208"/>
      <c r="E302" s="209"/>
    </row>
    <row r="303" spans="1:5" ht="17.25">
      <c r="A303" s="206"/>
      <c r="B303" s="210"/>
      <c r="C303" s="208"/>
      <c r="D303" s="208"/>
      <c r="E303" s="209"/>
    </row>
    <row r="304" spans="1:5" ht="17.25">
      <c r="A304" s="206"/>
      <c r="B304" s="210"/>
      <c r="C304" s="208"/>
      <c r="D304" s="208"/>
      <c r="E304" s="209"/>
    </row>
    <row r="305" spans="2:2" ht="17.25">
      <c r="B305" s="209"/>
    </row>
    <row r="306" spans="2:2" ht="17.25">
      <c r="B306" s="209"/>
    </row>
    <row r="307" spans="2:2" ht="17.25">
      <c r="B307" s="209"/>
    </row>
    <row r="308" spans="2:2" ht="17.25">
      <c r="B308" s="209"/>
    </row>
    <row r="309" spans="2:2" ht="17.25">
      <c r="B309" s="209"/>
    </row>
    <row r="310" spans="2:2" ht="17.25">
      <c r="B310" s="209"/>
    </row>
    <row r="311" spans="2:2" ht="17.25">
      <c r="B311" s="209"/>
    </row>
    <row r="312" spans="2:2" ht="17.25">
      <c r="B312" s="209"/>
    </row>
    <row r="313" spans="2:2" ht="17.25">
      <c r="B313" s="209"/>
    </row>
    <row r="314" spans="2:2" ht="17.25">
      <c r="B314" s="209"/>
    </row>
    <row r="315" spans="2:2" ht="17.25">
      <c r="B315" s="209"/>
    </row>
    <row r="316" spans="2:2" ht="17.25">
      <c r="B316" s="209"/>
    </row>
    <row r="317" spans="2:2" ht="17.25">
      <c r="B317" s="209"/>
    </row>
    <row r="318" spans="2:2" ht="17.25">
      <c r="B318" s="209"/>
    </row>
    <row r="319" spans="2:2" ht="17.25">
      <c r="B319" s="209"/>
    </row>
    <row r="320" spans="2:2" ht="17.25">
      <c r="B320" s="209"/>
    </row>
    <row r="321" spans="2:2" ht="17.25">
      <c r="B321" s="209"/>
    </row>
    <row r="322" spans="2:2" ht="17.25">
      <c r="B322" s="209"/>
    </row>
    <row r="323" spans="2:2" ht="17.25">
      <c r="B323" s="209"/>
    </row>
    <row r="324" spans="2:2" ht="17.25">
      <c r="B324" s="209"/>
    </row>
    <row r="325" spans="2:2" ht="17.25">
      <c r="B325" s="209"/>
    </row>
    <row r="326" spans="2:2" ht="17.25">
      <c r="B326" s="209"/>
    </row>
    <row r="327" spans="2:2" ht="17.25">
      <c r="B327" s="209"/>
    </row>
    <row r="328" spans="2:2" ht="17.25">
      <c r="B328" s="209"/>
    </row>
    <row r="329" spans="2:2" ht="17.25">
      <c r="B329" s="209"/>
    </row>
    <row r="330" spans="2:2" ht="17.25">
      <c r="B330" s="209"/>
    </row>
    <row r="331" spans="2:2" ht="17.25">
      <c r="B331" s="209"/>
    </row>
    <row r="332" spans="2:2" ht="17.25">
      <c r="B332" s="209"/>
    </row>
    <row r="333" spans="2:2" ht="17.25">
      <c r="B333" s="209"/>
    </row>
    <row r="334" spans="2:2" ht="17.25">
      <c r="B334" s="209"/>
    </row>
    <row r="335" spans="2:2" ht="17.25">
      <c r="B335" s="209"/>
    </row>
    <row r="336" spans="2:2" ht="17.25">
      <c r="B336" s="209"/>
    </row>
    <row r="337" spans="2:2" ht="17.25">
      <c r="B337" s="209"/>
    </row>
    <row r="338" spans="2:2" ht="17.25">
      <c r="B338" s="209"/>
    </row>
    <row r="339" spans="2:2" ht="17.25">
      <c r="B339" s="209"/>
    </row>
    <row r="340" spans="2:2" ht="17.25">
      <c r="B340" s="209"/>
    </row>
    <row r="341" spans="2:2" ht="17.25">
      <c r="B341" s="209"/>
    </row>
    <row r="342" spans="2:2" ht="17.25">
      <c r="B342" s="209"/>
    </row>
    <row r="343" spans="2:2" ht="17.25">
      <c r="B343" s="209"/>
    </row>
    <row r="344" spans="2:2" ht="17.25">
      <c r="B344" s="209"/>
    </row>
    <row r="345" spans="2:2" ht="17.25">
      <c r="B345" s="209"/>
    </row>
    <row r="346" spans="2:2" ht="17.25">
      <c r="B346" s="209"/>
    </row>
    <row r="347" spans="2:2" ht="17.25">
      <c r="B347" s="209"/>
    </row>
    <row r="348" spans="2:2" ht="17.25">
      <c r="B348" s="209"/>
    </row>
    <row r="349" spans="2:2" ht="17.25">
      <c r="B349" s="209"/>
    </row>
    <row r="350" spans="2:2" ht="17.25">
      <c r="B350" s="209"/>
    </row>
    <row r="351" spans="2:2" ht="17.25">
      <c r="B351" s="209"/>
    </row>
    <row r="352" spans="2:2" ht="17.25">
      <c r="B352" s="209"/>
    </row>
    <row r="353" spans="2:2" ht="17.25">
      <c r="B353" s="209"/>
    </row>
    <row r="354" spans="2:2" ht="17.25">
      <c r="B354" s="209"/>
    </row>
    <row r="355" spans="2:2" ht="17.25">
      <c r="B355" s="209"/>
    </row>
    <row r="356" spans="2:2" ht="17.25">
      <c r="B356" s="209"/>
    </row>
    <row r="357" spans="2:2" ht="17.25">
      <c r="B357" s="209"/>
    </row>
    <row r="358" spans="2:2" ht="17.25">
      <c r="B358" s="209"/>
    </row>
    <row r="359" spans="2:2" ht="17.25">
      <c r="B359" s="209"/>
    </row>
    <row r="360" spans="2:2" ht="17.25">
      <c r="B360" s="209"/>
    </row>
    <row r="361" spans="2:2" ht="17.25">
      <c r="B361" s="209"/>
    </row>
    <row r="362" spans="2:2" ht="17.25">
      <c r="B362" s="209"/>
    </row>
    <row r="363" spans="2:2" ht="17.25">
      <c r="B363" s="209"/>
    </row>
    <row r="364" spans="2:2" ht="17.25">
      <c r="B364" s="209"/>
    </row>
    <row r="365" spans="2:2" ht="17.25">
      <c r="B365" s="209"/>
    </row>
    <row r="366" spans="2:2" ht="17.25">
      <c r="B366" s="209"/>
    </row>
    <row r="367" spans="2:2" ht="17.25">
      <c r="B367" s="209"/>
    </row>
    <row r="368" spans="2:2" ht="17.25">
      <c r="B368" s="209"/>
    </row>
    <row r="369" spans="2:2" ht="17.25">
      <c r="B369" s="209"/>
    </row>
    <row r="370" spans="2:2" ht="17.25">
      <c r="B370" s="209"/>
    </row>
    <row r="371" spans="2:2" ht="17.25">
      <c r="B371" s="209"/>
    </row>
    <row r="372" spans="2:2" ht="17.25">
      <c r="B372" s="209"/>
    </row>
    <row r="373" spans="2:2" ht="17.25">
      <c r="B373" s="209"/>
    </row>
    <row r="374" spans="2:2" ht="17.25">
      <c r="B374" s="209"/>
    </row>
    <row r="375" spans="2:2" ht="17.25">
      <c r="B375" s="209"/>
    </row>
    <row r="376" spans="2:2" ht="17.25">
      <c r="B376" s="209"/>
    </row>
    <row r="377" spans="2:2" ht="17.25">
      <c r="B377" s="209"/>
    </row>
    <row r="378" spans="2:2" ht="17.25">
      <c r="B378" s="209"/>
    </row>
    <row r="379" spans="2:2" ht="17.25">
      <c r="B379" s="209"/>
    </row>
    <row r="380" spans="2:2" ht="17.25">
      <c r="B380" s="209"/>
    </row>
    <row r="381" spans="2:2" ht="17.25">
      <c r="B381" s="209"/>
    </row>
    <row r="382" spans="2:2" ht="17.25">
      <c r="B382" s="209"/>
    </row>
    <row r="383" spans="2:2" ht="17.25">
      <c r="B383" s="209"/>
    </row>
    <row r="384" spans="2:2" ht="17.25">
      <c r="B384" s="209"/>
    </row>
    <row r="385" spans="2:2" ht="17.25">
      <c r="B385" s="209"/>
    </row>
    <row r="386" spans="2:2" ht="17.25">
      <c r="B386" s="209"/>
    </row>
    <row r="387" spans="2:2" ht="17.25">
      <c r="B387" s="209"/>
    </row>
    <row r="388" spans="2:2" ht="17.25">
      <c r="B388" s="209"/>
    </row>
    <row r="389" spans="2:2" ht="17.25">
      <c r="B389" s="209"/>
    </row>
    <row r="390" spans="2:2" ht="17.25">
      <c r="B390" s="209"/>
    </row>
    <row r="391" spans="2:2" ht="17.25">
      <c r="B391" s="209"/>
    </row>
    <row r="392" spans="2:2" ht="17.25">
      <c r="B392" s="209"/>
    </row>
    <row r="393" spans="2:2" ht="17.25">
      <c r="B393" s="209"/>
    </row>
    <row r="394" spans="2:2" ht="17.25">
      <c r="B394" s="209"/>
    </row>
    <row r="395" spans="2:2" ht="17.25">
      <c r="B395" s="209"/>
    </row>
    <row r="396" spans="2:2" ht="17.25">
      <c r="B396" s="209"/>
    </row>
    <row r="397" spans="2:2" ht="17.25">
      <c r="B397" s="209"/>
    </row>
    <row r="398" spans="2:2" ht="17.25">
      <c r="B398" s="209"/>
    </row>
    <row r="399" spans="2:2" ht="17.25">
      <c r="B399" s="209"/>
    </row>
    <row r="400" spans="2:2" ht="17.25">
      <c r="B400" s="209"/>
    </row>
    <row r="401" spans="2:2" ht="17.25">
      <c r="B401" s="209"/>
    </row>
    <row r="402" spans="2:2" ht="17.25">
      <c r="B402" s="209"/>
    </row>
    <row r="403" spans="2:2" ht="17.25">
      <c r="B403" s="209"/>
    </row>
    <row r="404" spans="2:2" ht="17.25">
      <c r="B404" s="209"/>
    </row>
    <row r="405" spans="2:2" ht="17.25">
      <c r="B405" s="209"/>
    </row>
    <row r="406" spans="2:2" ht="17.25">
      <c r="B406" s="209"/>
    </row>
    <row r="407" spans="2:2" ht="17.25">
      <c r="B407" s="209"/>
    </row>
    <row r="408" spans="2:2" ht="17.25">
      <c r="B408" s="209"/>
    </row>
    <row r="409" spans="2:2" ht="17.25">
      <c r="B409" s="209"/>
    </row>
    <row r="410" spans="2:2" ht="17.25">
      <c r="B410" s="209"/>
    </row>
    <row r="411" spans="2:2" ht="17.25">
      <c r="B411" s="209"/>
    </row>
    <row r="412" spans="2:2" ht="17.25">
      <c r="B412" s="209"/>
    </row>
    <row r="413" spans="2:2" ht="17.25">
      <c r="B413" s="209"/>
    </row>
    <row r="414" spans="2:2" ht="17.25">
      <c r="B414" s="209"/>
    </row>
    <row r="415" spans="2:2" ht="17.25">
      <c r="B415" s="209"/>
    </row>
    <row r="416" spans="2:2" ht="17.25">
      <c r="B416" s="209"/>
    </row>
    <row r="417" spans="2:2" ht="17.25">
      <c r="B417" s="209"/>
    </row>
    <row r="418" spans="2:2" ht="17.25">
      <c r="B418" s="209"/>
    </row>
    <row r="419" spans="2:2" ht="17.25">
      <c r="B419" s="209"/>
    </row>
    <row r="420" spans="2:2" ht="17.25">
      <c r="B420" s="209"/>
    </row>
    <row r="421" spans="2:2" ht="17.25">
      <c r="B421" s="209"/>
    </row>
    <row r="422" spans="2:2" ht="17.25">
      <c r="B422" s="209"/>
    </row>
    <row r="423" spans="2:2" ht="17.25">
      <c r="B423" s="209"/>
    </row>
    <row r="424" spans="2:2" ht="17.25">
      <c r="B424" s="209"/>
    </row>
    <row r="425" spans="2:2" ht="17.25">
      <c r="B425" s="209"/>
    </row>
    <row r="426" spans="2:2" ht="17.25">
      <c r="B426" s="209"/>
    </row>
    <row r="427" spans="2:2" ht="17.25">
      <c r="B427" s="209"/>
    </row>
    <row r="428" spans="2:2" ht="17.25">
      <c r="B428" s="209"/>
    </row>
    <row r="429" spans="2:2" ht="17.25">
      <c r="B429" s="209"/>
    </row>
    <row r="430" spans="2:2" ht="17.25">
      <c r="B430" s="209"/>
    </row>
    <row r="431" spans="2:2" ht="17.25">
      <c r="B431" s="209"/>
    </row>
    <row r="432" spans="2:2" ht="17.25">
      <c r="B432" s="209"/>
    </row>
    <row r="433" spans="2:2" ht="17.25">
      <c r="B433" s="209"/>
    </row>
    <row r="434" spans="2:2" ht="17.25">
      <c r="B434" s="209"/>
    </row>
    <row r="435" spans="2:2" ht="17.25">
      <c r="B435" s="209"/>
    </row>
    <row r="436" spans="2:2" ht="17.25">
      <c r="B436" s="209"/>
    </row>
    <row r="437" spans="2:2" ht="17.25">
      <c r="B437" s="209"/>
    </row>
    <row r="438" spans="2:2" ht="17.25">
      <c r="B438" s="209"/>
    </row>
    <row r="439" spans="2:2" ht="17.25">
      <c r="B439" s="209"/>
    </row>
    <row r="440" spans="2:2" ht="17.25">
      <c r="B440" s="209"/>
    </row>
    <row r="441" spans="2:2" ht="17.25">
      <c r="B441" s="209"/>
    </row>
    <row r="442" spans="2:2" ht="17.25">
      <c r="B442" s="209"/>
    </row>
    <row r="443" spans="2:2" ht="17.25">
      <c r="B443" s="209"/>
    </row>
    <row r="444" spans="2:2" ht="17.25">
      <c r="B444" s="209"/>
    </row>
    <row r="445" spans="2:2" ht="17.25">
      <c r="B445" s="209"/>
    </row>
    <row r="446" spans="2:2" ht="17.25">
      <c r="B446" s="209"/>
    </row>
    <row r="447" spans="2:2" ht="17.25">
      <c r="B447" s="209"/>
    </row>
    <row r="448" spans="2:2" ht="17.25">
      <c r="B448" s="209"/>
    </row>
    <row r="449" spans="2:2" ht="17.25">
      <c r="B449" s="209"/>
    </row>
    <row r="450" spans="2:2" ht="17.25">
      <c r="B450" s="209"/>
    </row>
    <row r="451" spans="2:2" ht="17.25">
      <c r="B451" s="209"/>
    </row>
    <row r="452" spans="2:2" ht="17.25">
      <c r="B452" s="209"/>
    </row>
    <row r="453" spans="2:2" ht="17.25">
      <c r="B453" s="209"/>
    </row>
    <row r="454" spans="2:2" ht="17.25">
      <c r="B454" s="209"/>
    </row>
    <row r="455" spans="2:2" ht="17.25">
      <c r="B455" s="209"/>
    </row>
    <row r="456" spans="2:2" ht="17.25">
      <c r="B456" s="209"/>
    </row>
    <row r="457" spans="2:2" ht="17.25">
      <c r="B457" s="209"/>
    </row>
    <row r="458" spans="2:2" ht="17.25">
      <c r="B458" s="209"/>
    </row>
    <row r="459" spans="2:2" ht="17.25">
      <c r="B459" s="209"/>
    </row>
    <row r="460" spans="2:2" ht="17.25">
      <c r="B460" s="209"/>
    </row>
    <row r="461" spans="2:2" ht="17.25">
      <c r="B461" s="209"/>
    </row>
    <row r="462" spans="2:2" ht="17.25">
      <c r="B462" s="209"/>
    </row>
    <row r="463" spans="2:2" ht="17.25">
      <c r="B463" s="209"/>
    </row>
    <row r="464" spans="2:2" ht="17.25">
      <c r="B464" s="209"/>
    </row>
    <row r="465" spans="2:2" ht="17.25">
      <c r="B465" s="209"/>
    </row>
    <row r="466" spans="2:2" ht="17.25">
      <c r="B466" s="209"/>
    </row>
    <row r="467" spans="2:2" ht="17.25">
      <c r="B467" s="209"/>
    </row>
    <row r="468" spans="2:2" ht="17.25">
      <c r="B468" s="209"/>
    </row>
    <row r="469" spans="2:2" ht="17.25">
      <c r="B469" s="209"/>
    </row>
    <row r="470" spans="2:2" ht="17.25">
      <c r="B470" s="209"/>
    </row>
    <row r="471" spans="2:2" ht="17.25">
      <c r="B471" s="209"/>
    </row>
    <row r="472" spans="2:2" ht="17.25">
      <c r="B472" s="209"/>
    </row>
    <row r="473" spans="2:2" ht="17.25">
      <c r="B473" s="209"/>
    </row>
    <row r="474" spans="2:2" ht="17.25">
      <c r="B474" s="209"/>
    </row>
    <row r="475" spans="2:2" ht="17.25">
      <c r="B475" s="209"/>
    </row>
    <row r="476" spans="2:2" ht="17.25">
      <c r="B476" s="209"/>
    </row>
    <row r="477" spans="2:2" ht="17.25">
      <c r="B477" s="209"/>
    </row>
    <row r="478" spans="2:2" ht="17.25">
      <c r="B478" s="209"/>
    </row>
    <row r="479" spans="2:2" ht="17.25">
      <c r="B479" s="209"/>
    </row>
    <row r="480" spans="2:2" ht="17.25">
      <c r="B480" s="209"/>
    </row>
    <row r="481" spans="2:2" ht="17.25">
      <c r="B481" s="209"/>
    </row>
    <row r="482" spans="2:2" ht="17.25">
      <c r="B482" s="209"/>
    </row>
    <row r="483" spans="2:2" ht="17.25">
      <c r="B483" s="209"/>
    </row>
    <row r="484" spans="2:2" ht="17.25">
      <c r="B484" s="209"/>
    </row>
    <row r="485" spans="2:2" ht="17.25">
      <c r="B485" s="209"/>
    </row>
    <row r="486" spans="2:2" ht="17.25">
      <c r="B486" s="209"/>
    </row>
    <row r="487" spans="2:2" ht="17.25">
      <c r="B487" s="209"/>
    </row>
    <row r="488" spans="2:2" ht="17.25">
      <c r="B488" s="209"/>
    </row>
    <row r="489" spans="2:2" ht="17.25">
      <c r="B489" s="209"/>
    </row>
    <row r="490" spans="2:2" ht="17.25">
      <c r="B490" s="209"/>
    </row>
    <row r="491" spans="2:2" ht="17.25">
      <c r="B491" s="209"/>
    </row>
    <row r="492" spans="2:2" ht="17.25">
      <c r="B492" s="209"/>
    </row>
    <row r="493" spans="2:2" ht="17.25">
      <c r="B493" s="209"/>
    </row>
    <row r="494" spans="2:2" ht="17.25">
      <c r="B494" s="209"/>
    </row>
    <row r="495" spans="2:2" ht="17.25">
      <c r="B495" s="209"/>
    </row>
    <row r="496" spans="2:2" ht="17.25">
      <c r="B496" s="209"/>
    </row>
    <row r="497" spans="2:2" ht="17.25">
      <c r="B497" s="209"/>
    </row>
    <row r="498" spans="2:2" ht="17.25">
      <c r="B498" s="209"/>
    </row>
    <row r="499" spans="2:2" ht="17.25">
      <c r="B499" s="209"/>
    </row>
    <row r="500" spans="2:2" ht="17.25">
      <c r="B500" s="209"/>
    </row>
    <row r="501" spans="2:2" ht="17.25">
      <c r="B501" s="209"/>
    </row>
    <row r="502" spans="2:2" ht="17.25">
      <c r="B502" s="209"/>
    </row>
    <row r="503" spans="2:2" ht="17.25">
      <c r="B503" s="209"/>
    </row>
    <row r="504" spans="2:2" ht="17.25">
      <c r="B504" s="209"/>
    </row>
    <row r="505" spans="2:2" ht="17.25">
      <c r="B505" s="209"/>
    </row>
    <row r="506" spans="2:2" ht="17.25">
      <c r="B506" s="209"/>
    </row>
    <row r="507" spans="2:2" ht="17.25">
      <c r="B507" s="209"/>
    </row>
    <row r="508" spans="2:2" ht="17.25">
      <c r="B508" s="209"/>
    </row>
    <row r="509" spans="2:2" ht="17.25">
      <c r="B509" s="209"/>
    </row>
    <row r="510" spans="2:2" ht="17.25">
      <c r="B510" s="209"/>
    </row>
    <row r="511" spans="2:2" ht="17.25">
      <c r="B511" s="209"/>
    </row>
    <row r="512" spans="2:2" ht="17.25">
      <c r="B512" s="209"/>
    </row>
    <row r="513" spans="2:2" ht="17.25">
      <c r="B513" s="209"/>
    </row>
    <row r="514" spans="2:2" ht="17.25">
      <c r="B514" s="209"/>
    </row>
    <row r="515" spans="2:2" ht="17.25">
      <c r="B515" s="209"/>
    </row>
    <row r="516" spans="2:2" ht="17.25">
      <c r="B516" s="209"/>
    </row>
    <row r="517" spans="2:2" ht="17.25">
      <c r="B517" s="209"/>
    </row>
    <row r="518" spans="2:2" ht="17.25">
      <c r="B518" s="209"/>
    </row>
    <row r="519" spans="2:2" ht="17.25">
      <c r="B519" s="209"/>
    </row>
    <row r="520" spans="2:2" ht="17.25">
      <c r="B520" s="209"/>
    </row>
    <row r="521" spans="2:2" ht="17.25">
      <c r="B521" s="209"/>
    </row>
    <row r="522" spans="2:2" ht="17.25">
      <c r="B522" s="209"/>
    </row>
    <row r="523" spans="2:2" ht="17.25">
      <c r="B523" s="209"/>
    </row>
    <row r="524" spans="2:2" ht="17.25">
      <c r="B524" s="209"/>
    </row>
    <row r="525" spans="2:2" ht="17.25">
      <c r="B525" s="209"/>
    </row>
    <row r="526" spans="2:2" ht="17.25">
      <c r="B526" s="209"/>
    </row>
    <row r="527" spans="2:2" ht="17.25">
      <c r="B527" s="209"/>
    </row>
    <row r="528" spans="2:2" ht="17.25">
      <c r="B528" s="209"/>
    </row>
    <row r="529" spans="2:2" ht="17.25">
      <c r="B529" s="209"/>
    </row>
    <row r="530" spans="2:2" ht="17.25">
      <c r="B530" s="209"/>
    </row>
    <row r="531" spans="2:2" ht="17.25">
      <c r="B531" s="209"/>
    </row>
    <row r="532" spans="2:2" ht="17.25">
      <c r="B532" s="209"/>
    </row>
    <row r="533" spans="2:2" ht="17.25">
      <c r="B533" s="209"/>
    </row>
    <row r="534" spans="2:2" ht="17.25">
      <c r="B534" s="209"/>
    </row>
    <row r="535" spans="2:2" ht="17.25">
      <c r="B535" s="209"/>
    </row>
    <row r="536" spans="2:2" ht="17.25">
      <c r="B536" s="209"/>
    </row>
    <row r="537" spans="2:2" ht="17.25">
      <c r="B537" s="209"/>
    </row>
    <row r="538" spans="2:2" ht="17.25">
      <c r="B538" s="209"/>
    </row>
    <row r="539" spans="2:2" ht="17.25">
      <c r="B539" s="209"/>
    </row>
    <row r="540" spans="2:2" ht="17.25">
      <c r="B540" s="209"/>
    </row>
    <row r="541" spans="2:2" ht="17.25">
      <c r="B541" s="209"/>
    </row>
    <row r="542" spans="2:2" ht="17.25">
      <c r="B542" s="209"/>
    </row>
    <row r="543" spans="2:2" ht="17.25">
      <c r="B543" s="209"/>
    </row>
    <row r="544" spans="2:2" ht="17.25">
      <c r="B544" s="209"/>
    </row>
    <row r="545" spans="2:2" ht="17.25">
      <c r="B545" s="209"/>
    </row>
    <row r="546" spans="2:2" ht="17.25">
      <c r="B546" s="209"/>
    </row>
    <row r="547" spans="2:2" ht="17.25">
      <c r="B547" s="209"/>
    </row>
    <row r="548" spans="2:2" ht="17.25">
      <c r="B548" s="209"/>
    </row>
    <row r="549" spans="2:2" ht="17.25">
      <c r="B549" s="209"/>
    </row>
    <row r="550" spans="2:2" ht="17.25">
      <c r="B550" s="209"/>
    </row>
    <row r="551" spans="2:2" ht="17.25">
      <c r="B551" s="209"/>
    </row>
    <row r="552" spans="2:2" ht="17.25">
      <c r="B552" s="209"/>
    </row>
    <row r="553" spans="2:2" ht="17.25">
      <c r="B553" s="209"/>
    </row>
    <row r="554" spans="2:2" ht="17.25">
      <c r="B554" s="209"/>
    </row>
    <row r="555" spans="2:2" ht="17.25">
      <c r="B555" s="209"/>
    </row>
    <row r="556" spans="2:2" ht="17.25">
      <c r="B556" s="209"/>
    </row>
    <row r="557" spans="2:2" ht="17.25">
      <c r="B557" s="209"/>
    </row>
    <row r="558" spans="2:2" ht="17.25">
      <c r="B558" s="209"/>
    </row>
    <row r="559" spans="2:2" ht="17.25">
      <c r="B559" s="209"/>
    </row>
    <row r="560" spans="2:2" ht="17.25">
      <c r="B560" s="209"/>
    </row>
    <row r="561" spans="2:2" ht="17.25">
      <c r="B561" s="209"/>
    </row>
    <row r="562" spans="2:2" ht="17.25">
      <c r="B562" s="209"/>
    </row>
    <row r="563" spans="2:2" ht="17.25">
      <c r="B563" s="209"/>
    </row>
    <row r="564" spans="2:2" ht="17.25">
      <c r="B564" s="209"/>
    </row>
    <row r="565" spans="2:2" ht="17.25">
      <c r="B565" s="209"/>
    </row>
    <row r="566" spans="2:2" ht="17.25">
      <c r="B566" s="209"/>
    </row>
    <row r="567" spans="2:2" ht="17.25">
      <c r="B567" s="209"/>
    </row>
    <row r="568" spans="2:2" ht="17.25">
      <c r="B568" s="209"/>
    </row>
    <row r="569" spans="2:2" ht="17.25">
      <c r="B569" s="209"/>
    </row>
    <row r="570" spans="2:2" ht="17.25">
      <c r="B570" s="209"/>
    </row>
    <row r="571" spans="2:2" ht="17.25">
      <c r="B571" s="209"/>
    </row>
    <row r="572" spans="2:2" ht="17.25">
      <c r="B572" s="209"/>
    </row>
    <row r="573" spans="2:2" ht="17.25">
      <c r="B573" s="209"/>
    </row>
    <row r="574" spans="2:2" ht="17.25">
      <c r="B574" s="209"/>
    </row>
    <row r="575" spans="2:2" ht="17.25">
      <c r="B575" s="209"/>
    </row>
    <row r="576" spans="2:2" ht="17.25">
      <c r="B576" s="209"/>
    </row>
    <row r="577" spans="2:2" ht="17.25">
      <c r="B577" s="209"/>
    </row>
    <row r="578" spans="2:2" ht="17.25">
      <c r="B578" s="209"/>
    </row>
    <row r="579" spans="2:2" ht="17.25">
      <c r="B579" s="209"/>
    </row>
    <row r="580" spans="2:2" ht="17.25">
      <c r="B580" s="209"/>
    </row>
    <row r="581" spans="2:2" ht="17.25">
      <c r="B581" s="209"/>
    </row>
    <row r="582" spans="2:2" ht="17.25">
      <c r="B582" s="209"/>
    </row>
    <row r="583" spans="2:2" ht="17.25">
      <c r="B583" s="209"/>
    </row>
    <row r="584" spans="2:2" ht="17.25">
      <c r="B584" s="209"/>
    </row>
    <row r="585" spans="2:2" ht="17.25">
      <c r="B585" s="209"/>
    </row>
    <row r="586" spans="2:2" ht="17.25">
      <c r="B586" s="209"/>
    </row>
    <row r="587" spans="2:2" ht="17.25">
      <c r="B587" s="209"/>
    </row>
    <row r="588" spans="2:2" ht="17.25">
      <c r="B588" s="209"/>
    </row>
    <row r="589" spans="2:2" ht="17.25">
      <c r="B589" s="209"/>
    </row>
    <row r="590" spans="2:2" ht="17.25">
      <c r="B590" s="209"/>
    </row>
    <row r="591" spans="2:2" ht="17.25">
      <c r="B591" s="209"/>
    </row>
    <row r="592" spans="2:2" ht="17.25">
      <c r="B592" s="209"/>
    </row>
    <row r="593" spans="2:2" ht="17.25">
      <c r="B593" s="209"/>
    </row>
    <row r="594" spans="2:2" ht="17.25">
      <c r="B594" s="209"/>
    </row>
    <row r="595" spans="2:2" ht="17.25">
      <c r="B595" s="209"/>
    </row>
    <row r="596" spans="2:2" ht="17.25">
      <c r="B596" s="209"/>
    </row>
    <row r="597" spans="2:2" ht="17.25">
      <c r="B597" s="209"/>
    </row>
    <row r="598" spans="2:2" ht="17.25">
      <c r="B598" s="209"/>
    </row>
    <row r="599" spans="2:2" ht="17.25">
      <c r="B599" s="209"/>
    </row>
    <row r="600" spans="2:2" ht="17.25">
      <c r="B600" s="209"/>
    </row>
    <row r="601" spans="2:2" ht="17.25">
      <c r="B601" s="209"/>
    </row>
    <row r="602" spans="2:2" ht="17.25">
      <c r="B602" s="209"/>
    </row>
    <row r="603" spans="2:2" ht="17.25">
      <c r="B603" s="209"/>
    </row>
    <row r="604" spans="2:2" ht="17.25">
      <c r="B604" s="209"/>
    </row>
    <row r="605" spans="2:2" ht="17.25">
      <c r="B605" s="209"/>
    </row>
    <row r="606" spans="2:2" ht="17.25">
      <c r="B606" s="209"/>
    </row>
    <row r="607" spans="2:2" ht="17.25">
      <c r="B607" s="209"/>
    </row>
    <row r="608" spans="2:2" ht="17.25">
      <c r="B608" s="209"/>
    </row>
    <row r="609" spans="2:2" ht="17.25">
      <c r="B609" s="209"/>
    </row>
    <row r="610" spans="2:2" ht="17.25">
      <c r="B610" s="209"/>
    </row>
    <row r="611" spans="2:2" ht="17.25">
      <c r="B611" s="209"/>
    </row>
    <row r="612" spans="2:2" ht="17.25">
      <c r="B612" s="209"/>
    </row>
    <row r="613" spans="2:2" ht="17.25">
      <c r="B613" s="209"/>
    </row>
    <row r="614" spans="2:2" ht="17.25">
      <c r="B614" s="209"/>
    </row>
    <row r="615" spans="2:2" ht="17.25">
      <c r="B615" s="209"/>
    </row>
    <row r="616" spans="2:2" ht="17.25">
      <c r="B616" s="209"/>
    </row>
    <row r="617" spans="2:2" ht="17.25">
      <c r="B617" s="209"/>
    </row>
    <row r="618" spans="2:2" ht="17.25">
      <c r="B618" s="209"/>
    </row>
    <row r="619" spans="2:2" ht="17.25">
      <c r="B619" s="209"/>
    </row>
    <row r="620" spans="2:2" ht="17.25">
      <c r="B620" s="209"/>
    </row>
    <row r="621" spans="2:2" ht="17.25">
      <c r="B621" s="209"/>
    </row>
    <row r="622" spans="2:2" ht="17.25">
      <c r="B622" s="209"/>
    </row>
    <row r="623" spans="2:2" ht="17.25">
      <c r="B623" s="209"/>
    </row>
    <row r="624" spans="2:2" ht="17.25">
      <c r="B624" s="209"/>
    </row>
    <row r="625" spans="2:2" ht="17.25">
      <c r="B625" s="209"/>
    </row>
    <row r="626" spans="2:2" ht="17.25">
      <c r="B626" s="209"/>
    </row>
    <row r="627" spans="2:2" ht="17.25">
      <c r="B627" s="209"/>
    </row>
    <row r="628" spans="2:2" ht="17.25">
      <c r="B628" s="209"/>
    </row>
    <row r="629" spans="2:2" ht="17.25">
      <c r="B629" s="209"/>
    </row>
    <row r="630" spans="2:2" ht="17.25">
      <c r="B630" s="209"/>
    </row>
    <row r="631" spans="2:2" ht="17.25">
      <c r="B631" s="209"/>
    </row>
    <row r="632" spans="2:2" ht="17.25">
      <c r="B632" s="209"/>
    </row>
    <row r="633" spans="2:2" ht="17.25">
      <c r="B633" s="209"/>
    </row>
    <row r="634" spans="2:2" ht="17.25">
      <c r="B634" s="209"/>
    </row>
    <row r="635" spans="2:2" ht="17.25">
      <c r="B635" s="209"/>
    </row>
    <row r="636" spans="2:2" ht="17.25">
      <c r="B636" s="209"/>
    </row>
    <row r="637" spans="2:2" ht="17.25">
      <c r="B637" s="209"/>
    </row>
    <row r="638" spans="2:2" ht="17.25">
      <c r="B638" s="209"/>
    </row>
    <row r="639" spans="2:2" ht="17.25">
      <c r="B639" s="209"/>
    </row>
    <row r="640" spans="2:2" ht="17.25">
      <c r="B640" s="209"/>
    </row>
    <row r="641" spans="2:2" ht="17.25">
      <c r="B641" s="209"/>
    </row>
    <row r="642" spans="2:2" ht="17.25">
      <c r="B642" s="209"/>
    </row>
    <row r="643" spans="2:2" ht="17.25">
      <c r="B643" s="209"/>
    </row>
    <row r="644" spans="2:2" ht="17.25">
      <c r="B644" s="209"/>
    </row>
    <row r="645" spans="2:2" ht="17.25">
      <c r="B645" s="209"/>
    </row>
    <row r="646" spans="2:2" ht="17.25">
      <c r="B646" s="209"/>
    </row>
    <row r="647" spans="2:2" ht="17.25">
      <c r="B647" s="209"/>
    </row>
    <row r="648" spans="2:2" ht="17.25">
      <c r="B648" s="209"/>
    </row>
    <row r="649" spans="2:2" ht="17.25">
      <c r="B649" s="209"/>
    </row>
    <row r="650" spans="2:2" ht="17.25">
      <c r="B650" s="209"/>
    </row>
    <row r="651" spans="2:2" ht="17.25">
      <c r="B651" s="209"/>
    </row>
    <row r="652" spans="2:2" ht="17.25">
      <c r="B652" s="209"/>
    </row>
    <row r="653" spans="2:2" ht="17.25">
      <c r="B653" s="209"/>
    </row>
    <row r="654" spans="2:2" ht="17.25">
      <c r="B654" s="209"/>
    </row>
    <row r="655" spans="2:2" ht="17.25">
      <c r="B655" s="209"/>
    </row>
    <row r="656" spans="2:2" ht="17.25">
      <c r="B656" s="209"/>
    </row>
    <row r="657" spans="2:2" ht="17.25">
      <c r="B657" s="209"/>
    </row>
    <row r="658" spans="2:2" ht="17.25">
      <c r="B658" s="209"/>
    </row>
    <row r="659" spans="2:2" ht="17.25">
      <c r="B659" s="209"/>
    </row>
    <row r="660" spans="2:2" ht="17.25">
      <c r="B660" s="209"/>
    </row>
    <row r="661" spans="2:2" ht="17.25">
      <c r="B661" s="209"/>
    </row>
    <row r="662" spans="2:2" ht="17.25">
      <c r="B662" s="209"/>
    </row>
    <row r="663" spans="2:2" ht="17.25">
      <c r="B663" s="209"/>
    </row>
    <row r="664" spans="2:2" ht="17.25">
      <c r="B664" s="209"/>
    </row>
    <row r="665" spans="2:2" ht="17.25">
      <c r="B665" s="209"/>
    </row>
    <row r="666" spans="2:2" ht="17.25">
      <c r="B666" s="209"/>
    </row>
    <row r="667" spans="2:2" ht="17.25">
      <c r="B667" s="209"/>
    </row>
    <row r="668" spans="2:2" ht="17.25">
      <c r="B668" s="209"/>
    </row>
    <row r="669" spans="2:2" ht="17.25">
      <c r="B669" s="209"/>
    </row>
    <row r="670" spans="2:2" ht="17.25">
      <c r="B670" s="209"/>
    </row>
    <row r="671" spans="2:2" ht="17.25">
      <c r="B671" s="209"/>
    </row>
    <row r="672" spans="2:2" ht="17.25">
      <c r="B672" s="209"/>
    </row>
    <row r="673" spans="2:2" ht="17.25">
      <c r="B673" s="209"/>
    </row>
    <row r="674" spans="2:2" ht="17.25">
      <c r="B674" s="209"/>
    </row>
    <row r="675" spans="2:2" ht="17.25">
      <c r="B675" s="209"/>
    </row>
    <row r="676" spans="2:2" ht="17.25">
      <c r="B676" s="209"/>
    </row>
    <row r="677" spans="2:2" ht="17.25">
      <c r="B677" s="209"/>
    </row>
    <row r="678" spans="2:2" ht="17.25">
      <c r="B678" s="209"/>
    </row>
    <row r="679" spans="2:2" ht="17.25">
      <c r="B679" s="209"/>
    </row>
    <row r="680" spans="2:2" ht="17.25">
      <c r="B680" s="209"/>
    </row>
    <row r="681" spans="2:2" ht="17.25">
      <c r="B681" s="209"/>
    </row>
    <row r="682" spans="2:2" ht="17.25">
      <c r="B682" s="209"/>
    </row>
    <row r="683" spans="2:2" ht="17.25">
      <c r="B683" s="209"/>
    </row>
    <row r="684" spans="2:2" ht="17.25">
      <c r="B684" s="209"/>
    </row>
    <row r="685" spans="2:2" ht="17.25">
      <c r="B685" s="209"/>
    </row>
    <row r="686" spans="2:2" ht="17.25">
      <c r="B686" s="209"/>
    </row>
    <row r="687" spans="2:2" ht="17.25">
      <c r="B687" s="209"/>
    </row>
    <row r="688" spans="2:2" ht="17.25">
      <c r="B688" s="209"/>
    </row>
    <row r="689" spans="2:2" ht="17.25">
      <c r="B689" s="209"/>
    </row>
    <row r="690" spans="2:2" ht="17.25">
      <c r="B690" s="209"/>
    </row>
    <row r="691" spans="2:2" ht="17.25">
      <c r="B691" s="209"/>
    </row>
    <row r="692" spans="2:2" ht="17.25">
      <c r="B692" s="209"/>
    </row>
    <row r="693" spans="2:2" ht="17.25">
      <c r="B693" s="209"/>
    </row>
    <row r="694" spans="2:2" ht="17.25">
      <c r="B694" s="209"/>
    </row>
    <row r="695" spans="2:2" ht="17.25">
      <c r="B695" s="209"/>
    </row>
    <row r="696" spans="2:2" ht="17.25">
      <c r="B696" s="209"/>
    </row>
    <row r="697" spans="2:2" ht="17.25">
      <c r="B697" s="209"/>
    </row>
    <row r="698" spans="2:2" ht="17.25">
      <c r="B698" s="209"/>
    </row>
    <row r="699" spans="2:2" ht="17.25">
      <c r="B699" s="209"/>
    </row>
    <row r="700" spans="2:2" ht="17.25">
      <c r="B700" s="209"/>
    </row>
    <row r="701" spans="2:2" ht="17.25">
      <c r="B701" s="209"/>
    </row>
    <row r="702" spans="2:2" ht="17.25">
      <c r="B702" s="209"/>
    </row>
    <row r="703" spans="2:2" ht="17.25">
      <c r="B703" s="209"/>
    </row>
    <row r="704" spans="2:2" ht="17.25">
      <c r="B704" s="209"/>
    </row>
    <row r="705" spans="2:2" ht="17.25">
      <c r="B705" s="209"/>
    </row>
    <row r="706" spans="2:2" ht="17.25">
      <c r="B706" s="209"/>
    </row>
    <row r="707" spans="2:2" ht="17.25">
      <c r="B707" s="209"/>
    </row>
    <row r="708" spans="2:2" ht="17.25">
      <c r="B708" s="209"/>
    </row>
    <row r="709" spans="2:2" ht="17.25">
      <c r="B709" s="209"/>
    </row>
    <row r="710" spans="2:2" ht="17.25">
      <c r="B710" s="209"/>
    </row>
    <row r="711" spans="2:2" ht="17.25">
      <c r="B711" s="209"/>
    </row>
    <row r="712" spans="2:2" ht="17.25">
      <c r="B712" s="209"/>
    </row>
    <row r="713" spans="2:2" ht="17.25">
      <c r="B713" s="209"/>
    </row>
    <row r="714" spans="2:2" ht="17.25">
      <c r="B714" s="209"/>
    </row>
    <row r="715" spans="2:2" ht="17.25">
      <c r="B715" s="209"/>
    </row>
    <row r="716" spans="2:2" ht="17.25">
      <c r="B716" s="209"/>
    </row>
    <row r="717" spans="2:2" ht="17.25">
      <c r="B717" s="209"/>
    </row>
    <row r="718" spans="2:2" ht="17.25">
      <c r="B718" s="209"/>
    </row>
    <row r="719" spans="2:2" ht="17.25">
      <c r="B719" s="209"/>
    </row>
    <row r="720" spans="2:2" ht="17.25">
      <c r="B720" s="209"/>
    </row>
    <row r="721" spans="2:2" ht="17.25">
      <c r="B721" s="209"/>
    </row>
    <row r="722" spans="2:2" ht="17.25">
      <c r="B722" s="209"/>
    </row>
    <row r="723" spans="2:2" ht="17.25">
      <c r="B723" s="209"/>
    </row>
    <row r="724" spans="2:2" ht="17.25">
      <c r="B724" s="209"/>
    </row>
    <row r="725" spans="2:2" ht="17.25">
      <c r="B725" s="209"/>
    </row>
    <row r="726" spans="2:2" ht="17.25">
      <c r="B726" s="209"/>
    </row>
    <row r="727" spans="2:2" ht="17.25">
      <c r="B727" s="209"/>
    </row>
    <row r="728" spans="2:2" ht="17.25">
      <c r="B728" s="209"/>
    </row>
    <row r="729" spans="2:2" ht="17.25">
      <c r="B729" s="209"/>
    </row>
    <row r="730" spans="2:2" ht="17.25">
      <c r="B730" s="209"/>
    </row>
    <row r="731" spans="2:2" ht="17.25">
      <c r="B731" s="209"/>
    </row>
    <row r="732" spans="2:2" ht="17.25">
      <c r="B732" s="209"/>
    </row>
    <row r="733" spans="2:2" ht="17.25">
      <c r="B733" s="209"/>
    </row>
    <row r="734" spans="2:2" ht="17.25">
      <c r="B734" s="209"/>
    </row>
    <row r="735" spans="2:2" ht="17.25">
      <c r="B735" s="209"/>
    </row>
    <row r="736" spans="2:2" ht="17.25">
      <c r="B736" s="209"/>
    </row>
    <row r="737" spans="2:2" ht="17.25">
      <c r="B737" s="209"/>
    </row>
    <row r="738" spans="2:2" ht="17.25">
      <c r="B738" s="209"/>
    </row>
    <row r="739" spans="2:2" ht="17.25">
      <c r="B739" s="209"/>
    </row>
    <row r="740" spans="2:2" ht="17.25">
      <c r="B740" s="209"/>
    </row>
    <row r="741" spans="2:2" ht="17.25">
      <c r="B741" s="209"/>
    </row>
    <row r="742" spans="2:2" ht="17.25">
      <c r="B742" s="209"/>
    </row>
    <row r="743" spans="2:2" ht="17.25">
      <c r="B743" s="209"/>
    </row>
    <row r="744" spans="2:2" ht="17.25">
      <c r="B744" s="209"/>
    </row>
    <row r="745" spans="2:2" ht="17.25">
      <c r="B745" s="209"/>
    </row>
    <row r="746" spans="2:2" ht="17.25">
      <c r="B746" s="209"/>
    </row>
    <row r="747" spans="2:2" ht="17.25">
      <c r="B747" s="209"/>
    </row>
    <row r="748" spans="2:2" ht="17.25">
      <c r="B748" s="209"/>
    </row>
    <row r="749" spans="2:2" ht="17.25">
      <c r="B749" s="209"/>
    </row>
    <row r="750" spans="2:2" ht="17.25">
      <c r="B750" s="209"/>
    </row>
    <row r="751" spans="2:2" ht="17.25">
      <c r="B751" s="209"/>
    </row>
    <row r="752" spans="2:2" ht="17.25">
      <c r="B752" s="209"/>
    </row>
    <row r="753" spans="2:2" ht="17.25">
      <c r="B753" s="209"/>
    </row>
    <row r="754" spans="2:2" ht="17.25">
      <c r="B754" s="209"/>
    </row>
    <row r="755" spans="2:2" ht="17.25">
      <c r="B755" s="209"/>
    </row>
    <row r="756" spans="2:2" ht="17.25">
      <c r="B756" s="209"/>
    </row>
    <row r="757" spans="2:2" ht="17.25">
      <c r="B757" s="209"/>
    </row>
    <row r="758" spans="2:2" ht="17.25">
      <c r="B758" s="209"/>
    </row>
    <row r="759" spans="2:2" ht="17.25">
      <c r="B759" s="209"/>
    </row>
    <row r="760" spans="2:2" ht="17.25">
      <c r="B760" s="209"/>
    </row>
    <row r="761" spans="2:2" ht="17.25">
      <c r="B761" s="209"/>
    </row>
    <row r="762" spans="2:2" ht="17.25">
      <c r="B762" s="209"/>
    </row>
    <row r="763" spans="2:2" ht="17.25">
      <c r="B763" s="209"/>
    </row>
    <row r="764" spans="2:2" ht="17.25">
      <c r="B764" s="209"/>
    </row>
    <row r="765" spans="2:2" ht="17.25">
      <c r="B765" s="209"/>
    </row>
    <row r="766" spans="2:2" ht="17.25">
      <c r="B766" s="209"/>
    </row>
    <row r="767" spans="2:2" ht="17.25">
      <c r="B767" s="209"/>
    </row>
    <row r="768" spans="2:2" ht="17.25">
      <c r="B768" s="209"/>
    </row>
    <row r="769" spans="2:2" ht="17.25">
      <c r="B769" s="209"/>
    </row>
    <row r="770" spans="2:2" ht="17.25">
      <c r="B770" s="209"/>
    </row>
    <row r="771" spans="2:2" ht="17.25">
      <c r="B771" s="209"/>
    </row>
    <row r="772" spans="2:2" ht="17.25">
      <c r="B772" s="209"/>
    </row>
    <row r="773" spans="2:2" ht="17.25">
      <c r="B773" s="209"/>
    </row>
    <row r="774" spans="2:2" ht="17.25">
      <c r="B774" s="209"/>
    </row>
    <row r="775" spans="2:2" ht="17.25">
      <c r="B775" s="209"/>
    </row>
    <row r="776" spans="2:2" ht="17.25">
      <c r="B776" s="209"/>
    </row>
    <row r="777" spans="2:2" ht="17.25">
      <c r="B777" s="209"/>
    </row>
    <row r="778" spans="2:2" ht="17.25">
      <c r="B778" s="209"/>
    </row>
    <row r="779" spans="2:2" ht="17.25">
      <c r="B779" s="209"/>
    </row>
    <row r="780" spans="2:2" ht="17.25">
      <c r="B780" s="209"/>
    </row>
    <row r="781" spans="2:2" ht="17.25">
      <c r="B781" s="209"/>
    </row>
    <row r="782" spans="2:2" ht="17.25">
      <c r="B782" s="209"/>
    </row>
    <row r="783" spans="2:2" ht="17.25">
      <c r="B783" s="209"/>
    </row>
    <row r="784" spans="2:2" ht="17.25">
      <c r="B784" s="209"/>
    </row>
    <row r="785" spans="2:2" ht="17.25">
      <c r="B785" s="209"/>
    </row>
    <row r="786" spans="2:2" ht="17.25">
      <c r="B786" s="209"/>
    </row>
    <row r="787" spans="2:2" ht="17.25">
      <c r="B787" s="209"/>
    </row>
    <row r="788" spans="2:2" ht="17.25">
      <c r="B788" s="209"/>
    </row>
    <row r="789" spans="2:2" ht="17.25">
      <c r="B789" s="209"/>
    </row>
    <row r="790" spans="2:2" ht="17.25">
      <c r="B790" s="209"/>
    </row>
    <row r="791" spans="2:2" ht="17.25">
      <c r="B791" s="209"/>
    </row>
    <row r="792" spans="2:2" ht="17.25">
      <c r="B792" s="209"/>
    </row>
    <row r="793" spans="2:2" ht="17.25">
      <c r="B793" s="209"/>
    </row>
    <row r="794" spans="2:2" ht="17.25">
      <c r="B794" s="209"/>
    </row>
    <row r="795" spans="2:2" ht="17.25">
      <c r="B795" s="209"/>
    </row>
    <row r="796" spans="2:2" ht="17.25">
      <c r="B796" s="209"/>
    </row>
    <row r="797" spans="2:2" ht="17.25">
      <c r="B797" s="209"/>
    </row>
    <row r="798" spans="2:2" ht="17.25">
      <c r="B798" s="209"/>
    </row>
    <row r="799" spans="2:2" ht="17.25">
      <c r="B799" s="209"/>
    </row>
    <row r="800" spans="2:2" ht="17.25">
      <c r="B800" s="209"/>
    </row>
    <row r="801" spans="2:2" ht="17.25">
      <c r="B801" s="209"/>
    </row>
    <row r="802" spans="2:2" ht="17.25">
      <c r="B802" s="209"/>
    </row>
    <row r="803" spans="2:2" ht="17.25">
      <c r="B803" s="209"/>
    </row>
    <row r="804" spans="2:2" ht="17.25">
      <c r="B804" s="209"/>
    </row>
    <row r="805" spans="2:2" ht="17.25">
      <c r="B805" s="209"/>
    </row>
    <row r="806" spans="2:2" ht="17.25">
      <c r="B806" s="209"/>
    </row>
    <row r="807" spans="2:2" ht="17.25">
      <c r="B807" s="209"/>
    </row>
    <row r="808" spans="2:2" ht="17.25">
      <c r="B808" s="209"/>
    </row>
    <row r="809" spans="2:2" ht="17.25">
      <c r="B809" s="209"/>
    </row>
    <row r="810" spans="2:2" ht="17.25">
      <c r="B810" s="209"/>
    </row>
    <row r="811" spans="2:2" ht="17.25">
      <c r="B811" s="209"/>
    </row>
    <row r="812" spans="2:2" ht="17.25">
      <c r="B812" s="209"/>
    </row>
    <row r="813" spans="2:2" ht="17.25">
      <c r="B813" s="209"/>
    </row>
    <row r="814" spans="2:2" ht="17.25">
      <c r="B814" s="209"/>
    </row>
    <row r="815" spans="2:2" ht="17.25">
      <c r="B815" s="209"/>
    </row>
    <row r="816" spans="2:2" ht="17.25">
      <c r="B816" s="209"/>
    </row>
    <row r="817" spans="2:2" ht="17.25">
      <c r="B817" s="209"/>
    </row>
    <row r="818" spans="2:2" ht="17.25">
      <c r="B818" s="209"/>
    </row>
    <row r="819" spans="2:2" ht="17.25">
      <c r="B819" s="209"/>
    </row>
    <row r="820" spans="2:2" ht="17.25">
      <c r="B820" s="209"/>
    </row>
    <row r="821" spans="2:2" ht="17.25">
      <c r="B821" s="209"/>
    </row>
    <row r="822" spans="2:2" ht="17.25">
      <c r="B822" s="209"/>
    </row>
    <row r="823" spans="2:2" ht="17.25">
      <c r="B823" s="209"/>
    </row>
    <row r="824" spans="2:2" ht="17.25">
      <c r="B824" s="209"/>
    </row>
    <row r="825" spans="2:2" ht="17.25">
      <c r="B825" s="209"/>
    </row>
    <row r="826" spans="2:2" ht="17.25">
      <c r="B826" s="209"/>
    </row>
    <row r="827" spans="2:2" ht="17.25">
      <c r="B827" s="209"/>
    </row>
    <row r="828" spans="2:2" ht="17.25">
      <c r="B828" s="209"/>
    </row>
    <row r="829" spans="2:2" ht="17.25">
      <c r="B829" s="209"/>
    </row>
    <row r="830" spans="2:2" ht="17.25">
      <c r="B830" s="209"/>
    </row>
    <row r="831" spans="2:2" ht="17.25">
      <c r="B831" s="209"/>
    </row>
    <row r="832" spans="2:2" ht="17.25">
      <c r="B832" s="209"/>
    </row>
    <row r="833" spans="2:2" ht="17.25">
      <c r="B833" s="209"/>
    </row>
    <row r="834" spans="2:2" ht="17.25">
      <c r="B834" s="209"/>
    </row>
    <row r="835" spans="2:2" ht="17.25">
      <c r="B835" s="209"/>
    </row>
    <row r="836" spans="2:2" ht="17.25">
      <c r="B836" s="209"/>
    </row>
    <row r="837" spans="2:2" ht="17.25">
      <c r="B837" s="209"/>
    </row>
    <row r="838" spans="2:2" ht="17.25">
      <c r="B838" s="209"/>
    </row>
    <row r="839" spans="2:2" ht="17.25">
      <c r="B839" s="209"/>
    </row>
    <row r="840" spans="2:2" ht="17.25">
      <c r="B840" s="209"/>
    </row>
    <row r="841" spans="2:2" ht="17.25">
      <c r="B841" s="209"/>
    </row>
    <row r="842" spans="2:2" ht="17.25">
      <c r="B842" s="209"/>
    </row>
    <row r="843" spans="2:2" ht="17.25">
      <c r="B843" s="209"/>
    </row>
    <row r="844" spans="2:2" ht="17.25">
      <c r="B844" s="209"/>
    </row>
    <row r="845" spans="2:2" ht="17.25">
      <c r="B845" s="209"/>
    </row>
    <row r="846" spans="2:2" ht="17.25">
      <c r="B846" s="209"/>
    </row>
    <row r="847" spans="2:2" ht="17.25">
      <c r="B847" s="209"/>
    </row>
    <row r="848" spans="2:2" ht="17.25">
      <c r="B848" s="209"/>
    </row>
    <row r="849" spans="2:2" ht="17.25">
      <c r="B849" s="209"/>
    </row>
    <row r="850" spans="2:2" ht="17.25">
      <c r="B850" s="209"/>
    </row>
    <row r="851" spans="2:2" ht="17.25">
      <c r="B851" s="209"/>
    </row>
    <row r="852" spans="2:2" ht="17.25">
      <c r="B852" s="209"/>
    </row>
    <row r="853" spans="2:2" ht="17.25">
      <c r="B853" s="209"/>
    </row>
    <row r="854" spans="2:2" ht="17.25">
      <c r="B854" s="209"/>
    </row>
    <row r="855" spans="2:2" ht="17.25">
      <c r="B855" s="209"/>
    </row>
    <row r="856" spans="2:2" ht="17.25">
      <c r="B856" s="209"/>
    </row>
    <row r="857" spans="2:2" ht="17.25">
      <c r="B857" s="209"/>
    </row>
    <row r="858" spans="2:2" ht="17.25">
      <c r="B858" s="209"/>
    </row>
    <row r="859" spans="2:2" ht="17.25">
      <c r="B859" s="209"/>
    </row>
    <row r="860" spans="2:2" ht="17.25">
      <c r="B860" s="209"/>
    </row>
    <row r="861" spans="2:2" ht="17.25">
      <c r="B861" s="209"/>
    </row>
    <row r="862" spans="2:2" ht="17.25">
      <c r="B862" s="209"/>
    </row>
    <row r="863" spans="2:2" ht="17.25">
      <c r="B863" s="209"/>
    </row>
    <row r="864" spans="2:2" ht="17.25">
      <c r="B864" s="209"/>
    </row>
    <row r="865" spans="2:2" ht="17.25">
      <c r="B865" s="209"/>
    </row>
    <row r="866" spans="2:2" ht="17.25">
      <c r="B866" s="209"/>
    </row>
    <row r="867" spans="2:2" ht="17.25">
      <c r="B867" s="209"/>
    </row>
    <row r="868" spans="2:2" ht="17.25">
      <c r="B868" s="209"/>
    </row>
    <row r="869" spans="2:2" ht="17.25">
      <c r="B869" s="209"/>
    </row>
    <row r="870" spans="2:2" ht="17.25">
      <c r="B870" s="209"/>
    </row>
    <row r="871" spans="2:2" ht="17.25">
      <c r="B871" s="209"/>
    </row>
    <row r="872" spans="2:2" ht="17.25">
      <c r="B872" s="209"/>
    </row>
    <row r="873" spans="2:2" ht="17.25">
      <c r="B873" s="209"/>
    </row>
    <row r="874" spans="2:2" ht="17.25">
      <c r="B874" s="209"/>
    </row>
    <row r="875" spans="2:2" ht="17.25">
      <c r="B875" s="209"/>
    </row>
    <row r="876" spans="2:2" ht="17.25">
      <c r="B876" s="209"/>
    </row>
    <row r="877" spans="2:2" ht="17.25">
      <c r="B877" s="209"/>
    </row>
    <row r="878" spans="2:2" ht="17.25">
      <c r="B878" s="209"/>
    </row>
    <row r="879" spans="2:2" ht="17.25">
      <c r="B879" s="209"/>
    </row>
    <row r="880" spans="2:2" ht="17.25">
      <c r="B880" s="209"/>
    </row>
    <row r="881" spans="2:2" ht="17.25">
      <c r="B881" s="209"/>
    </row>
    <row r="882" spans="2:2" ht="17.25">
      <c r="B882" s="209"/>
    </row>
    <row r="883" spans="2:2" ht="17.25">
      <c r="B883" s="209"/>
    </row>
    <row r="884" spans="2:2" ht="17.25">
      <c r="B884" s="209"/>
    </row>
    <row r="885" spans="2:2" ht="17.25">
      <c r="B885" s="209"/>
    </row>
    <row r="886" spans="2:2" ht="17.25">
      <c r="B886" s="209"/>
    </row>
    <row r="887" spans="2:2" ht="17.25">
      <c r="B887" s="209"/>
    </row>
    <row r="888" spans="2:2" ht="17.25">
      <c r="B888" s="209"/>
    </row>
    <row r="889" spans="2:2" ht="17.25">
      <c r="B889" s="209"/>
    </row>
    <row r="890" spans="2:2" ht="17.25">
      <c r="B890" s="209"/>
    </row>
    <row r="891" spans="2:2" ht="17.25">
      <c r="B891" s="209"/>
    </row>
    <row r="892" spans="2:2" ht="17.25">
      <c r="B892" s="209"/>
    </row>
    <row r="893" spans="2:2" ht="17.25">
      <c r="B893" s="209"/>
    </row>
    <row r="894" spans="2:2" ht="17.25">
      <c r="B894" s="209"/>
    </row>
    <row r="895" spans="2:2" ht="17.25">
      <c r="B895" s="209"/>
    </row>
    <row r="896" spans="2:2" ht="17.25">
      <c r="B896" s="209"/>
    </row>
    <row r="897" spans="2:2" ht="17.25">
      <c r="B897" s="209"/>
    </row>
    <row r="898" spans="2:2" ht="17.25">
      <c r="B898" s="209"/>
    </row>
    <row r="899" spans="2:2" ht="17.25">
      <c r="B899" s="209"/>
    </row>
    <row r="900" spans="2:2" ht="17.25">
      <c r="B900" s="209"/>
    </row>
    <row r="901" spans="2:2" ht="17.25">
      <c r="B901" s="209"/>
    </row>
    <row r="902" spans="2:2" ht="17.25">
      <c r="B902" s="209"/>
    </row>
    <row r="903" spans="2:2" ht="17.25">
      <c r="B903" s="209"/>
    </row>
    <row r="904" spans="2:2" ht="17.25">
      <c r="B904" s="209"/>
    </row>
    <row r="905" spans="2:2" ht="17.25">
      <c r="B905" s="209"/>
    </row>
    <row r="906" spans="2:2" ht="17.25">
      <c r="B906" s="209"/>
    </row>
    <row r="907" spans="2:2" ht="17.25">
      <c r="B907" s="209"/>
    </row>
    <row r="908" spans="2:2" ht="17.25">
      <c r="B908" s="209"/>
    </row>
    <row r="909" spans="2:2" ht="17.25">
      <c r="B909" s="209"/>
    </row>
    <row r="910" spans="2:2" ht="17.25">
      <c r="B910" s="209"/>
    </row>
    <row r="911" spans="2:2" ht="17.25">
      <c r="B911" s="209"/>
    </row>
    <row r="912" spans="2:2" ht="17.25">
      <c r="B912" s="209"/>
    </row>
    <row r="913" spans="2:2" ht="17.25">
      <c r="B913" s="209"/>
    </row>
    <row r="914" spans="2:2" ht="17.25">
      <c r="B914" s="209"/>
    </row>
    <row r="915" spans="2:2" ht="17.25">
      <c r="B915" s="209"/>
    </row>
    <row r="916" spans="2:2" ht="17.25">
      <c r="B916" s="209"/>
    </row>
    <row r="917" spans="2:2" ht="17.25">
      <c r="B917" s="209"/>
    </row>
    <row r="918" spans="2:2" ht="17.25">
      <c r="B918" s="209"/>
    </row>
    <row r="919" spans="2:2" ht="17.25">
      <c r="B919" s="209"/>
    </row>
    <row r="920" spans="2:2" ht="17.25">
      <c r="B920" s="209"/>
    </row>
    <row r="921" spans="2:2" ht="17.25">
      <c r="B921" s="209"/>
    </row>
    <row r="922" spans="2:2" ht="17.25">
      <c r="B922" s="209"/>
    </row>
    <row r="923" spans="2:2" ht="17.25">
      <c r="B923" s="209"/>
    </row>
    <row r="924" spans="2:2" ht="17.25">
      <c r="B924" s="209"/>
    </row>
    <row r="925" spans="2:2" ht="17.25">
      <c r="B925" s="209"/>
    </row>
    <row r="926" spans="2:2" ht="17.25">
      <c r="B926" s="209"/>
    </row>
    <row r="927" spans="2:2" ht="17.25">
      <c r="B927" s="209"/>
    </row>
    <row r="928" spans="2:2" ht="17.25">
      <c r="B928" s="209"/>
    </row>
    <row r="929" spans="2:2" ht="17.25">
      <c r="B929" s="209"/>
    </row>
    <row r="930" spans="2:2" ht="17.25">
      <c r="B930" s="209"/>
    </row>
    <row r="931" spans="2:2" ht="17.25">
      <c r="B931" s="209"/>
    </row>
    <row r="932" spans="2:2" ht="17.25">
      <c r="B932" s="209"/>
    </row>
    <row r="933" spans="2:2" ht="17.25">
      <c r="B933" s="209"/>
    </row>
    <row r="934" spans="2:2" ht="17.25">
      <c r="B934" s="209"/>
    </row>
    <row r="935" spans="2:2" ht="17.25">
      <c r="B935" s="209"/>
    </row>
    <row r="936" spans="2:2" ht="17.25">
      <c r="B936" s="209"/>
    </row>
    <row r="937" spans="2:2" ht="17.25">
      <c r="B937" s="209"/>
    </row>
    <row r="938" spans="2:2" ht="17.25">
      <c r="B938" s="209"/>
    </row>
    <row r="939" spans="2:2" ht="17.25">
      <c r="B939" s="209"/>
    </row>
    <row r="940" spans="2:2" ht="17.25">
      <c r="B940" s="209"/>
    </row>
    <row r="941" spans="2:2" ht="17.25">
      <c r="B941" s="209"/>
    </row>
    <row r="942" spans="2:2" ht="17.25">
      <c r="B942" s="209"/>
    </row>
    <row r="943" spans="2:2" ht="17.25">
      <c r="B943" s="209"/>
    </row>
    <row r="944" spans="2:2" ht="17.25">
      <c r="B944" s="209"/>
    </row>
    <row r="945" spans="2:2" ht="17.25">
      <c r="B945" s="209"/>
    </row>
    <row r="946" spans="2:2" ht="17.25">
      <c r="B946" s="209"/>
    </row>
    <row r="947" spans="2:2" ht="17.25">
      <c r="B947" s="209"/>
    </row>
    <row r="948" spans="2:2" ht="17.25">
      <c r="B948" s="209"/>
    </row>
    <row r="949" spans="2:2" ht="17.25">
      <c r="B949" s="209"/>
    </row>
    <row r="950" spans="2:2" ht="17.25">
      <c r="B950" s="209"/>
    </row>
    <row r="951" spans="2:2" ht="17.25">
      <c r="B951" s="209"/>
    </row>
    <row r="952" spans="2:2" ht="17.25">
      <c r="B952" s="209"/>
    </row>
    <row r="953" spans="2:2" ht="17.25">
      <c r="B953" s="209"/>
    </row>
    <row r="954" spans="2:2" ht="17.25">
      <c r="B954" s="209"/>
    </row>
    <row r="955" spans="2:2" ht="17.25">
      <c r="B955" s="209"/>
    </row>
    <row r="956" spans="2:2" ht="17.25">
      <c r="B956" s="209"/>
    </row>
    <row r="957" spans="2:2" ht="17.25">
      <c r="B957" s="209"/>
    </row>
    <row r="958" spans="2:2" ht="17.25">
      <c r="B958" s="209"/>
    </row>
    <row r="959" spans="2:2" ht="17.25">
      <c r="B959" s="209"/>
    </row>
    <row r="960" spans="2:2" ht="17.25">
      <c r="B960" s="209"/>
    </row>
    <row r="961" spans="2:2" ht="17.25">
      <c r="B961" s="209"/>
    </row>
    <row r="962" spans="2:2" ht="17.25">
      <c r="B962" s="209"/>
    </row>
    <row r="963" spans="2:2" ht="17.25">
      <c r="B963" s="209"/>
    </row>
    <row r="964" spans="2:2" ht="17.25">
      <c r="B964" s="209"/>
    </row>
    <row r="965" spans="2:2" ht="17.25">
      <c r="B965" s="209"/>
    </row>
    <row r="966" spans="2:2" ht="17.25">
      <c r="B966" s="209"/>
    </row>
    <row r="967" spans="2:2" ht="17.25">
      <c r="B967" s="209"/>
    </row>
    <row r="968" spans="2:2" ht="17.25">
      <c r="B968" s="209"/>
    </row>
    <row r="969" spans="2:2" ht="17.25">
      <c r="B969" s="209"/>
    </row>
    <row r="970" spans="2:2" ht="17.25">
      <c r="B970" s="209"/>
    </row>
    <row r="971" spans="2:2" ht="17.25">
      <c r="B971" s="209"/>
    </row>
    <row r="972" spans="2:2" ht="17.25">
      <c r="B972" s="209"/>
    </row>
    <row r="973" spans="2:2" ht="17.25">
      <c r="B973" s="209"/>
    </row>
    <row r="974" spans="2:2" ht="17.25">
      <c r="B974" s="209"/>
    </row>
    <row r="975" spans="2:2" ht="17.25">
      <c r="B975" s="209"/>
    </row>
    <row r="976" spans="2:2" ht="17.25">
      <c r="B976" s="209"/>
    </row>
    <row r="977" spans="2:2" ht="17.25">
      <c r="B977" s="209"/>
    </row>
    <row r="978" spans="2:2" ht="17.25">
      <c r="B978" s="209"/>
    </row>
    <row r="979" spans="2:2" ht="17.25">
      <c r="B979" s="209"/>
    </row>
    <row r="980" spans="2:2" ht="17.25">
      <c r="B980" s="209"/>
    </row>
    <row r="981" spans="2:2" ht="17.25">
      <c r="B981" s="209"/>
    </row>
    <row r="982" spans="2:2" ht="17.25">
      <c r="B982" s="209"/>
    </row>
    <row r="983" spans="2:2" ht="17.25">
      <c r="B983" s="209"/>
    </row>
    <row r="984" spans="2:2" ht="17.25">
      <c r="B984" s="209"/>
    </row>
    <row r="985" spans="2:2" ht="17.25">
      <c r="B985" s="209"/>
    </row>
    <row r="986" spans="2:2" ht="17.25">
      <c r="B986" s="209"/>
    </row>
    <row r="987" spans="2:2" ht="17.25">
      <c r="B987" s="209"/>
    </row>
    <row r="988" spans="2:2" ht="17.25">
      <c r="B988" s="209"/>
    </row>
    <row r="989" spans="2:2" ht="17.25">
      <c r="B989" s="209"/>
    </row>
    <row r="990" spans="2:2" ht="17.25">
      <c r="B990" s="209"/>
    </row>
    <row r="991" spans="2:2" ht="17.25">
      <c r="B991" s="209"/>
    </row>
    <row r="992" spans="2:2" ht="17.25">
      <c r="B992" s="209"/>
    </row>
    <row r="993" spans="2:2" ht="17.25">
      <c r="B993" s="209"/>
    </row>
    <row r="994" spans="2:2" ht="17.25">
      <c r="B994" s="209"/>
    </row>
    <row r="995" spans="2:2" ht="17.25">
      <c r="B995" s="209"/>
    </row>
    <row r="996" spans="2:2" ht="17.25">
      <c r="B996" s="209"/>
    </row>
    <row r="997" spans="2:2" ht="17.25">
      <c r="B997" s="209"/>
    </row>
    <row r="998" spans="2:2" ht="17.25">
      <c r="B998" s="209"/>
    </row>
    <row r="999" spans="2:2" ht="17.25">
      <c r="B999" s="209"/>
    </row>
    <row r="1000" spans="2:2" ht="17.25">
      <c r="B1000" s="209"/>
    </row>
    <row r="1001" spans="2:2" ht="17.25">
      <c r="B1001" s="209"/>
    </row>
    <row r="1002" spans="2:2" ht="17.25">
      <c r="B1002" s="209"/>
    </row>
    <row r="1003" spans="2:2" ht="17.25">
      <c r="B1003" s="209"/>
    </row>
    <row r="1004" spans="2:2" ht="17.25">
      <c r="B1004" s="209"/>
    </row>
    <row r="1005" spans="2:2" ht="17.25">
      <c r="B1005" s="209"/>
    </row>
    <row r="1006" spans="2:2" ht="17.25">
      <c r="B1006" s="209"/>
    </row>
    <row r="1007" spans="2:2" ht="17.25">
      <c r="B1007" s="209"/>
    </row>
    <row r="1008" spans="2:2" ht="17.25">
      <c r="B1008" s="209"/>
    </row>
    <row r="1009" spans="2:2" ht="17.25">
      <c r="B1009" s="209"/>
    </row>
    <row r="1010" spans="2:2" ht="17.25">
      <c r="B1010" s="209"/>
    </row>
    <row r="1011" spans="2:2" ht="17.25">
      <c r="B1011" s="209"/>
    </row>
    <row r="1012" spans="2:2" ht="17.25">
      <c r="B1012" s="209"/>
    </row>
    <row r="1013" spans="2:2" ht="17.25">
      <c r="B1013" s="209"/>
    </row>
    <row r="1014" spans="2:2" ht="17.25">
      <c r="B1014" s="209"/>
    </row>
    <row r="1015" spans="2:2" ht="17.25">
      <c r="B1015" s="209"/>
    </row>
    <row r="1016" spans="2:2" ht="17.25">
      <c r="B1016" s="209"/>
    </row>
    <row r="1017" spans="2:2" ht="17.25">
      <c r="B1017" s="209"/>
    </row>
    <row r="1018" spans="2:2" ht="17.25">
      <c r="B1018" s="209"/>
    </row>
    <row r="1019" spans="2:2" ht="17.25">
      <c r="B1019" s="209"/>
    </row>
    <row r="1020" spans="2:2" ht="17.25">
      <c r="B1020" s="209"/>
    </row>
    <row r="1021" spans="2:2" ht="17.25">
      <c r="B1021" s="209"/>
    </row>
    <row r="1022" spans="2:2" ht="17.25">
      <c r="B1022" s="209"/>
    </row>
    <row r="1023" spans="2:2" ht="17.25">
      <c r="B1023" s="209"/>
    </row>
    <row r="1024" spans="2:2" ht="17.25">
      <c r="B1024" s="209"/>
    </row>
    <row r="1025" spans="2:2" ht="17.25">
      <c r="B1025" s="209"/>
    </row>
    <row r="1026" spans="2:2" ht="17.25">
      <c r="B1026" s="209"/>
    </row>
    <row r="1027" spans="2:2" ht="17.25">
      <c r="B1027" s="209"/>
    </row>
    <row r="1028" spans="2:2" ht="17.25">
      <c r="B1028" s="209"/>
    </row>
    <row r="1029" spans="2:2" ht="17.25">
      <c r="B1029" s="209"/>
    </row>
    <row r="1030" spans="2:2" ht="17.25">
      <c r="B1030" s="209"/>
    </row>
    <row r="1031" spans="2:2" ht="17.25">
      <c r="B1031" s="209"/>
    </row>
    <row r="1032" spans="2:2" ht="17.25">
      <c r="B1032" s="209"/>
    </row>
    <row r="1033" spans="2:2" ht="17.25">
      <c r="B1033" s="209"/>
    </row>
    <row r="1034" spans="2:2" ht="17.25">
      <c r="B1034" s="209"/>
    </row>
    <row r="1035" spans="2:2" ht="17.25">
      <c r="B1035" s="209"/>
    </row>
    <row r="1036" spans="2:2" ht="17.25">
      <c r="B1036" s="209"/>
    </row>
    <row r="1037" spans="2:2" ht="17.25">
      <c r="B1037" s="209"/>
    </row>
    <row r="1038" spans="2:2" ht="17.25">
      <c r="B1038" s="209"/>
    </row>
    <row r="1039" spans="2:2" ht="17.25">
      <c r="B1039" s="209"/>
    </row>
    <row r="1040" spans="2:2" ht="17.25">
      <c r="B1040" s="209"/>
    </row>
    <row r="1041" spans="2:2" ht="17.25">
      <c r="B1041" s="209"/>
    </row>
    <row r="1042" spans="2:2" ht="17.25">
      <c r="B1042" s="209"/>
    </row>
    <row r="1043" spans="2:2" ht="17.25">
      <c r="B1043" s="209"/>
    </row>
    <row r="1044" spans="2:2" ht="17.25">
      <c r="B1044" s="209"/>
    </row>
    <row r="1045" spans="2:2" ht="17.25">
      <c r="B1045" s="209"/>
    </row>
    <row r="1046" spans="2:2" ht="17.25">
      <c r="B1046" s="209"/>
    </row>
    <row r="1047" spans="2:2" ht="17.25">
      <c r="B1047" s="209"/>
    </row>
    <row r="1048" spans="2:2" ht="17.25">
      <c r="B1048" s="209"/>
    </row>
    <row r="1049" spans="2:2" ht="17.25">
      <c r="B1049" s="209"/>
    </row>
    <row r="1050" spans="2:2" ht="17.25">
      <c r="B1050" s="209"/>
    </row>
    <row r="1051" spans="2:2" ht="17.25">
      <c r="B1051" s="209"/>
    </row>
    <row r="1052" spans="2:2" ht="17.25">
      <c r="B1052" s="209"/>
    </row>
    <row r="1053" spans="2:2" ht="17.25">
      <c r="B1053" s="209"/>
    </row>
    <row r="1054" spans="2:2" ht="17.25">
      <c r="B1054" s="209"/>
    </row>
    <row r="1055" spans="2:2" ht="17.25">
      <c r="B1055" s="209"/>
    </row>
    <row r="1056" spans="2:2" ht="17.25">
      <c r="B1056" s="209"/>
    </row>
    <row r="1057" spans="2:2" ht="17.25">
      <c r="B1057" s="209"/>
    </row>
    <row r="1058" spans="2:2" ht="17.25">
      <c r="B1058" s="209"/>
    </row>
    <row r="1059" spans="2:2" ht="17.25">
      <c r="B1059" s="209"/>
    </row>
    <row r="1060" spans="2:2" ht="17.25">
      <c r="B1060" s="209"/>
    </row>
    <row r="1061" spans="2:2" ht="17.25">
      <c r="B1061" s="209"/>
    </row>
    <row r="1062" spans="2:2" ht="17.25">
      <c r="B1062" s="209"/>
    </row>
    <row r="1063" spans="2:2" ht="17.25">
      <c r="B1063" s="209"/>
    </row>
    <row r="1064" spans="2:2" ht="17.25">
      <c r="B1064" s="209"/>
    </row>
    <row r="1065" spans="2:2" ht="17.25">
      <c r="B1065" s="209"/>
    </row>
    <row r="1066" spans="2:2" ht="17.25">
      <c r="B1066" s="209"/>
    </row>
    <row r="1067" spans="2:2" ht="17.25">
      <c r="B1067" s="209"/>
    </row>
    <row r="1068" spans="2:2" ht="17.25">
      <c r="B1068" s="209"/>
    </row>
    <row r="1069" spans="2:2" ht="17.25">
      <c r="B1069" s="209"/>
    </row>
    <row r="1070" spans="2:2" ht="17.25">
      <c r="B1070" s="209"/>
    </row>
    <row r="1071" spans="2:2" ht="17.25">
      <c r="B1071" s="209"/>
    </row>
    <row r="1072" spans="2:2" ht="17.25">
      <c r="B1072" s="209"/>
    </row>
    <row r="1073" spans="2:2" ht="17.25">
      <c r="B1073" s="209"/>
    </row>
    <row r="1074" spans="2:2" ht="17.25">
      <c r="B1074" s="209"/>
    </row>
    <row r="1075" spans="2:2" ht="17.25">
      <c r="B1075" s="209"/>
    </row>
    <row r="1076" spans="2:2" ht="17.25">
      <c r="B1076" s="209"/>
    </row>
    <row r="1077" spans="2:2" ht="17.25">
      <c r="B1077" s="209"/>
    </row>
    <row r="1078" spans="2:2" ht="17.25">
      <c r="B1078" s="209"/>
    </row>
    <row r="1079" spans="2:2" ht="17.25">
      <c r="B1079" s="209"/>
    </row>
    <row r="1080" spans="2:2" ht="17.25">
      <c r="B1080" s="209"/>
    </row>
    <row r="1081" spans="2:2" ht="17.25">
      <c r="B1081" s="209"/>
    </row>
    <row r="1082" spans="2:2" ht="17.25">
      <c r="B1082" s="209"/>
    </row>
    <row r="1083" spans="2:2" ht="17.25">
      <c r="B1083" s="209"/>
    </row>
    <row r="1084" spans="2:2" ht="17.25">
      <c r="B1084" s="209"/>
    </row>
    <row r="1085" spans="2:2" ht="17.25">
      <c r="B1085" s="209"/>
    </row>
    <row r="1086" spans="2:2" ht="17.25">
      <c r="B1086" s="209"/>
    </row>
    <row r="1087" spans="2:2" ht="17.25">
      <c r="B1087" s="209"/>
    </row>
    <row r="1088" spans="2:2" ht="17.25">
      <c r="B1088" s="209"/>
    </row>
    <row r="1089" spans="2:2" ht="17.25">
      <c r="B1089" s="209"/>
    </row>
    <row r="1090" spans="2:2" ht="17.25">
      <c r="B1090" s="209"/>
    </row>
    <row r="1091" spans="2:2" ht="17.25">
      <c r="B1091" s="209"/>
    </row>
    <row r="1092" spans="2:2" ht="17.25">
      <c r="B1092" s="209"/>
    </row>
    <row r="1093" spans="2:2" ht="17.25">
      <c r="B1093" s="209"/>
    </row>
    <row r="1094" spans="2:2" ht="17.25">
      <c r="B1094" s="209"/>
    </row>
    <row r="1095" spans="2:2" ht="17.25">
      <c r="B1095" s="209"/>
    </row>
    <row r="1096" spans="2:2" ht="17.25">
      <c r="B1096" s="209"/>
    </row>
    <row r="1097" spans="2:2" ht="17.25">
      <c r="B1097" s="209"/>
    </row>
    <row r="1098" spans="2:2" ht="17.25">
      <c r="B1098" s="209"/>
    </row>
    <row r="1099" spans="2:2" ht="17.25">
      <c r="B1099" s="209"/>
    </row>
    <row r="1100" spans="2:2" ht="17.25">
      <c r="B1100" s="209"/>
    </row>
    <row r="1101" spans="2:2" ht="17.25">
      <c r="B1101" s="209"/>
    </row>
    <row r="1102" spans="2:2" ht="17.25">
      <c r="B1102" s="209"/>
    </row>
    <row r="1103" spans="2:2" ht="17.25">
      <c r="B1103" s="209"/>
    </row>
    <row r="1104" spans="2:2" ht="17.25">
      <c r="B1104" s="209"/>
    </row>
    <row r="1105" spans="2:2" ht="17.25">
      <c r="B1105" s="209"/>
    </row>
    <row r="1106" spans="2:2" ht="17.25">
      <c r="B1106" s="209"/>
    </row>
    <row r="1107" spans="2:2" ht="17.25">
      <c r="B1107" s="209"/>
    </row>
    <row r="1108" spans="2:2" ht="17.25">
      <c r="B1108" s="209"/>
    </row>
    <row r="1109" spans="2:2" ht="17.25">
      <c r="B1109" s="209"/>
    </row>
    <row r="1110" spans="2:2" ht="17.25">
      <c r="B1110" s="209"/>
    </row>
    <row r="1111" spans="2:2" ht="17.25">
      <c r="B1111" s="209"/>
    </row>
    <row r="1112" spans="2:2" ht="17.25">
      <c r="B1112" s="209"/>
    </row>
    <row r="1113" spans="2:2" ht="17.25">
      <c r="B1113" s="209"/>
    </row>
    <row r="1114" spans="2:2" ht="17.25">
      <c r="B1114" s="209"/>
    </row>
    <row r="1115" spans="2:2" ht="17.25">
      <c r="B1115" s="209"/>
    </row>
    <row r="1116" spans="2:2" ht="17.25">
      <c r="B1116" s="209"/>
    </row>
    <row r="1117" spans="2:2" ht="17.25">
      <c r="B1117" s="209"/>
    </row>
    <row r="1118" spans="2:2" ht="17.25">
      <c r="B1118" s="209"/>
    </row>
    <row r="1119" spans="2:2" ht="17.25">
      <c r="B1119" s="209"/>
    </row>
    <row r="1120" spans="2:2" ht="17.25">
      <c r="B1120" s="209"/>
    </row>
    <row r="1121" spans="2:2" ht="17.25">
      <c r="B1121" s="209"/>
    </row>
    <row r="1122" spans="2:2" ht="17.25">
      <c r="B1122" s="209"/>
    </row>
    <row r="1123" spans="2:2" ht="17.25">
      <c r="B1123" s="209"/>
    </row>
    <row r="1124" spans="2:2" ht="17.25">
      <c r="B1124" s="209"/>
    </row>
    <row r="1125" spans="2:2" ht="17.25">
      <c r="B1125" s="209"/>
    </row>
    <row r="1126" spans="2:2" ht="17.25">
      <c r="B1126" s="209"/>
    </row>
    <row r="1127" spans="2:2" ht="17.25">
      <c r="B1127" s="209"/>
    </row>
    <row r="1128" spans="2:2" ht="17.25">
      <c r="B1128" s="209"/>
    </row>
    <row r="1129" spans="2:2" ht="17.25">
      <c r="B1129" s="209"/>
    </row>
    <row r="1130" spans="2:2" ht="17.25">
      <c r="B1130" s="209"/>
    </row>
    <row r="1131" spans="2:2" ht="17.25">
      <c r="B1131" s="209"/>
    </row>
    <row r="1132" spans="2:2" ht="17.25">
      <c r="B1132" s="209"/>
    </row>
    <row r="1133" spans="2:2" ht="17.25">
      <c r="B1133" s="209"/>
    </row>
    <row r="1134" spans="2:2" ht="17.25">
      <c r="B1134" s="209"/>
    </row>
    <row r="1135" spans="2:2" ht="17.25">
      <c r="B1135" s="209"/>
    </row>
    <row r="1136" spans="2:2" ht="17.25">
      <c r="B1136" s="209"/>
    </row>
    <row r="1137" spans="2:2" ht="17.25">
      <c r="B1137" s="209"/>
    </row>
    <row r="1138" spans="2:2" ht="17.25">
      <c r="B1138" s="209"/>
    </row>
    <row r="1139" spans="2:2" ht="17.25">
      <c r="B1139" s="209"/>
    </row>
    <row r="1140" spans="2:2" ht="17.25">
      <c r="B1140" s="209"/>
    </row>
    <row r="1141" spans="2:2" ht="17.25">
      <c r="B1141" s="209"/>
    </row>
    <row r="1142" spans="2:2" ht="17.25">
      <c r="B1142" s="209"/>
    </row>
    <row r="1143" spans="2:2" ht="17.25">
      <c r="B1143" s="209"/>
    </row>
    <row r="1144" spans="2:2" ht="17.25">
      <c r="B1144" s="209"/>
    </row>
    <row r="1145" spans="2:2" ht="17.25">
      <c r="B1145" s="209"/>
    </row>
    <row r="1146" spans="2:2" ht="17.25">
      <c r="B1146" s="209"/>
    </row>
    <row r="1147" spans="2:2" ht="17.25">
      <c r="B1147" s="209"/>
    </row>
    <row r="1148" spans="2:2" ht="17.25">
      <c r="B1148" s="209"/>
    </row>
    <row r="1149" spans="2:2" ht="17.25">
      <c r="B1149" s="209"/>
    </row>
    <row r="1150" spans="2:2" ht="17.25">
      <c r="B1150" s="209"/>
    </row>
    <row r="1151" spans="2:2" ht="17.25">
      <c r="B1151" s="209"/>
    </row>
    <row r="1152" spans="2:2" ht="17.25">
      <c r="B1152" s="209"/>
    </row>
    <row r="1153" spans="2:2" ht="17.25">
      <c r="B1153" s="209"/>
    </row>
    <row r="1154" spans="2:2" ht="17.25">
      <c r="B1154" s="209"/>
    </row>
    <row r="1155" spans="2:2" ht="17.25">
      <c r="B1155" s="209"/>
    </row>
    <row r="1156" spans="2:2" ht="17.25">
      <c r="B1156" s="209"/>
    </row>
    <row r="1157" spans="2:2" ht="17.25">
      <c r="B1157" s="209"/>
    </row>
    <row r="1158" spans="2:2" ht="17.25">
      <c r="B1158" s="209"/>
    </row>
    <row r="1159" spans="2:2" ht="17.25">
      <c r="B1159" s="209"/>
    </row>
    <row r="1160" spans="2:2" ht="17.25">
      <c r="B1160" s="209"/>
    </row>
    <row r="1161" spans="2:2" ht="17.25">
      <c r="B1161" s="209"/>
    </row>
    <row r="1162" spans="2:2" ht="17.25">
      <c r="B1162" s="209"/>
    </row>
    <row r="1163" spans="2:2" ht="17.25">
      <c r="B1163" s="209"/>
    </row>
    <row r="1164" spans="2:2" ht="17.25">
      <c r="B1164" s="209"/>
    </row>
    <row r="1165" spans="2:2" ht="17.25">
      <c r="B1165" s="209"/>
    </row>
    <row r="1166" spans="2:2" ht="17.25">
      <c r="B1166" s="209"/>
    </row>
    <row r="1167" spans="2:2" ht="17.25">
      <c r="B1167" s="209"/>
    </row>
    <row r="1168" spans="2:2" ht="17.25">
      <c r="B1168" s="209"/>
    </row>
    <row r="1169" spans="2:2" ht="17.25">
      <c r="B1169" s="209"/>
    </row>
    <row r="1170" spans="2:2" ht="17.25">
      <c r="B1170" s="209"/>
    </row>
    <row r="1171" spans="2:2" ht="17.25">
      <c r="B1171" s="209"/>
    </row>
    <row r="1172" spans="2:2" ht="17.25">
      <c r="B1172" s="209"/>
    </row>
    <row r="1173" spans="2:2" ht="17.25">
      <c r="B1173" s="209"/>
    </row>
    <row r="1174" spans="2:2" ht="17.25">
      <c r="B1174" s="209"/>
    </row>
    <row r="1175" spans="2:2" ht="17.25">
      <c r="B1175" s="209"/>
    </row>
    <row r="1176" spans="2:2" ht="17.25">
      <c r="B1176" s="209"/>
    </row>
    <row r="1177" spans="2:2" ht="17.25">
      <c r="B1177" s="209"/>
    </row>
    <row r="1178" spans="2:2" ht="17.25">
      <c r="B1178" s="209"/>
    </row>
    <row r="1179" spans="2:2" ht="17.25">
      <c r="B1179" s="209"/>
    </row>
    <row r="1180" spans="2:2" ht="17.25">
      <c r="B1180" s="209"/>
    </row>
    <row r="1181" spans="2:2" ht="17.25">
      <c r="B1181" s="209"/>
    </row>
    <row r="1182" spans="2:2" ht="17.25">
      <c r="B1182" s="209"/>
    </row>
    <row r="1183" spans="2:2" ht="17.25">
      <c r="B1183" s="209"/>
    </row>
    <row r="1184" spans="2:2" ht="17.25">
      <c r="B1184" s="209"/>
    </row>
    <row r="1185" spans="2:2" ht="17.25">
      <c r="B1185" s="209"/>
    </row>
    <row r="1186" spans="2:2" ht="17.25">
      <c r="B1186" s="209"/>
    </row>
    <row r="1187" spans="2:2" ht="17.25">
      <c r="B1187" s="209"/>
    </row>
    <row r="1188" spans="2:2" ht="17.25">
      <c r="B1188" s="209"/>
    </row>
    <row r="1189" spans="2:2" ht="17.25">
      <c r="B1189" s="209"/>
    </row>
    <row r="1190" spans="2:2" ht="17.25">
      <c r="B1190" s="209"/>
    </row>
    <row r="1191" spans="2:2" ht="17.25">
      <c r="B1191" s="209"/>
    </row>
    <row r="1192" spans="2:2" ht="17.25">
      <c r="B1192" s="209"/>
    </row>
    <row r="1193" spans="2:2" ht="17.25">
      <c r="B1193" s="209"/>
    </row>
    <row r="1194" spans="2:2" ht="17.25">
      <c r="B1194" s="209"/>
    </row>
    <row r="1195" spans="2:2" ht="17.25">
      <c r="B1195" s="209"/>
    </row>
    <row r="1196" spans="2:2" ht="17.25">
      <c r="B1196" s="209"/>
    </row>
    <row r="1197" spans="2:2" ht="17.25">
      <c r="B1197" s="209"/>
    </row>
    <row r="1198" spans="2:2" ht="17.25">
      <c r="B1198" s="209"/>
    </row>
    <row r="1199" spans="2:2" ht="17.25">
      <c r="B1199" s="209"/>
    </row>
    <row r="1200" spans="2:2" ht="17.25">
      <c r="B1200" s="209"/>
    </row>
    <row r="1201" spans="2:2" ht="17.25">
      <c r="B1201" s="209"/>
    </row>
    <row r="1202" spans="2:2" ht="17.25">
      <c r="B1202" s="209"/>
    </row>
    <row r="1203" spans="2:2" ht="17.25">
      <c r="B1203" s="209"/>
    </row>
    <row r="1204" spans="2:2" ht="17.25">
      <c r="B1204" s="209"/>
    </row>
    <row r="1205" spans="2:2" ht="17.25">
      <c r="B1205" s="209"/>
    </row>
    <row r="1206" spans="2:2" ht="17.25">
      <c r="B1206" s="209"/>
    </row>
    <row r="1207" spans="2:2" ht="17.25">
      <c r="B1207" s="209"/>
    </row>
    <row r="1208" spans="2:2" ht="17.25">
      <c r="B1208" s="209"/>
    </row>
    <row r="1209" spans="2:2" ht="17.25">
      <c r="B1209" s="209"/>
    </row>
    <row r="1210" spans="2:2" ht="17.25">
      <c r="B1210" s="209"/>
    </row>
    <row r="1211" spans="2:2" ht="17.25">
      <c r="B1211" s="209"/>
    </row>
    <row r="1212" spans="2:2" ht="17.25">
      <c r="B1212" s="209"/>
    </row>
    <row r="1213" spans="2:2" ht="17.25">
      <c r="B1213" s="209"/>
    </row>
    <row r="1214" spans="2:2" ht="17.25">
      <c r="B1214" s="209"/>
    </row>
    <row r="1215" spans="2:2" ht="17.25">
      <c r="B1215" s="209"/>
    </row>
    <row r="1216" spans="2:2" ht="17.25">
      <c r="B1216" s="209"/>
    </row>
    <row r="1217" spans="2:2" ht="17.25">
      <c r="B1217" s="209"/>
    </row>
    <row r="1218" spans="2:2" ht="17.25">
      <c r="B1218" s="209"/>
    </row>
    <row r="1219" spans="2:2" ht="17.25">
      <c r="B1219" s="209"/>
    </row>
    <row r="1220" spans="2:2" ht="17.25">
      <c r="B1220" s="209"/>
    </row>
    <row r="1221" spans="2:2" ht="17.25">
      <c r="B1221" s="209"/>
    </row>
    <row r="1222" spans="2:2" ht="17.25">
      <c r="B1222" s="209"/>
    </row>
    <row r="1223" spans="2:2" ht="17.25">
      <c r="B1223" s="209"/>
    </row>
    <row r="1224" spans="2:2" ht="17.25">
      <c r="B1224" s="209"/>
    </row>
    <row r="1225" spans="2:2" ht="17.25">
      <c r="B1225" s="209"/>
    </row>
    <row r="1226" spans="2:2" ht="17.25">
      <c r="B1226" s="209"/>
    </row>
    <row r="1227" spans="2:2" ht="17.25">
      <c r="B1227" s="209"/>
    </row>
    <row r="1228" spans="2:2" ht="17.25">
      <c r="B1228" s="209"/>
    </row>
    <row r="1229" spans="2:2" ht="17.25">
      <c r="B1229" s="209"/>
    </row>
    <row r="1230" spans="2:2" ht="17.25">
      <c r="B1230" s="209"/>
    </row>
    <row r="1231" spans="2:2" ht="17.25">
      <c r="B1231" s="209"/>
    </row>
    <row r="1232" spans="2:2" ht="17.25">
      <c r="B1232" s="209"/>
    </row>
    <row r="1233" spans="2:2" ht="17.25">
      <c r="B1233" s="209"/>
    </row>
    <row r="1234" spans="2:2" ht="17.25">
      <c r="B1234" s="209"/>
    </row>
    <row r="1235" spans="2:2" ht="17.25">
      <c r="B1235" s="209"/>
    </row>
    <row r="1236" spans="2:2" ht="17.25">
      <c r="B1236" s="209"/>
    </row>
    <row r="1237" spans="2:2" ht="17.25">
      <c r="B1237" s="209"/>
    </row>
    <row r="1238" spans="2:2" ht="17.25">
      <c r="B1238" s="209"/>
    </row>
    <row r="1239" spans="2:2" ht="17.25">
      <c r="B1239" s="209"/>
    </row>
    <row r="1240" spans="2:2" ht="17.25">
      <c r="B1240" s="209"/>
    </row>
    <row r="1241" spans="2:2" ht="17.25">
      <c r="B1241" s="209"/>
    </row>
    <row r="1242" spans="2:2" ht="17.25">
      <c r="B1242" s="209"/>
    </row>
    <row r="1243" spans="2:2" ht="17.25">
      <c r="B1243" s="209"/>
    </row>
    <row r="1244" spans="2:2" ht="17.25">
      <c r="B1244" s="209"/>
    </row>
    <row r="1245" spans="2:2" ht="17.25">
      <c r="B1245" s="209"/>
    </row>
    <row r="1246" spans="2:2" ht="17.25">
      <c r="B1246" s="209"/>
    </row>
    <row r="1247" spans="2:2" ht="17.25">
      <c r="B1247" s="209"/>
    </row>
    <row r="1248" spans="2:2" ht="17.25">
      <c r="B1248" s="209"/>
    </row>
    <row r="1249" spans="2:2" ht="17.25">
      <c r="B1249" s="209"/>
    </row>
    <row r="1250" spans="2:2" ht="17.25">
      <c r="B1250" s="209"/>
    </row>
    <row r="1251" spans="2:2" ht="17.25">
      <c r="B1251" s="209"/>
    </row>
    <row r="1252" spans="2:2" ht="17.25">
      <c r="B1252" s="209"/>
    </row>
    <row r="1253" spans="2:2" ht="17.25">
      <c r="B1253" s="209"/>
    </row>
    <row r="1254" spans="2:2" ht="17.25">
      <c r="B1254" s="209"/>
    </row>
    <row r="1255" spans="2:2" ht="17.25">
      <c r="B1255" s="209"/>
    </row>
    <row r="1256" spans="2:2" ht="17.25">
      <c r="B1256" s="209"/>
    </row>
    <row r="1257" spans="2:2" ht="17.25">
      <c r="B1257" s="209"/>
    </row>
    <row r="1258" spans="2:2" ht="17.25">
      <c r="B1258" s="209"/>
    </row>
    <row r="1259" spans="2:2" ht="17.25">
      <c r="B1259" s="209"/>
    </row>
    <row r="1260" spans="2:2" ht="17.25">
      <c r="B1260" s="209"/>
    </row>
    <row r="1261" spans="2:2" ht="17.25">
      <c r="B1261" s="209"/>
    </row>
    <row r="1262" spans="2:2" ht="17.25">
      <c r="B1262" s="209"/>
    </row>
    <row r="1263" spans="2:2" ht="17.25">
      <c r="B1263" s="209"/>
    </row>
    <row r="1264" spans="2:2" ht="17.25">
      <c r="B1264" s="209"/>
    </row>
    <row r="1265" spans="2:2" ht="17.25">
      <c r="B1265" s="209"/>
    </row>
    <row r="1266" spans="2:2" ht="17.25">
      <c r="B1266" s="209"/>
    </row>
    <row r="1267" spans="2:2" ht="17.25">
      <c r="B1267" s="209"/>
    </row>
    <row r="1268" spans="2:2" ht="17.25">
      <c r="B1268" s="209"/>
    </row>
    <row r="1269" spans="2:2" ht="17.25">
      <c r="B1269" s="209"/>
    </row>
    <row r="1270" spans="2:2" ht="17.25">
      <c r="B1270" s="209"/>
    </row>
    <row r="1271" spans="2:2" ht="17.25">
      <c r="B1271" s="209"/>
    </row>
    <row r="1272" spans="2:2" ht="17.25">
      <c r="B1272" s="209"/>
    </row>
    <row r="1273" spans="2:2" ht="17.25">
      <c r="B1273" s="209"/>
    </row>
    <row r="1274" spans="2:2" ht="17.25">
      <c r="B1274" s="209"/>
    </row>
    <row r="1275" spans="2:2" ht="17.25">
      <c r="B1275" s="209"/>
    </row>
    <row r="1276" spans="2:2" ht="17.25">
      <c r="B1276" s="209"/>
    </row>
    <row r="1277" spans="2:2" ht="17.25">
      <c r="B1277" s="209"/>
    </row>
    <row r="1278" spans="2:2" ht="17.25">
      <c r="B1278" s="209"/>
    </row>
    <row r="1279" spans="2:2" ht="17.25">
      <c r="B1279" s="209"/>
    </row>
    <row r="1280" spans="2:2" ht="17.25">
      <c r="B1280" s="209"/>
    </row>
    <row r="1281" spans="2:2" ht="17.25">
      <c r="B1281" s="209"/>
    </row>
    <row r="1282" spans="2:2" ht="17.25">
      <c r="B1282" s="209"/>
    </row>
    <row r="1283" spans="2:2" ht="17.25">
      <c r="B1283" s="209"/>
    </row>
    <row r="1284" spans="2:2" ht="17.25">
      <c r="B1284" s="209"/>
    </row>
    <row r="1285" spans="2:2" ht="17.25">
      <c r="B1285" s="209"/>
    </row>
    <row r="1286" spans="2:2" ht="17.25">
      <c r="B1286" s="209"/>
    </row>
    <row r="1287" spans="2:2" ht="17.25">
      <c r="B1287" s="209"/>
    </row>
    <row r="1288" spans="2:2" ht="17.25">
      <c r="B1288" s="209"/>
    </row>
    <row r="1289" spans="2:2" ht="17.25">
      <c r="B1289" s="209"/>
    </row>
    <row r="1290" spans="2:2" ht="17.25">
      <c r="B1290" s="209"/>
    </row>
    <row r="1291" spans="2:2" ht="17.25">
      <c r="B1291" s="209"/>
    </row>
    <row r="1292" spans="2:2" ht="17.25">
      <c r="B1292" s="209"/>
    </row>
    <row r="1293" spans="2:2" ht="17.25">
      <c r="B1293" s="209"/>
    </row>
    <row r="1294" spans="2:2" ht="17.25">
      <c r="B1294" s="209"/>
    </row>
    <row r="1295" spans="2:2" ht="17.25">
      <c r="B1295" s="209"/>
    </row>
    <row r="1296" spans="2:2" ht="17.25">
      <c r="B1296" s="209"/>
    </row>
    <row r="1297" spans="2:2" ht="17.25">
      <c r="B1297" s="209"/>
    </row>
    <row r="1298" spans="2:2" ht="17.25">
      <c r="B1298" s="209"/>
    </row>
    <row r="1299" spans="2:2" ht="17.25">
      <c r="B1299" s="209"/>
    </row>
    <row r="1300" spans="2:2" ht="17.25">
      <c r="B1300" s="209"/>
    </row>
    <row r="1301" spans="2:2" ht="17.25">
      <c r="B1301" s="209"/>
    </row>
    <row r="1302" spans="2:2" ht="17.25">
      <c r="B1302" s="209"/>
    </row>
    <row r="1303" spans="2:2" ht="17.25">
      <c r="B1303" s="209"/>
    </row>
    <row r="1304" spans="2:2" ht="17.25">
      <c r="B1304" s="209"/>
    </row>
    <row r="1305" spans="2:2" ht="17.25">
      <c r="B1305" s="209"/>
    </row>
    <row r="1306" spans="2:2" ht="17.25">
      <c r="B1306" s="209"/>
    </row>
    <row r="1307" spans="2:2" ht="17.25">
      <c r="B1307" s="209"/>
    </row>
    <row r="1308" spans="2:2" ht="17.25">
      <c r="B1308" s="209"/>
    </row>
    <row r="1309" spans="2:2" ht="17.25">
      <c r="B1309" s="209"/>
    </row>
    <row r="1310" spans="2:2" ht="17.25">
      <c r="B1310" s="209"/>
    </row>
    <row r="1311" spans="2:2" ht="17.25">
      <c r="B1311" s="209"/>
    </row>
    <row r="1312" spans="2:2" ht="17.25">
      <c r="B1312" s="209"/>
    </row>
    <row r="1313" spans="2:2" ht="17.25">
      <c r="B1313" s="209"/>
    </row>
    <row r="1314" spans="2:2" ht="17.25">
      <c r="B1314" s="209"/>
    </row>
    <row r="1315" spans="2:2" ht="17.25">
      <c r="B1315" s="209"/>
    </row>
    <row r="1316" spans="2:2" ht="17.25">
      <c r="B1316" s="209"/>
    </row>
    <row r="1317" spans="2:2" ht="17.25">
      <c r="B1317" s="209"/>
    </row>
    <row r="1318" spans="2:2" ht="17.25">
      <c r="B1318" s="209"/>
    </row>
    <row r="1319" spans="2:2" ht="17.25">
      <c r="B1319" s="209"/>
    </row>
    <row r="1320" spans="2:2" ht="17.25">
      <c r="B1320" s="209"/>
    </row>
    <row r="1321" spans="2:2" ht="17.25">
      <c r="B1321" s="209"/>
    </row>
    <row r="1322" spans="2:2" ht="17.25">
      <c r="B1322" s="209"/>
    </row>
    <row r="1323" spans="2:2" ht="17.25">
      <c r="B1323" s="209"/>
    </row>
    <row r="1324" spans="2:2" ht="17.25">
      <c r="B1324" s="209"/>
    </row>
    <row r="1325" spans="2:2" ht="17.25">
      <c r="B1325" s="209"/>
    </row>
    <row r="1326" spans="2:2" ht="17.25">
      <c r="B1326" s="209"/>
    </row>
    <row r="1327" spans="2:2" ht="17.25">
      <c r="B1327" s="209"/>
    </row>
    <row r="1328" spans="2:2" ht="17.25">
      <c r="B1328" s="209"/>
    </row>
    <row r="1329" spans="2:2" ht="17.25">
      <c r="B1329" s="209"/>
    </row>
    <row r="1330" spans="2:2" ht="17.25">
      <c r="B1330" s="209"/>
    </row>
    <row r="1331" spans="2:2" ht="17.25">
      <c r="B1331" s="209"/>
    </row>
    <row r="1332" spans="2:2" ht="17.25">
      <c r="B1332" s="209"/>
    </row>
    <row r="1333" spans="2:2" ht="17.25">
      <c r="B1333" s="209"/>
    </row>
    <row r="1334" spans="2:2" ht="17.25">
      <c r="B1334" s="209"/>
    </row>
    <row r="1335" spans="2:2" ht="17.25">
      <c r="B1335" s="209"/>
    </row>
    <row r="1336" spans="2:2" ht="17.25">
      <c r="B1336" s="209"/>
    </row>
    <row r="1337" spans="2:2" ht="17.25">
      <c r="B1337" s="209"/>
    </row>
    <row r="1338" spans="2:2" ht="17.25">
      <c r="B1338" s="209"/>
    </row>
    <row r="1339" spans="2:2" ht="17.25">
      <c r="B1339" s="209"/>
    </row>
    <row r="1340" spans="2:2" ht="17.25">
      <c r="B1340" s="209"/>
    </row>
    <row r="1341" spans="2:2" ht="17.25">
      <c r="B1341" s="209"/>
    </row>
    <row r="1342" spans="2:2" ht="17.25">
      <c r="B1342" s="209"/>
    </row>
    <row r="1343" spans="2:2" ht="17.25">
      <c r="B1343" s="209"/>
    </row>
    <row r="1344" spans="2:2" ht="17.25">
      <c r="B1344" s="209"/>
    </row>
    <row r="1345" spans="2:2" ht="17.25">
      <c r="B1345" s="209"/>
    </row>
    <row r="1346" spans="2:2" ht="17.25">
      <c r="B1346" s="209"/>
    </row>
    <row r="1347" spans="2:2" ht="17.25">
      <c r="B1347" s="209"/>
    </row>
    <row r="1348" spans="2:2" ht="17.25">
      <c r="B1348" s="209"/>
    </row>
    <row r="1349" spans="2:2" ht="17.25">
      <c r="B1349" s="209"/>
    </row>
    <row r="1350" spans="2:2" ht="17.25">
      <c r="B1350" s="209"/>
    </row>
    <row r="1351" spans="2:2" ht="17.25">
      <c r="B1351" s="209"/>
    </row>
    <row r="1352" spans="2:2" ht="17.25">
      <c r="B1352" s="209"/>
    </row>
    <row r="1353" spans="2:2" ht="17.25">
      <c r="B1353" s="209"/>
    </row>
    <row r="1354" spans="2:2" ht="17.25">
      <c r="B1354" s="209"/>
    </row>
    <row r="1355" spans="2:2" ht="17.25">
      <c r="B1355" s="209"/>
    </row>
    <row r="1356" spans="2:2" ht="17.25">
      <c r="B1356" s="209"/>
    </row>
    <row r="1357" spans="2:2" ht="17.25">
      <c r="B1357" s="209"/>
    </row>
    <row r="1358" spans="2:2" ht="17.25">
      <c r="B1358" s="209"/>
    </row>
    <row r="1359" spans="2:2" ht="17.25">
      <c r="B1359" s="209"/>
    </row>
    <row r="1360" spans="2:2" ht="17.25">
      <c r="B1360" s="209"/>
    </row>
    <row r="1361" spans="2:2" ht="17.25">
      <c r="B1361" s="209"/>
    </row>
    <row r="1362" spans="2:2" ht="17.25">
      <c r="B1362" s="209"/>
    </row>
    <row r="1363" spans="2:2" ht="17.25">
      <c r="B1363" s="209"/>
    </row>
    <row r="1364" spans="2:2" ht="17.25">
      <c r="B1364" s="209"/>
    </row>
    <row r="1365" spans="2:2" ht="17.25">
      <c r="B1365" s="209"/>
    </row>
    <row r="1366" spans="2:2" ht="17.25">
      <c r="B1366" s="209"/>
    </row>
    <row r="1367" spans="2:2" ht="17.25">
      <c r="B1367" s="209"/>
    </row>
    <row r="1368" spans="2:2" ht="17.25">
      <c r="B1368" s="209"/>
    </row>
    <row r="1369" spans="2:2" ht="17.25">
      <c r="B1369" s="209"/>
    </row>
    <row r="1370" spans="2:2" ht="17.25">
      <c r="B1370" s="209"/>
    </row>
    <row r="1371" spans="2:2" ht="17.25">
      <c r="B1371" s="209"/>
    </row>
    <row r="1372" spans="2:2" ht="17.25">
      <c r="B1372" s="209"/>
    </row>
    <row r="1373" spans="2:2" ht="17.25">
      <c r="B1373" s="209"/>
    </row>
    <row r="1374" spans="2:2" ht="17.25">
      <c r="B1374" s="209"/>
    </row>
    <row r="1375" spans="2:2" ht="17.25">
      <c r="B1375" s="209"/>
    </row>
    <row r="1376" spans="2:2" ht="17.25">
      <c r="B1376" s="209"/>
    </row>
    <row r="1377" spans="2:2" ht="17.25">
      <c r="B1377" s="209"/>
    </row>
    <row r="1378" spans="2:2" ht="17.25">
      <c r="B1378" s="209"/>
    </row>
    <row r="1379" spans="2:2" ht="17.25">
      <c r="B1379" s="209"/>
    </row>
    <row r="1380" spans="2:2" ht="17.25">
      <c r="B1380" s="209"/>
    </row>
    <row r="1381" spans="2:2" ht="17.25">
      <c r="B1381" s="209"/>
    </row>
    <row r="1382" spans="2:2" ht="17.25">
      <c r="B1382" s="209"/>
    </row>
    <row r="1383" spans="2:2" ht="17.25">
      <c r="B1383" s="209"/>
    </row>
    <row r="1384" spans="2:2" ht="17.25">
      <c r="B1384" s="209"/>
    </row>
    <row r="1385" spans="2:2" ht="17.25">
      <c r="B1385" s="209"/>
    </row>
    <row r="1386" spans="2:2" ht="17.25">
      <c r="B1386" s="209"/>
    </row>
    <row r="1387" spans="2:2" ht="17.25">
      <c r="B1387" s="209"/>
    </row>
    <row r="1388" spans="2:2" ht="17.25">
      <c r="B1388" s="209"/>
    </row>
    <row r="1389" spans="2:2" ht="17.25">
      <c r="B1389" s="209"/>
    </row>
    <row r="1390" spans="2:2" ht="17.25">
      <c r="B1390" s="209"/>
    </row>
    <row r="1391" spans="2:2" ht="17.25">
      <c r="B1391" s="209"/>
    </row>
    <row r="1392" spans="2:2" ht="17.25">
      <c r="B1392" s="209"/>
    </row>
    <row r="1393" spans="2:2" ht="17.25">
      <c r="B1393" s="209"/>
    </row>
    <row r="1394" spans="2:2" ht="17.25">
      <c r="B1394" s="209"/>
    </row>
    <row r="1395" spans="2:2" ht="17.25">
      <c r="B1395" s="209"/>
    </row>
    <row r="1396" spans="2:2" ht="17.25">
      <c r="B1396" s="209"/>
    </row>
    <row r="1397" spans="2:2" ht="17.25">
      <c r="B1397" s="209"/>
    </row>
    <row r="1398" spans="2:2" ht="17.25">
      <c r="B1398" s="209"/>
    </row>
    <row r="1399" spans="2:2" ht="17.25">
      <c r="B1399" s="209"/>
    </row>
    <row r="1400" spans="2:2" ht="17.25">
      <c r="B1400" s="209"/>
    </row>
    <row r="1401" spans="2:2" ht="17.25">
      <c r="B1401" s="209"/>
    </row>
    <row r="1402" spans="2:2" ht="17.25">
      <c r="B1402" s="209"/>
    </row>
    <row r="1403" spans="2:2" ht="17.25">
      <c r="B1403" s="209"/>
    </row>
    <row r="1404" spans="2:2" ht="17.25">
      <c r="B1404" s="209"/>
    </row>
    <row r="1405" spans="2:2" ht="17.25">
      <c r="B1405" s="209"/>
    </row>
    <row r="1406" spans="2:2" ht="17.25">
      <c r="B1406" s="209"/>
    </row>
    <row r="1407" spans="2:2" ht="17.25">
      <c r="B1407" s="209"/>
    </row>
    <row r="1408" spans="2:2" ht="17.25">
      <c r="B1408" s="209"/>
    </row>
    <row r="1409" spans="2:2" ht="17.25">
      <c r="B1409" s="209"/>
    </row>
    <row r="1410" spans="2:2" ht="17.25">
      <c r="B1410" s="209"/>
    </row>
    <row r="1411" spans="2:2" ht="17.25">
      <c r="B1411" s="209"/>
    </row>
    <row r="1412" spans="2:2" ht="17.25">
      <c r="B1412" s="209"/>
    </row>
    <row r="1413" spans="2:2" ht="17.25">
      <c r="B1413" s="209"/>
    </row>
    <row r="1414" spans="2:2" ht="17.25">
      <c r="B1414" s="209"/>
    </row>
    <row r="1415" spans="2:2" ht="17.25">
      <c r="B1415" s="209"/>
    </row>
    <row r="1416" spans="2:2" ht="17.25">
      <c r="B1416" s="209"/>
    </row>
    <row r="1417" spans="2:2" ht="17.25">
      <c r="B1417" s="209"/>
    </row>
    <row r="1418" spans="2:2" ht="17.25">
      <c r="B1418" s="209"/>
    </row>
    <row r="1419" spans="2:2" ht="17.25">
      <c r="B1419" s="209"/>
    </row>
    <row r="1420" spans="2:2" ht="17.25">
      <c r="B1420" s="209"/>
    </row>
    <row r="1421" spans="2:2" ht="17.25">
      <c r="B1421" s="209"/>
    </row>
    <row r="1422" spans="2:2" ht="17.25">
      <c r="B1422" s="209"/>
    </row>
    <row r="1423" spans="2:2" ht="17.25">
      <c r="B1423" s="209"/>
    </row>
    <row r="1424" spans="2:2" ht="17.25">
      <c r="B1424" s="209"/>
    </row>
    <row r="1425" spans="2:2" ht="17.25">
      <c r="B1425" s="209"/>
    </row>
    <row r="1426" spans="2:2" ht="17.25">
      <c r="B1426" s="209"/>
    </row>
    <row r="1427" spans="2:2" ht="17.25">
      <c r="B1427" s="209"/>
    </row>
    <row r="1428" spans="2:2" ht="17.25">
      <c r="B1428" s="209"/>
    </row>
    <row r="1429" spans="2:2" ht="17.25">
      <c r="B1429" s="209"/>
    </row>
    <row r="1430" spans="2:2" ht="17.25">
      <c r="B1430" s="209"/>
    </row>
    <row r="1431" spans="2:2" ht="17.25">
      <c r="B1431" s="209"/>
    </row>
    <row r="1432" spans="2:2" ht="17.25">
      <c r="B1432" s="209"/>
    </row>
    <row r="1433" spans="2:2" ht="17.25">
      <c r="B1433" s="209"/>
    </row>
    <row r="1434" spans="2:2" ht="17.25">
      <c r="B1434" s="209"/>
    </row>
    <row r="1435" spans="2:2" ht="17.25">
      <c r="B1435" s="209"/>
    </row>
    <row r="1436" spans="2:2" ht="17.25">
      <c r="B1436" s="209"/>
    </row>
    <row r="1437" spans="2:2" ht="17.25">
      <c r="B1437" s="209"/>
    </row>
    <row r="1438" spans="2:2" ht="17.25">
      <c r="B1438" s="209"/>
    </row>
    <row r="1439" spans="2:2" ht="17.25">
      <c r="B1439" s="209"/>
    </row>
    <row r="1440" spans="2:2" ht="17.25">
      <c r="B1440" s="209"/>
    </row>
    <row r="1441" spans="2:2" ht="17.25">
      <c r="B1441" s="209"/>
    </row>
    <row r="1442" spans="2:2" ht="17.25">
      <c r="B1442" s="209"/>
    </row>
    <row r="1443" spans="2:2" ht="17.25">
      <c r="B1443" s="209"/>
    </row>
    <row r="1444" spans="2:2" ht="17.25">
      <c r="B1444" s="209"/>
    </row>
    <row r="1445" spans="2:2" ht="17.25">
      <c r="B1445" s="209"/>
    </row>
    <row r="1446" spans="2:2" ht="17.25">
      <c r="B1446" s="209"/>
    </row>
    <row r="1447" spans="2:2" ht="17.25">
      <c r="B1447" s="209"/>
    </row>
    <row r="1448" spans="2:2" ht="17.25">
      <c r="B1448" s="209"/>
    </row>
    <row r="1449" spans="2:2" ht="17.25">
      <c r="B1449" s="209"/>
    </row>
    <row r="1450" spans="2:2" ht="17.25">
      <c r="B1450" s="209"/>
    </row>
    <row r="1451" spans="2:2" ht="17.25">
      <c r="B1451" s="209"/>
    </row>
    <row r="1452" spans="2:2" ht="17.25">
      <c r="B1452" s="209"/>
    </row>
    <row r="1453" spans="2:2" ht="17.25">
      <c r="B1453" s="209"/>
    </row>
    <row r="1454" spans="2:2" ht="17.25">
      <c r="B1454" s="209"/>
    </row>
    <row r="1455" spans="2:2" ht="17.25">
      <c r="B1455" s="209"/>
    </row>
    <row r="1456" spans="2:2" ht="17.25">
      <c r="B1456" s="209"/>
    </row>
    <row r="1457" spans="2:2" ht="17.25">
      <c r="B1457" s="209"/>
    </row>
    <row r="1458" spans="2:2" ht="17.25">
      <c r="B1458" s="209"/>
    </row>
    <row r="1459" spans="2:2" ht="17.25">
      <c r="B1459" s="209"/>
    </row>
    <row r="1460" spans="2:2" ht="17.25">
      <c r="B1460" s="209"/>
    </row>
    <row r="1461" spans="2:2" ht="17.25">
      <c r="B1461" s="209"/>
    </row>
    <row r="1462" spans="2:2" ht="17.25">
      <c r="B1462" s="209"/>
    </row>
    <row r="1463" spans="2:2" ht="17.25">
      <c r="B1463" s="209"/>
    </row>
    <row r="1464" spans="2:2" ht="17.25">
      <c r="B1464" s="209"/>
    </row>
    <row r="1465" spans="2:2" ht="17.25">
      <c r="B1465" s="209"/>
    </row>
    <row r="1466" spans="2:2" ht="17.25">
      <c r="B1466" s="209"/>
    </row>
    <row r="1467" spans="2:2" ht="17.25">
      <c r="B1467" s="209"/>
    </row>
    <row r="1468" spans="2:2" ht="17.25">
      <c r="B1468" s="209"/>
    </row>
    <row r="1469" spans="2:2" ht="17.25">
      <c r="B1469" s="209"/>
    </row>
    <row r="1470" spans="2:2" ht="17.25">
      <c r="B1470" s="209"/>
    </row>
    <row r="1471" spans="2:2" ht="17.25">
      <c r="B1471" s="209"/>
    </row>
    <row r="1472" spans="2:2" ht="17.25">
      <c r="B1472" s="209"/>
    </row>
    <row r="1473" spans="2:2" ht="17.25">
      <c r="B1473" s="209"/>
    </row>
    <row r="1474" spans="2:2" ht="17.25">
      <c r="B1474" s="209"/>
    </row>
    <row r="1475" spans="2:2" ht="17.25">
      <c r="B1475" s="209"/>
    </row>
    <row r="1476" spans="2:2" ht="17.25">
      <c r="B1476" s="209"/>
    </row>
    <row r="1477" spans="2:2" ht="17.25">
      <c r="B1477" s="209"/>
    </row>
    <row r="1478" spans="2:2" ht="17.25">
      <c r="B1478" s="209"/>
    </row>
    <row r="1479" spans="2:2" ht="17.25">
      <c r="B1479" s="209"/>
    </row>
    <row r="1480" spans="2:2" ht="17.25">
      <c r="B1480" s="209"/>
    </row>
    <row r="1481" spans="2:2" ht="17.25">
      <c r="B1481" s="209"/>
    </row>
    <row r="1482" spans="2:2" ht="17.25">
      <c r="B1482" s="209"/>
    </row>
    <row r="1483" spans="2:2" ht="17.25">
      <c r="B1483" s="209"/>
    </row>
    <row r="1484" spans="2:2" ht="17.25">
      <c r="B1484" s="209"/>
    </row>
    <row r="1485" spans="2:2" ht="17.25">
      <c r="B1485" s="209"/>
    </row>
    <row r="1486" spans="2:2" ht="17.25">
      <c r="B1486" s="209"/>
    </row>
    <row r="1487" spans="2:2" ht="17.25">
      <c r="B1487" s="209"/>
    </row>
    <row r="1488" spans="2:2" ht="17.25">
      <c r="B1488" s="209"/>
    </row>
    <row r="1489" spans="2:2" ht="17.25">
      <c r="B1489" s="209"/>
    </row>
    <row r="1490" spans="2:2" ht="17.25">
      <c r="B1490" s="209"/>
    </row>
    <row r="1491" spans="2:2" ht="17.25">
      <c r="B1491" s="209"/>
    </row>
    <row r="1492" spans="2:2" ht="17.25">
      <c r="B1492" s="209"/>
    </row>
    <row r="1493" spans="2:2" ht="17.25">
      <c r="B1493" s="209"/>
    </row>
    <row r="1494" spans="2:2" ht="17.25">
      <c r="B1494" s="209"/>
    </row>
    <row r="1495" spans="2:2" ht="17.25">
      <c r="B1495" s="209"/>
    </row>
    <row r="1496" spans="2:2" ht="17.25">
      <c r="B1496" s="209"/>
    </row>
    <row r="1497" spans="2:2" ht="17.25">
      <c r="B1497" s="209"/>
    </row>
    <row r="1498" spans="2:2" ht="17.25">
      <c r="B1498" s="209"/>
    </row>
    <row r="1499" spans="2:2" ht="17.25">
      <c r="B1499" s="209"/>
    </row>
    <row r="1500" spans="2:2" ht="17.25">
      <c r="B1500" s="209"/>
    </row>
    <row r="1501" spans="2:2" ht="17.25">
      <c r="B1501" s="209"/>
    </row>
    <row r="1502" spans="2:2" ht="17.25">
      <c r="B1502" s="209"/>
    </row>
    <row r="1503" spans="2:2" ht="17.25">
      <c r="B1503" s="209"/>
    </row>
    <row r="1504" spans="2:2" ht="17.25">
      <c r="B1504" s="209"/>
    </row>
    <row r="1505" spans="2:2" ht="17.25">
      <c r="B1505" s="209"/>
    </row>
    <row r="1506" spans="2:2" ht="17.25">
      <c r="B1506" s="209"/>
    </row>
    <row r="1507" spans="2:2" ht="17.25">
      <c r="B1507" s="209"/>
    </row>
    <row r="1508" spans="2:2" ht="17.25">
      <c r="B1508" s="209"/>
    </row>
    <row r="1509" spans="2:2" ht="17.25">
      <c r="B1509" s="209"/>
    </row>
    <row r="1510" spans="2:2" ht="17.25">
      <c r="B1510" s="209"/>
    </row>
    <row r="1511" spans="2:2" ht="17.25">
      <c r="B1511" s="209"/>
    </row>
    <row r="1512" spans="2:2" ht="17.25">
      <c r="B1512" s="209"/>
    </row>
    <row r="1513" spans="2:2" ht="17.25">
      <c r="B1513" s="209"/>
    </row>
    <row r="1514" spans="2:2" ht="17.25">
      <c r="B1514" s="209"/>
    </row>
    <row r="1515" spans="2:2" ht="17.25">
      <c r="B1515" s="209"/>
    </row>
    <row r="1516" spans="2:2" ht="17.25">
      <c r="B1516" s="209"/>
    </row>
    <row r="1517" spans="2:2" ht="17.25">
      <c r="B1517" s="209"/>
    </row>
    <row r="1518" spans="2:2" ht="17.25">
      <c r="B1518" s="209"/>
    </row>
    <row r="1519" spans="2:2" ht="17.25">
      <c r="B1519" s="209"/>
    </row>
    <row r="1520" spans="2:2" ht="17.25">
      <c r="B1520" s="209"/>
    </row>
    <row r="1521" spans="2:2" ht="17.25">
      <c r="B1521" s="209"/>
    </row>
    <row r="1522" spans="2:2" ht="17.25">
      <c r="B1522" s="209"/>
    </row>
    <row r="1523" spans="2:2" ht="17.25">
      <c r="B1523" s="209"/>
    </row>
    <row r="1524" spans="2:2" ht="17.25">
      <c r="B1524" s="209"/>
    </row>
    <row r="1525" spans="2:2" ht="17.25">
      <c r="B1525" s="209"/>
    </row>
    <row r="1526" spans="2:2" ht="17.25">
      <c r="B1526" s="209"/>
    </row>
    <row r="1527" spans="2:2" ht="17.25">
      <c r="B1527" s="209"/>
    </row>
    <row r="1528" spans="2:2" ht="17.25">
      <c r="B1528" s="209"/>
    </row>
    <row r="1529" spans="2:2" ht="17.25">
      <c r="B1529" s="209"/>
    </row>
    <row r="1530" spans="2:2" ht="17.25">
      <c r="B1530" s="209"/>
    </row>
    <row r="1531" spans="2:2" ht="17.25">
      <c r="B1531" s="209"/>
    </row>
    <row r="1532" spans="2:2" ht="17.25">
      <c r="B1532" s="209"/>
    </row>
    <row r="1533" spans="2:2" ht="17.25">
      <c r="B1533" s="209"/>
    </row>
    <row r="1534" spans="2:2" ht="17.25">
      <c r="B1534" s="209"/>
    </row>
    <row r="1535" spans="2:2" ht="17.25">
      <c r="B1535" s="209"/>
    </row>
    <row r="1536" spans="2:2" ht="17.25">
      <c r="B1536" s="209"/>
    </row>
    <row r="1537" spans="2:2" ht="17.25">
      <c r="B1537" s="209"/>
    </row>
    <row r="1538" spans="2:2" ht="17.25">
      <c r="B1538" s="209"/>
    </row>
    <row r="1539" spans="2:2" ht="17.25">
      <c r="B1539" s="209"/>
    </row>
    <row r="1540" spans="2:2" ht="17.25">
      <c r="B1540" s="209"/>
    </row>
    <row r="1541" spans="2:2" ht="17.25">
      <c r="B1541" s="209"/>
    </row>
    <row r="1542" spans="2:2" ht="17.25">
      <c r="B1542" s="209"/>
    </row>
    <row r="1543" spans="2:2" ht="17.25">
      <c r="B1543" s="209"/>
    </row>
    <row r="1544" spans="2:2" ht="17.25">
      <c r="B1544" s="209"/>
    </row>
    <row r="1545" spans="2:2" ht="17.25">
      <c r="B1545" s="209"/>
    </row>
    <row r="1546" spans="2:2" ht="17.25">
      <c r="B1546" s="209"/>
    </row>
    <row r="1547" spans="2:2" ht="17.25">
      <c r="B1547" s="209"/>
    </row>
    <row r="1548" spans="2:2" ht="17.25">
      <c r="B1548" s="209"/>
    </row>
    <row r="1549" spans="2:2" ht="17.25">
      <c r="B1549" s="209"/>
    </row>
    <row r="1550" spans="2:2" ht="17.25">
      <c r="B1550" s="209"/>
    </row>
    <row r="1551" spans="2:2" ht="17.25">
      <c r="B1551" s="209"/>
    </row>
    <row r="1552" spans="2:2" ht="17.25">
      <c r="B1552" s="209"/>
    </row>
    <row r="1553" spans="2:2" ht="17.25">
      <c r="B1553" s="209"/>
    </row>
    <row r="1554" spans="2:2" ht="17.25">
      <c r="B1554" s="209"/>
    </row>
    <row r="1555" spans="2:2" ht="17.25">
      <c r="B1555" s="209"/>
    </row>
    <row r="1556" spans="2:2" ht="17.25">
      <c r="B1556" s="209"/>
    </row>
    <row r="1557" spans="2:2" ht="17.25">
      <c r="B1557" s="209"/>
    </row>
    <row r="1558" spans="2:2" ht="17.25">
      <c r="B1558" s="209"/>
    </row>
    <row r="1559" spans="2:2" ht="17.25">
      <c r="B1559" s="209"/>
    </row>
    <row r="1560" spans="2:2" ht="17.25">
      <c r="B1560" s="209"/>
    </row>
    <row r="1561" spans="2:2" ht="17.25">
      <c r="B1561" s="209"/>
    </row>
    <row r="1562" spans="2:2" ht="17.25">
      <c r="B1562" s="209"/>
    </row>
    <row r="1563" spans="2:2" ht="17.25">
      <c r="B1563" s="209"/>
    </row>
    <row r="1564" spans="2:2" ht="17.25">
      <c r="B1564" s="209"/>
    </row>
    <row r="1565" spans="2:2" ht="17.25">
      <c r="B1565" s="209"/>
    </row>
    <row r="1566" spans="2:2" ht="17.25">
      <c r="B1566" s="209"/>
    </row>
    <row r="1567" spans="2:2" ht="17.25">
      <c r="B1567" s="209"/>
    </row>
    <row r="1568" spans="2:2" ht="17.25">
      <c r="B1568" s="209"/>
    </row>
    <row r="1569" spans="2:2" ht="17.25">
      <c r="B1569" s="209"/>
    </row>
    <row r="1570" spans="2:2" ht="17.25">
      <c r="B1570" s="209"/>
    </row>
    <row r="1571" spans="2:2" ht="17.25">
      <c r="B1571" s="209"/>
    </row>
    <row r="1572" spans="2:2" ht="17.25">
      <c r="B1572" s="209"/>
    </row>
    <row r="1573" spans="2:2" ht="17.25">
      <c r="B1573" s="209"/>
    </row>
    <row r="1574" spans="2:2" ht="17.25">
      <c r="B1574" s="209"/>
    </row>
    <row r="1575" spans="2:2" ht="17.25">
      <c r="B1575" s="209"/>
    </row>
    <row r="1576" spans="2:2" ht="17.25">
      <c r="B1576" s="209"/>
    </row>
    <row r="1577" spans="2:2" ht="17.25">
      <c r="B1577" s="209"/>
    </row>
    <row r="1578" spans="2:2" ht="17.25">
      <c r="B1578" s="209"/>
    </row>
    <row r="1579" spans="2:2" ht="17.25">
      <c r="B1579" s="209"/>
    </row>
    <row r="1580" spans="2:2" ht="17.25">
      <c r="B1580" s="209"/>
    </row>
    <row r="1581" spans="2:2" ht="17.25">
      <c r="B1581" s="209"/>
    </row>
    <row r="1582" spans="2:2" ht="17.25">
      <c r="B1582" s="209"/>
    </row>
    <row r="1583" spans="2:2" ht="17.25">
      <c r="B1583" s="209"/>
    </row>
    <row r="1584" spans="2:2" ht="17.25">
      <c r="B1584" s="209"/>
    </row>
    <row r="1585" spans="2:2" ht="17.25">
      <c r="B1585" s="209"/>
    </row>
    <row r="1586" spans="2:2" ht="17.25">
      <c r="B1586" s="209"/>
    </row>
    <row r="1587" spans="2:2" ht="17.25">
      <c r="B1587" s="209"/>
    </row>
    <row r="1588" spans="2:2" ht="17.25">
      <c r="B1588" s="209"/>
    </row>
    <row r="1589" spans="2:2" ht="17.25">
      <c r="B1589" s="209"/>
    </row>
    <row r="1590" spans="2:2" ht="17.25">
      <c r="B1590" s="209"/>
    </row>
    <row r="1591" spans="2:2" ht="17.25">
      <c r="B1591" s="209"/>
    </row>
    <row r="1592" spans="2:2" ht="17.25">
      <c r="B1592" s="209"/>
    </row>
    <row r="1593" spans="2:2" ht="17.25">
      <c r="B1593" s="209"/>
    </row>
    <row r="1594" spans="2:2" ht="17.25">
      <c r="B1594" s="209"/>
    </row>
    <row r="1595" spans="2:2" ht="17.25">
      <c r="B1595" s="209"/>
    </row>
    <row r="1596" spans="2:2" ht="17.25">
      <c r="B1596" s="209"/>
    </row>
    <row r="1597" spans="2:2" ht="17.25">
      <c r="B1597" s="209"/>
    </row>
    <row r="1598" spans="2:2" ht="17.25">
      <c r="B1598" s="209"/>
    </row>
    <row r="1599" spans="2:2" ht="17.25">
      <c r="B1599" s="209"/>
    </row>
    <row r="1600" spans="2:2" ht="17.25">
      <c r="B1600" s="209"/>
    </row>
    <row r="1601" spans="2:2" ht="17.25">
      <c r="B1601" s="209"/>
    </row>
    <row r="1602" spans="2:2" ht="17.25">
      <c r="B1602" s="209"/>
    </row>
    <row r="1603" spans="2:2" ht="17.25">
      <c r="B1603" s="209"/>
    </row>
    <row r="1604" spans="2:2" ht="17.25">
      <c r="B1604" s="209"/>
    </row>
    <row r="1605" spans="2:2" ht="17.25">
      <c r="B1605" s="209"/>
    </row>
    <row r="1606" spans="2:2" ht="17.25">
      <c r="B1606" s="209"/>
    </row>
    <row r="1607" spans="2:2" ht="17.25">
      <c r="B1607" s="209"/>
    </row>
    <row r="1608" spans="2:2" ht="17.25">
      <c r="B1608" s="209"/>
    </row>
    <row r="1609" spans="2:2" ht="17.25">
      <c r="B1609" s="209"/>
    </row>
    <row r="1610" spans="2:2" ht="17.25">
      <c r="B1610" s="209"/>
    </row>
    <row r="1611" spans="2:2" ht="17.25">
      <c r="B1611" s="209"/>
    </row>
    <row r="1612" spans="2:2" ht="17.25">
      <c r="B1612" s="209"/>
    </row>
    <row r="1613" spans="2:2" ht="17.25">
      <c r="B1613" s="209"/>
    </row>
    <row r="1614" spans="2:2" ht="17.25">
      <c r="B1614" s="209"/>
    </row>
    <row r="1615" spans="2:2" ht="17.25">
      <c r="B1615" s="209"/>
    </row>
    <row r="1616" spans="2:2" ht="17.25">
      <c r="B1616" s="209"/>
    </row>
    <row r="1617" spans="2:2" ht="17.25">
      <c r="B1617" s="209"/>
    </row>
    <row r="1618" spans="2:2" ht="17.25">
      <c r="B1618" s="209"/>
    </row>
    <row r="1619" spans="2:2" ht="17.25">
      <c r="B1619" s="209"/>
    </row>
    <row r="1620" spans="2:2" ht="17.25">
      <c r="B1620" s="209"/>
    </row>
    <row r="1621" spans="2:2" ht="17.25">
      <c r="B1621" s="209"/>
    </row>
    <row r="1622" spans="2:2" ht="17.25">
      <c r="B1622" s="209"/>
    </row>
    <row r="1623" spans="2:2" ht="17.25">
      <c r="B1623" s="209"/>
    </row>
    <row r="1624" spans="2:2" ht="17.25">
      <c r="B1624" s="209"/>
    </row>
    <row r="1625" spans="2:2" ht="17.25">
      <c r="B1625" s="209"/>
    </row>
    <row r="1626" spans="2:2" ht="17.25">
      <c r="B1626" s="209"/>
    </row>
    <row r="1627" spans="2:2" ht="17.25">
      <c r="B1627" s="209"/>
    </row>
    <row r="1628" spans="2:2" ht="17.25">
      <c r="B1628" s="209"/>
    </row>
    <row r="1629" spans="2:2" ht="17.25">
      <c r="B1629" s="209"/>
    </row>
    <row r="1630" spans="2:2" ht="17.25">
      <c r="B1630" s="209"/>
    </row>
    <row r="1631" spans="2:2" ht="17.25">
      <c r="B1631" s="209"/>
    </row>
    <row r="1632" spans="2:2" ht="17.25">
      <c r="B1632" s="209"/>
    </row>
    <row r="1633" spans="2:2" ht="17.25">
      <c r="B1633" s="209"/>
    </row>
    <row r="1634" spans="2:2" ht="17.25">
      <c r="B1634" s="209"/>
    </row>
    <row r="1635" spans="2:2" ht="17.25">
      <c r="B1635" s="209"/>
    </row>
    <row r="1636" spans="2:2" ht="17.25">
      <c r="B1636" s="209"/>
    </row>
    <row r="1637" spans="2:2" ht="17.25">
      <c r="B1637" s="209"/>
    </row>
    <row r="1638" spans="2:2" ht="17.25">
      <c r="B1638" s="209"/>
    </row>
    <row r="1639" spans="2:2" ht="17.25">
      <c r="B1639" s="209"/>
    </row>
    <row r="1640" spans="2:2" ht="17.25">
      <c r="B1640" s="209"/>
    </row>
    <row r="1641" spans="2:2" ht="17.25">
      <c r="B1641" s="209"/>
    </row>
    <row r="1642" spans="2:2" ht="17.25">
      <c r="B1642" s="209"/>
    </row>
    <row r="1643" spans="2:2" ht="17.25">
      <c r="B1643" s="209"/>
    </row>
    <row r="1644" spans="2:2" ht="17.25">
      <c r="B1644" s="209"/>
    </row>
    <row r="1645" spans="2:2" ht="17.25">
      <c r="B1645" s="209"/>
    </row>
    <row r="1646" spans="2:2" ht="17.25">
      <c r="B1646" s="209"/>
    </row>
    <row r="1647" spans="2:2" ht="17.25">
      <c r="B1647" s="209"/>
    </row>
    <row r="1648" spans="2:2" ht="17.25">
      <c r="B1648" s="209"/>
    </row>
    <row r="1649" spans="2:2" ht="17.25">
      <c r="B1649" s="209"/>
    </row>
    <row r="1650" spans="2:2" ht="17.25">
      <c r="B1650" s="209"/>
    </row>
    <row r="1651" spans="2:2" ht="17.25">
      <c r="B1651" s="209"/>
    </row>
    <row r="1652" spans="2:2" ht="17.25">
      <c r="B1652" s="209"/>
    </row>
    <row r="1653" spans="2:2" ht="17.25">
      <c r="B1653" s="209"/>
    </row>
    <row r="1654" spans="2:2" ht="17.25">
      <c r="B1654" s="209"/>
    </row>
    <row r="1655" spans="2:2" ht="17.25">
      <c r="B1655" s="209"/>
    </row>
    <row r="1656" spans="2:2" ht="17.25">
      <c r="B1656" s="209"/>
    </row>
    <row r="1657" spans="2:2" ht="17.25">
      <c r="B1657" s="209"/>
    </row>
    <row r="1658" spans="2:2" ht="17.25">
      <c r="B1658" s="209"/>
    </row>
    <row r="1659" spans="2:2" ht="17.25">
      <c r="B1659" s="209"/>
    </row>
    <row r="1660" spans="2:2" ht="17.25">
      <c r="B1660" s="209"/>
    </row>
    <row r="1661" spans="2:2" ht="17.25">
      <c r="B1661" s="209"/>
    </row>
    <row r="1662" spans="2:2" ht="17.25">
      <c r="B1662" s="209"/>
    </row>
    <row r="1663" spans="2:2" ht="17.25">
      <c r="B1663" s="209"/>
    </row>
    <row r="1664" spans="2:2" ht="17.25">
      <c r="B1664" s="209"/>
    </row>
    <row r="1665" spans="2:2" ht="17.25">
      <c r="B1665" s="209"/>
    </row>
    <row r="1666" spans="2:2" ht="17.25">
      <c r="B1666" s="209"/>
    </row>
    <row r="1667" spans="2:2" ht="17.25">
      <c r="B1667" s="209"/>
    </row>
    <row r="1668" spans="2:2" ht="17.25">
      <c r="B1668" s="209"/>
    </row>
    <row r="1669" spans="2:2" ht="17.25">
      <c r="B1669" s="209"/>
    </row>
    <row r="1670" spans="2:2" ht="17.25">
      <c r="B1670" s="209"/>
    </row>
    <row r="1671" spans="2:2" ht="17.25">
      <c r="B1671" s="209"/>
    </row>
    <row r="1672" spans="2:2" ht="17.25">
      <c r="B1672" s="209"/>
    </row>
    <row r="1673" spans="2:2" ht="17.25">
      <c r="B1673" s="209"/>
    </row>
    <row r="1674" spans="2:2" ht="17.25">
      <c r="B1674" s="209"/>
    </row>
    <row r="1675" spans="2:2" ht="17.25">
      <c r="B1675" s="209"/>
    </row>
    <row r="1676" spans="2:2" ht="17.25">
      <c r="B1676" s="209"/>
    </row>
    <row r="1677" spans="2:2" ht="17.25">
      <c r="B1677" s="209"/>
    </row>
    <row r="1678" spans="2:2" ht="17.25">
      <c r="B1678" s="209"/>
    </row>
    <row r="1679" spans="2:2" ht="17.25">
      <c r="B1679" s="209"/>
    </row>
    <row r="1680" spans="2:2" ht="17.25">
      <c r="B1680" s="209"/>
    </row>
    <row r="1681" spans="2:2" ht="17.25">
      <c r="B1681" s="209"/>
    </row>
    <row r="1682" spans="2:2" ht="17.25">
      <c r="B1682" s="209"/>
    </row>
    <row r="1683" spans="2:2" ht="17.25">
      <c r="B1683" s="209"/>
    </row>
    <row r="1684" spans="2:2" ht="17.25">
      <c r="B1684" s="209"/>
    </row>
    <row r="1685" spans="2:2" ht="17.25">
      <c r="B1685" s="209"/>
    </row>
    <row r="1686" spans="2:2" ht="17.25">
      <c r="B1686" s="209"/>
    </row>
    <row r="1687" spans="2:2" ht="17.25">
      <c r="B1687" s="209"/>
    </row>
    <row r="1688" spans="2:2" ht="17.25">
      <c r="B1688" s="209"/>
    </row>
    <row r="1689" spans="2:2" ht="17.25">
      <c r="B1689" s="209"/>
    </row>
    <row r="1690" spans="2:2" ht="17.25">
      <c r="B1690" s="209"/>
    </row>
    <row r="1691" spans="2:2" ht="17.25">
      <c r="B1691" s="209"/>
    </row>
    <row r="1692" spans="2:2" ht="17.25">
      <c r="B1692" s="209"/>
    </row>
    <row r="1693" spans="2:2" ht="17.25">
      <c r="B1693" s="209"/>
    </row>
    <row r="1694" spans="2:2" ht="17.25">
      <c r="B1694" s="209"/>
    </row>
    <row r="1695" spans="2:2" ht="17.25">
      <c r="B1695" s="209"/>
    </row>
    <row r="1696" spans="2:2" ht="17.25">
      <c r="B1696" s="209"/>
    </row>
    <row r="1697" spans="2:2" ht="17.25">
      <c r="B1697" s="209"/>
    </row>
    <row r="1698" spans="2:2" ht="17.25">
      <c r="B1698" s="209"/>
    </row>
    <row r="1699" spans="2:2" ht="17.25">
      <c r="B1699" s="209"/>
    </row>
    <row r="1700" spans="2:2" ht="17.25">
      <c r="B1700" s="209"/>
    </row>
    <row r="1701" spans="2:2" ht="17.25">
      <c r="B1701" s="209"/>
    </row>
    <row r="1702" spans="2:2" ht="17.25">
      <c r="B1702" s="209"/>
    </row>
    <row r="1703" spans="2:2" ht="17.25">
      <c r="B1703" s="209"/>
    </row>
    <row r="1704" spans="2:2" ht="17.25">
      <c r="B1704" s="209"/>
    </row>
    <row r="1705" spans="2:2" ht="17.25">
      <c r="B1705" s="209"/>
    </row>
    <row r="1706" spans="2:2" ht="17.25">
      <c r="B1706" s="209"/>
    </row>
    <row r="1707" spans="2:2" ht="17.25">
      <c r="B1707" s="209"/>
    </row>
    <row r="1708" spans="2:2" ht="17.25">
      <c r="B1708" s="209"/>
    </row>
    <row r="1709" spans="2:2" ht="17.25">
      <c r="B1709" s="209"/>
    </row>
    <row r="1710" spans="2:2" ht="17.25">
      <c r="B1710" s="209"/>
    </row>
    <row r="1711" spans="2:2" ht="17.25">
      <c r="B1711" s="209"/>
    </row>
    <row r="1712" spans="2:2" ht="17.25">
      <c r="B1712" s="209"/>
    </row>
    <row r="1713" spans="2:2" ht="17.25">
      <c r="B1713" s="209"/>
    </row>
    <row r="1714" spans="2:2" ht="17.25">
      <c r="B1714" s="209"/>
    </row>
    <row r="1715" spans="2:2" ht="17.25">
      <c r="B1715" s="209"/>
    </row>
    <row r="1716" spans="2:2" ht="17.25">
      <c r="B1716" s="209"/>
    </row>
    <row r="1717" spans="2:2" ht="17.25">
      <c r="B1717" s="209"/>
    </row>
    <row r="1718" spans="2:2" ht="17.25">
      <c r="B1718" s="209"/>
    </row>
    <row r="1719" spans="2:2" ht="17.25">
      <c r="B1719" s="209"/>
    </row>
    <row r="1720" spans="2:2" ht="17.25">
      <c r="B1720" s="209"/>
    </row>
    <row r="1721" spans="2:2" ht="17.25">
      <c r="B1721" s="209"/>
    </row>
    <row r="1722" spans="2:2" ht="17.25">
      <c r="B1722" s="209"/>
    </row>
    <row r="1723" spans="2:2" ht="17.25">
      <c r="B1723" s="209"/>
    </row>
    <row r="1724" spans="2:2" ht="17.25">
      <c r="B1724" s="209"/>
    </row>
    <row r="1725" spans="2:2" ht="17.25">
      <c r="B1725" s="209"/>
    </row>
    <row r="1726" spans="2:2" ht="17.25">
      <c r="B1726" s="209"/>
    </row>
    <row r="1727" spans="2:2" ht="17.25">
      <c r="B1727" s="209"/>
    </row>
    <row r="1728" spans="2:2" ht="17.25">
      <c r="B1728" s="209"/>
    </row>
    <row r="1729" spans="2:2" ht="17.25">
      <c r="B1729" s="209"/>
    </row>
    <row r="1730" spans="2:2" ht="17.25">
      <c r="B1730" s="209"/>
    </row>
    <row r="1731" spans="2:2" ht="17.25">
      <c r="B1731" s="209"/>
    </row>
    <row r="1732" spans="2:2" ht="17.25">
      <c r="B1732" s="209"/>
    </row>
    <row r="1733" spans="2:2" ht="17.25">
      <c r="B1733" s="209"/>
    </row>
    <row r="1734" spans="2:2" ht="17.25">
      <c r="B1734" s="209"/>
    </row>
    <row r="1735" spans="2:2" ht="17.25">
      <c r="B1735" s="209"/>
    </row>
    <row r="1736" spans="2:2" ht="17.25">
      <c r="B1736" s="209"/>
    </row>
    <row r="1737" spans="2:2" ht="17.25">
      <c r="B1737" s="209"/>
    </row>
    <row r="1738" spans="2:2" ht="17.25">
      <c r="B1738" s="209"/>
    </row>
    <row r="1739" spans="2:2" ht="17.25">
      <c r="B1739" s="209"/>
    </row>
    <row r="1740" spans="2:2" ht="17.25">
      <c r="B1740" s="209"/>
    </row>
    <row r="1741" spans="2:2" ht="17.25">
      <c r="B1741" s="209"/>
    </row>
    <row r="1742" spans="2:2" ht="17.25">
      <c r="B1742" s="209"/>
    </row>
    <row r="1743" spans="2:2" ht="17.25">
      <c r="B1743" s="209"/>
    </row>
    <row r="1744" spans="2:2" ht="17.25">
      <c r="B1744" s="209"/>
    </row>
    <row r="1745" spans="2:2" ht="17.25">
      <c r="B1745" s="209"/>
    </row>
    <row r="1746" spans="2:2" ht="17.25">
      <c r="B1746" s="209"/>
    </row>
    <row r="1747" spans="2:2" ht="17.25">
      <c r="B1747" s="209"/>
    </row>
    <row r="1748" spans="2:2" ht="17.25">
      <c r="B1748" s="209"/>
    </row>
    <row r="1749" spans="2:2" ht="17.25">
      <c r="B1749" s="209"/>
    </row>
    <row r="1750" spans="2:2" ht="17.25">
      <c r="B1750" s="209"/>
    </row>
    <row r="1751" spans="2:2" ht="17.25">
      <c r="B1751" s="209"/>
    </row>
    <row r="1752" spans="2:2" ht="17.25">
      <c r="B1752" s="209"/>
    </row>
    <row r="1753" spans="2:2" ht="17.25">
      <c r="B1753" s="209"/>
    </row>
    <row r="1754" spans="2:2" ht="17.25">
      <c r="B1754" s="209"/>
    </row>
    <row r="1755" spans="2:2" ht="17.25">
      <c r="B1755" s="209"/>
    </row>
    <row r="1756" spans="2:2" ht="17.25">
      <c r="B1756" s="209"/>
    </row>
    <row r="1757" spans="2:2" ht="17.25">
      <c r="B1757" s="209"/>
    </row>
    <row r="1758" spans="2:2" ht="17.25">
      <c r="B1758" s="209"/>
    </row>
    <row r="1759" spans="2:2" ht="17.25">
      <c r="B1759" s="209"/>
    </row>
    <row r="1760" spans="2:2" ht="17.25">
      <c r="B1760" s="209"/>
    </row>
    <row r="1761" spans="2:2" ht="17.25">
      <c r="B1761" s="209"/>
    </row>
    <row r="1762" spans="2:2" ht="17.25">
      <c r="B1762" s="209"/>
    </row>
    <row r="1763" spans="2:2" ht="17.25">
      <c r="B1763" s="209"/>
    </row>
    <row r="1764" spans="2:2" ht="17.25">
      <c r="B1764" s="209"/>
    </row>
    <row r="1765" spans="2:2" ht="17.25">
      <c r="B1765" s="209"/>
    </row>
    <row r="1766" spans="2:2" ht="17.25">
      <c r="B1766" s="209"/>
    </row>
    <row r="1767" spans="2:2" ht="17.25">
      <c r="B1767" s="209"/>
    </row>
    <row r="1768" spans="2:2" ht="17.25">
      <c r="B1768" s="209"/>
    </row>
    <row r="1769" spans="2:2" ht="17.25">
      <c r="B1769" s="209"/>
    </row>
    <row r="1770" spans="2:2" ht="17.25">
      <c r="B1770" s="209"/>
    </row>
    <row r="1771" spans="2:2" ht="17.25">
      <c r="B1771" s="209"/>
    </row>
    <row r="1772" spans="2:2" ht="17.25">
      <c r="B1772" s="209"/>
    </row>
    <row r="1773" spans="2:2" ht="17.25">
      <c r="B1773" s="209"/>
    </row>
    <row r="1774" spans="2:2" ht="17.25">
      <c r="B1774" s="209"/>
    </row>
    <row r="1775" spans="2:2" ht="17.25">
      <c r="B1775" s="209"/>
    </row>
    <row r="1776" spans="2:2" ht="17.25">
      <c r="B1776" s="209"/>
    </row>
    <row r="1777" spans="2:2" ht="17.25">
      <c r="B1777" s="209"/>
    </row>
    <row r="1778" spans="2:2" ht="17.25">
      <c r="B1778" s="209"/>
    </row>
    <row r="1779" spans="2:2" ht="17.25">
      <c r="B1779" s="209"/>
    </row>
    <row r="1780" spans="2:2" ht="17.25">
      <c r="B1780" s="209"/>
    </row>
    <row r="1781" spans="2:2" ht="17.25">
      <c r="B1781" s="209"/>
    </row>
    <row r="1782" spans="2:2" ht="17.25">
      <c r="B1782" s="209"/>
    </row>
    <row r="1783" spans="2:2" ht="17.25">
      <c r="B1783" s="209"/>
    </row>
    <row r="1784" spans="2:2" ht="17.25">
      <c r="B1784" s="209"/>
    </row>
    <row r="1785" spans="2:2" ht="17.25">
      <c r="B1785" s="209"/>
    </row>
    <row r="1786" spans="2:2" ht="17.25">
      <c r="B1786" s="209"/>
    </row>
    <row r="1787" spans="2:2" ht="17.25">
      <c r="B1787" s="209"/>
    </row>
    <row r="1788" spans="2:2" ht="17.25">
      <c r="B1788" s="209"/>
    </row>
    <row r="1789" spans="2:2" ht="17.25">
      <c r="B1789" s="209"/>
    </row>
    <row r="1790" spans="2:2" ht="17.25">
      <c r="B1790" s="209"/>
    </row>
    <row r="1791" spans="2:2" ht="17.25">
      <c r="B1791" s="209"/>
    </row>
    <row r="1792" spans="2:2" ht="17.25">
      <c r="B1792" s="209"/>
    </row>
    <row r="1793" spans="2:2" ht="17.25">
      <c r="B1793" s="209"/>
    </row>
    <row r="1794" spans="2:2" ht="17.25">
      <c r="B1794" s="209"/>
    </row>
    <row r="1795" spans="2:2" ht="17.25">
      <c r="B1795" s="209"/>
    </row>
    <row r="1796" spans="2:2" ht="17.25">
      <c r="B1796" s="209"/>
    </row>
    <row r="1797" spans="2:2" ht="17.25">
      <c r="B1797" s="209"/>
    </row>
    <row r="1798" spans="2:2" ht="17.25">
      <c r="B1798" s="209"/>
    </row>
    <row r="1799" spans="2:2" ht="17.25">
      <c r="B1799" s="209"/>
    </row>
    <row r="1800" spans="2:2" ht="17.25">
      <c r="B1800" s="209"/>
    </row>
    <row r="1801" spans="2:2" ht="17.25">
      <c r="B1801" s="209"/>
    </row>
    <row r="1802" spans="2:2" ht="17.25">
      <c r="B1802" s="209"/>
    </row>
    <row r="1803" spans="2:2" ht="17.25">
      <c r="B1803" s="209"/>
    </row>
    <row r="1804" spans="2:2" ht="17.25">
      <c r="B1804" s="209"/>
    </row>
    <row r="1805" spans="2:2" ht="17.25">
      <c r="B1805" s="209"/>
    </row>
    <row r="1806" spans="2:2" ht="17.25">
      <c r="B1806" s="209"/>
    </row>
    <row r="1807" spans="2:2" ht="17.25">
      <c r="B1807" s="209"/>
    </row>
    <row r="1808" spans="2:2" ht="17.25">
      <c r="B1808" s="209"/>
    </row>
    <row r="1809" spans="2:2" ht="17.25">
      <c r="B1809" s="209"/>
    </row>
    <row r="1810" spans="2:2" ht="17.25">
      <c r="B1810" s="209"/>
    </row>
    <row r="1811" spans="2:2" ht="17.25">
      <c r="B1811" s="209"/>
    </row>
    <row r="1812" spans="2:2" ht="17.25">
      <c r="B1812" s="209"/>
    </row>
    <row r="1813" spans="2:2" ht="17.25">
      <c r="B1813" s="209"/>
    </row>
    <row r="1814" spans="2:2" ht="17.25">
      <c r="B1814" s="209"/>
    </row>
    <row r="1815" spans="2:2" ht="17.25">
      <c r="B1815" s="209"/>
    </row>
    <row r="1816" spans="2:2" ht="17.25">
      <c r="B1816" s="209"/>
    </row>
    <row r="1817" spans="2:2" ht="17.25">
      <c r="B1817" s="209"/>
    </row>
    <row r="1818" spans="2:2" ht="17.25">
      <c r="B1818" s="209"/>
    </row>
    <row r="1819" spans="2:2" ht="17.25">
      <c r="B1819" s="209"/>
    </row>
    <row r="1820" spans="2:2" ht="17.25">
      <c r="B1820" s="209"/>
    </row>
    <row r="1821" spans="2:2" ht="17.25">
      <c r="B1821" s="209"/>
    </row>
    <row r="1822" spans="2:2" ht="17.25">
      <c r="B1822" s="209"/>
    </row>
    <row r="1823" spans="2:2" ht="17.25">
      <c r="B1823" s="209"/>
    </row>
    <row r="1824" spans="2:2" ht="17.25">
      <c r="B1824" s="209"/>
    </row>
    <row r="1825" spans="2:2" ht="17.25">
      <c r="B1825" s="209"/>
    </row>
    <row r="1826" spans="2:2" ht="17.25">
      <c r="B1826" s="209"/>
    </row>
    <row r="1827" spans="2:2" ht="17.25">
      <c r="B1827" s="209"/>
    </row>
    <row r="1828" spans="2:2" ht="17.25">
      <c r="B1828" s="209"/>
    </row>
    <row r="1829" spans="2:2" ht="17.25">
      <c r="B1829" s="209"/>
    </row>
    <row r="1830" spans="2:2" ht="17.25">
      <c r="B1830" s="209"/>
    </row>
    <row r="1831" spans="2:2" ht="17.25">
      <c r="B1831" s="209"/>
    </row>
    <row r="1832" spans="2:2" ht="17.25">
      <c r="B1832" s="209"/>
    </row>
    <row r="1833" spans="2:2" ht="17.25">
      <c r="B1833" s="209"/>
    </row>
    <row r="1834" spans="2:2" ht="17.25">
      <c r="B1834" s="209"/>
    </row>
    <row r="1835" spans="2:2" ht="17.25">
      <c r="B1835" s="209"/>
    </row>
    <row r="1836" spans="2:2" ht="17.25">
      <c r="B1836" s="209"/>
    </row>
    <row r="1837" spans="2:2" ht="17.25">
      <c r="B1837" s="209"/>
    </row>
    <row r="1838" spans="2:2" ht="17.25">
      <c r="B1838" s="209"/>
    </row>
    <row r="1839" spans="2:2" ht="17.25">
      <c r="B1839" s="209"/>
    </row>
    <row r="1840" spans="2:2" ht="17.25">
      <c r="B1840" s="209"/>
    </row>
    <row r="1841" spans="2:2" ht="17.25">
      <c r="B1841" s="209"/>
    </row>
    <row r="1842" spans="2:2" ht="17.25">
      <c r="B1842" s="209"/>
    </row>
    <row r="1843" spans="2:2" ht="17.25">
      <c r="B1843" s="209"/>
    </row>
    <row r="1844" spans="2:2" ht="17.25">
      <c r="B1844" s="209"/>
    </row>
    <row r="1845" spans="2:2" ht="17.25">
      <c r="B1845" s="209"/>
    </row>
    <row r="1846" spans="2:2" ht="17.25">
      <c r="B1846" s="209"/>
    </row>
    <row r="1847" spans="2:2" ht="17.25">
      <c r="B1847" s="209"/>
    </row>
    <row r="1848" spans="2:2" ht="17.25">
      <c r="B1848" s="209"/>
    </row>
    <row r="1849" spans="2:2" ht="17.25">
      <c r="B1849" s="209"/>
    </row>
    <row r="1850" spans="2:2" ht="17.25">
      <c r="B1850" s="209"/>
    </row>
    <row r="1851" spans="2:2" ht="17.25">
      <c r="B1851" s="209"/>
    </row>
    <row r="1852" spans="2:2" ht="17.25">
      <c r="B1852" s="209"/>
    </row>
    <row r="1853" spans="2:2" ht="17.25">
      <c r="B1853" s="209"/>
    </row>
    <row r="1854" spans="2:2" ht="17.25">
      <c r="B1854" s="209"/>
    </row>
    <row r="1855" spans="2:2" ht="17.25">
      <c r="B1855" s="209"/>
    </row>
    <row r="1856" spans="2:2" ht="17.25">
      <c r="B1856" s="209"/>
    </row>
    <row r="1857" spans="2:2" ht="17.25">
      <c r="B1857" s="209"/>
    </row>
    <row r="1858" spans="2:2" ht="17.25">
      <c r="B1858" s="209"/>
    </row>
    <row r="1859" spans="2:2" ht="17.25">
      <c r="B1859" s="209"/>
    </row>
    <row r="1860" spans="2:2" ht="17.25">
      <c r="B1860" s="209"/>
    </row>
    <row r="1861" spans="2:2" ht="17.25">
      <c r="B1861" s="209"/>
    </row>
    <row r="1862" spans="2:2" ht="17.25">
      <c r="B1862" s="209"/>
    </row>
    <row r="1863" spans="2:2" ht="17.25">
      <c r="B1863" s="209"/>
    </row>
    <row r="1864" spans="2:2" ht="17.25">
      <c r="B1864" s="209"/>
    </row>
    <row r="1865" spans="2:2" ht="17.25">
      <c r="B1865" s="209"/>
    </row>
    <row r="1866" spans="2:2" ht="17.25">
      <c r="B1866" s="209"/>
    </row>
    <row r="1867" spans="2:2" ht="17.25">
      <c r="B1867" s="209"/>
    </row>
    <row r="1868" spans="2:2" ht="17.25">
      <c r="B1868" s="209"/>
    </row>
    <row r="1869" spans="2:2" ht="17.25">
      <c r="B1869" s="209"/>
    </row>
    <row r="1870" spans="2:2" ht="17.25">
      <c r="B1870" s="209"/>
    </row>
    <row r="1871" spans="2:2" ht="17.25">
      <c r="B1871" s="209"/>
    </row>
    <row r="1872" spans="2:2" ht="17.25">
      <c r="B1872" s="209"/>
    </row>
    <row r="1873" spans="2:2" ht="17.25">
      <c r="B1873" s="209"/>
    </row>
    <row r="1874" spans="2:2" ht="17.25">
      <c r="B1874" s="209"/>
    </row>
    <row r="1875" spans="2:2" ht="17.25">
      <c r="B1875" s="209"/>
    </row>
    <row r="1876" spans="2:2" ht="17.25">
      <c r="B1876" s="209"/>
    </row>
    <row r="1877" spans="2:2" ht="17.25">
      <c r="B1877" s="209"/>
    </row>
    <row r="1878" spans="2:2" ht="17.25">
      <c r="B1878" s="209"/>
    </row>
    <row r="1879" spans="2:2" ht="17.25">
      <c r="B1879" s="209"/>
    </row>
    <row r="1880" spans="2:2" ht="17.25">
      <c r="B1880" s="209"/>
    </row>
    <row r="1881" spans="2:2" ht="17.25">
      <c r="B1881" s="209"/>
    </row>
    <row r="1882" spans="2:2" ht="17.25">
      <c r="B1882" s="209"/>
    </row>
    <row r="1883" spans="2:2" ht="17.25">
      <c r="B1883" s="209"/>
    </row>
    <row r="1884" spans="2:2" ht="17.25">
      <c r="B1884" s="209"/>
    </row>
    <row r="1885" spans="2:2" ht="17.25">
      <c r="B1885" s="209"/>
    </row>
    <row r="1886" spans="2:2" ht="17.25">
      <c r="B1886" s="209"/>
    </row>
    <row r="1887" spans="2:2" ht="17.25">
      <c r="B1887" s="209"/>
    </row>
    <row r="1888" spans="2:2" ht="17.25">
      <c r="B1888" s="209"/>
    </row>
    <row r="1889" spans="2:2" ht="17.25">
      <c r="B1889" s="209"/>
    </row>
    <row r="1890" spans="2:2" ht="17.25">
      <c r="B1890" s="209"/>
    </row>
    <row r="1891" spans="2:2" ht="17.25">
      <c r="B1891" s="209"/>
    </row>
    <row r="1892" spans="2:2" ht="17.25">
      <c r="B1892" s="209"/>
    </row>
    <row r="1893" spans="2:2" ht="17.25">
      <c r="B1893" s="209"/>
    </row>
    <row r="1894" spans="2:2" ht="17.25">
      <c r="B1894" s="209"/>
    </row>
    <row r="1895" spans="2:2" ht="17.25">
      <c r="B1895" s="209"/>
    </row>
    <row r="1896" spans="2:2" ht="17.25">
      <c r="B1896" s="209"/>
    </row>
    <row r="1897" spans="2:2" ht="17.25">
      <c r="B1897" s="209"/>
    </row>
    <row r="1898" spans="2:2" ht="17.25">
      <c r="B1898" s="209"/>
    </row>
    <row r="1899" spans="2:2" ht="17.25">
      <c r="B1899" s="209"/>
    </row>
    <row r="1900" spans="2:2" ht="17.25">
      <c r="B1900" s="209"/>
    </row>
    <row r="1901" spans="2:2" ht="17.25">
      <c r="B1901" s="209"/>
    </row>
    <row r="1902" spans="2:2" ht="17.25">
      <c r="B1902" s="209"/>
    </row>
    <row r="1903" spans="2:2" ht="17.25">
      <c r="B1903" s="209"/>
    </row>
    <row r="1904" spans="2:2" ht="17.25">
      <c r="B1904" s="209"/>
    </row>
    <row r="1905" spans="2:2" ht="17.25">
      <c r="B1905" s="209"/>
    </row>
    <row r="1906" spans="2:2" ht="17.25">
      <c r="B1906" s="209"/>
    </row>
    <row r="1907" spans="2:2" ht="17.25">
      <c r="B1907" s="209"/>
    </row>
    <row r="1908" spans="2:2" ht="17.25">
      <c r="B1908" s="209"/>
    </row>
    <row r="1909" spans="2:2" ht="17.25">
      <c r="B1909" s="209"/>
    </row>
    <row r="1910" spans="2:2" ht="17.25">
      <c r="B1910" s="209"/>
    </row>
    <row r="1911" spans="2:2" ht="17.25">
      <c r="B1911" s="209"/>
    </row>
    <row r="1912" spans="2:2" ht="17.25">
      <c r="B1912" s="209"/>
    </row>
    <row r="1913" spans="2:2" ht="17.25">
      <c r="B1913" s="209"/>
    </row>
    <row r="1914" spans="2:2" ht="17.25">
      <c r="B1914" s="209"/>
    </row>
    <row r="1915" spans="2:2" ht="17.25">
      <c r="B1915" s="209"/>
    </row>
    <row r="1916" spans="2:2" ht="17.25">
      <c r="B1916" s="209"/>
    </row>
    <row r="1917" spans="2:2" ht="17.25">
      <c r="B1917" s="209"/>
    </row>
    <row r="1918" spans="2:2" ht="17.25">
      <c r="B1918" s="209"/>
    </row>
    <row r="1919" spans="2:2" ht="17.25">
      <c r="B1919" s="209"/>
    </row>
    <row r="1920" spans="2:2" ht="17.25">
      <c r="B1920" s="209"/>
    </row>
    <row r="1921" spans="2:2" ht="17.25">
      <c r="B1921" s="209"/>
    </row>
    <row r="1922" spans="2:2" ht="17.25">
      <c r="B1922" s="209"/>
    </row>
    <row r="1923" spans="2:2" ht="17.25">
      <c r="B1923" s="209"/>
    </row>
    <row r="1924" spans="2:2" ht="17.25">
      <c r="B1924" s="209"/>
    </row>
    <row r="1925" spans="2:2" ht="17.25">
      <c r="B1925" s="209"/>
    </row>
    <row r="1926" spans="2:2" ht="17.25">
      <c r="B1926" s="209"/>
    </row>
    <row r="1927" spans="2:2" ht="17.25">
      <c r="B1927" s="209"/>
    </row>
    <row r="1928" spans="2:2" ht="17.25">
      <c r="B1928" s="209"/>
    </row>
    <row r="1929" spans="2:2" ht="17.25">
      <c r="B1929" s="209"/>
    </row>
    <row r="1930" spans="2:2" ht="17.25">
      <c r="B1930" s="209"/>
    </row>
    <row r="1931" spans="2:2" ht="17.25">
      <c r="B1931" s="209"/>
    </row>
    <row r="1932" spans="2:2" ht="17.25">
      <c r="B1932" s="209"/>
    </row>
    <row r="1933" spans="2:2" ht="17.25">
      <c r="B1933" s="209"/>
    </row>
    <row r="1934" spans="2:2" ht="17.25">
      <c r="B1934" s="209"/>
    </row>
    <row r="1935" spans="2:2" ht="17.25">
      <c r="B1935" s="209"/>
    </row>
    <row r="1936" spans="2:2" ht="17.25">
      <c r="B1936" s="209"/>
    </row>
    <row r="1937" spans="2:2" ht="17.25">
      <c r="B1937" s="209"/>
    </row>
    <row r="1938" spans="2:2" ht="17.25">
      <c r="B1938" s="209"/>
    </row>
    <row r="1939" spans="2:2" ht="17.25">
      <c r="B1939" s="209"/>
    </row>
    <row r="1940" spans="2:2" ht="17.25">
      <c r="B1940" s="209"/>
    </row>
    <row r="1941" spans="2:2" ht="17.25">
      <c r="B1941" s="209"/>
    </row>
    <row r="1942" spans="2:2" ht="17.25">
      <c r="B1942" s="209"/>
    </row>
    <row r="1943" spans="2:2" ht="17.25">
      <c r="B1943" s="209"/>
    </row>
    <row r="1944" spans="2:2" ht="17.25">
      <c r="B1944" s="209"/>
    </row>
    <row r="1945" spans="2:2" ht="17.25">
      <c r="B1945" s="209"/>
    </row>
    <row r="1946" spans="2:2" ht="17.25">
      <c r="B1946" s="209"/>
    </row>
    <row r="1947" spans="2:2" ht="17.25">
      <c r="B1947" s="209"/>
    </row>
    <row r="1948" spans="2:2" ht="17.25">
      <c r="B1948" s="209"/>
    </row>
    <row r="1949" spans="2:2" ht="17.25">
      <c r="B1949" s="209"/>
    </row>
    <row r="1950" spans="2:2" ht="17.25">
      <c r="B1950" s="209"/>
    </row>
    <row r="1951" spans="2:2" ht="17.25">
      <c r="B1951" s="209"/>
    </row>
    <row r="1952" spans="2:2" ht="17.25">
      <c r="B1952" s="209"/>
    </row>
    <row r="1953" spans="2:2" ht="17.25">
      <c r="B1953" s="209"/>
    </row>
    <row r="1954" spans="2:2" ht="17.25">
      <c r="B1954" s="209"/>
    </row>
    <row r="1955" spans="2:2" ht="17.25">
      <c r="B1955" s="209"/>
    </row>
    <row r="1956" spans="2:2" ht="17.25">
      <c r="B1956" s="209"/>
    </row>
    <row r="1957" spans="2:2" ht="17.25">
      <c r="B1957" s="209"/>
    </row>
    <row r="1958" spans="2:2" ht="17.25">
      <c r="B1958" s="209"/>
    </row>
    <row r="1959" spans="2:2" ht="17.25">
      <c r="B1959" s="209"/>
    </row>
    <row r="1960" spans="2:2" ht="17.25">
      <c r="B1960" s="209"/>
    </row>
    <row r="1961" spans="2:2" ht="17.25">
      <c r="B1961" s="209"/>
    </row>
    <row r="1962" spans="2:2" ht="17.25">
      <c r="B1962" s="209"/>
    </row>
    <row r="1963" spans="2:2" ht="17.25">
      <c r="B1963" s="209"/>
    </row>
    <row r="1964" spans="2:2" ht="17.25">
      <c r="B1964" s="209"/>
    </row>
    <row r="1965" spans="2:2" ht="17.25">
      <c r="B1965" s="209"/>
    </row>
    <row r="1966" spans="2:2" ht="17.25">
      <c r="B1966" s="209"/>
    </row>
    <row r="1967" spans="2:2" ht="17.25">
      <c r="B1967" s="209"/>
    </row>
    <row r="1968" spans="2:2" ht="17.25">
      <c r="B1968" s="209"/>
    </row>
    <row r="1969" spans="2:2" ht="17.25">
      <c r="B1969" s="209"/>
    </row>
    <row r="1970" spans="2:2" ht="17.25">
      <c r="B1970" s="209"/>
    </row>
    <row r="1971" spans="2:2" ht="17.25">
      <c r="B1971" s="209"/>
    </row>
    <row r="1972" spans="2:2" ht="17.25">
      <c r="B1972" s="209"/>
    </row>
    <row r="1973" spans="2:2" ht="17.25">
      <c r="B1973" s="209"/>
    </row>
    <row r="1974" spans="2:2" ht="17.25">
      <c r="B1974" s="209"/>
    </row>
    <row r="1975" spans="2:2" ht="17.25">
      <c r="B1975" s="209"/>
    </row>
    <row r="1976" spans="2:2" ht="17.25">
      <c r="B1976" s="209"/>
    </row>
    <row r="1977" spans="2:2" ht="17.25">
      <c r="B1977" s="209"/>
    </row>
    <row r="1978" spans="2:2" ht="17.25">
      <c r="B1978" s="209"/>
    </row>
    <row r="1979" spans="2:2" ht="17.25">
      <c r="B1979" s="209"/>
    </row>
    <row r="1980" spans="2:2" ht="17.25">
      <c r="B1980" s="209"/>
    </row>
    <row r="1981" spans="2:2" ht="17.25">
      <c r="B1981" s="209"/>
    </row>
    <row r="1982" spans="2:2" ht="17.25">
      <c r="B1982" s="209"/>
    </row>
    <row r="1983" spans="2:2" ht="17.25">
      <c r="B1983" s="209"/>
    </row>
    <row r="1984" spans="2:2" ht="17.25">
      <c r="B1984" s="209"/>
    </row>
    <row r="1985" spans="2:2" ht="17.25">
      <c r="B1985" s="209"/>
    </row>
    <row r="1986" spans="2:2" ht="17.25">
      <c r="B1986" s="209"/>
    </row>
    <row r="1987" spans="2:2" ht="17.25">
      <c r="B1987" s="209"/>
    </row>
    <row r="1988" spans="2:2" ht="17.25">
      <c r="B1988" s="209"/>
    </row>
    <row r="1989" spans="2:2" ht="17.25">
      <c r="B1989" s="209"/>
    </row>
    <row r="1990" spans="2:2" ht="17.25">
      <c r="B1990" s="209"/>
    </row>
    <row r="1991" spans="2:2" ht="17.25">
      <c r="B1991" s="209"/>
    </row>
    <row r="1992" spans="2:2" ht="17.25">
      <c r="B1992" s="209"/>
    </row>
    <row r="1993" spans="2:2" ht="17.25">
      <c r="B1993" s="209"/>
    </row>
    <row r="1994" spans="2:2" ht="17.25">
      <c r="B1994" s="209"/>
    </row>
    <row r="1995" spans="2:2" ht="17.25">
      <c r="B1995" s="209"/>
    </row>
    <row r="1996" spans="2:2" ht="17.25">
      <c r="B1996" s="209"/>
    </row>
    <row r="1997" spans="2:2" ht="17.25">
      <c r="B1997" s="209"/>
    </row>
    <row r="1998" spans="2:2" ht="17.25">
      <c r="B1998" s="209"/>
    </row>
    <row r="1999" spans="2:2" ht="17.25">
      <c r="B1999" s="209"/>
    </row>
    <row r="2000" spans="2:2" ht="17.25">
      <c r="B2000" s="209"/>
    </row>
    <row r="2001" spans="2:2" ht="17.25">
      <c r="B2001" s="209"/>
    </row>
    <row r="2002" spans="2:2" ht="17.25">
      <c r="B2002" s="209"/>
    </row>
    <row r="2003" spans="2:2" ht="17.25">
      <c r="B2003" s="209"/>
    </row>
    <row r="2004" spans="2:2" ht="17.25">
      <c r="B2004" s="209"/>
    </row>
    <row r="2005" spans="2:2" ht="17.25">
      <c r="B2005" s="209"/>
    </row>
    <row r="2006" spans="2:2" ht="17.25">
      <c r="B2006" s="209"/>
    </row>
    <row r="2007" spans="2:2" ht="17.25">
      <c r="B2007" s="209"/>
    </row>
    <row r="2008" spans="2:2" ht="17.25">
      <c r="B2008" s="209"/>
    </row>
    <row r="2009" spans="2:2" ht="17.25">
      <c r="B2009" s="209"/>
    </row>
    <row r="2010" spans="2:2" ht="17.25">
      <c r="B2010" s="209"/>
    </row>
    <row r="2011" spans="2:2" ht="17.25">
      <c r="B2011" s="209"/>
    </row>
    <row r="2012" spans="2:2" ht="17.25">
      <c r="B2012" s="209"/>
    </row>
    <row r="2013" spans="2:2" ht="17.25">
      <c r="B2013" s="209"/>
    </row>
    <row r="2014" spans="2:2" ht="17.25">
      <c r="B2014" s="209"/>
    </row>
    <row r="2015" spans="2:2" ht="17.25">
      <c r="B2015" s="209"/>
    </row>
    <row r="2016" spans="2:2" ht="17.25">
      <c r="B2016" s="209"/>
    </row>
    <row r="2017" spans="2:2" ht="17.25">
      <c r="B2017" s="209"/>
    </row>
    <row r="2018" spans="2:2" ht="17.25">
      <c r="B2018" s="209"/>
    </row>
    <row r="2019" spans="2:2" ht="17.25">
      <c r="B2019" s="209"/>
    </row>
    <row r="2020" spans="2:2" ht="17.25">
      <c r="B2020" s="209"/>
    </row>
    <row r="2021" spans="2:2" ht="17.25">
      <c r="B2021" s="209"/>
    </row>
    <row r="2022" spans="2:2" ht="17.25">
      <c r="B2022" s="209"/>
    </row>
    <row r="2023" spans="2:2" ht="17.25">
      <c r="B2023" s="209"/>
    </row>
    <row r="2024" spans="2:2" ht="17.25">
      <c r="B2024" s="209"/>
    </row>
    <row r="2025" spans="2:2" ht="17.25">
      <c r="B2025" s="209"/>
    </row>
    <row r="2026" spans="2:2" ht="17.25">
      <c r="B2026" s="209"/>
    </row>
    <row r="2027" spans="2:2" ht="17.25">
      <c r="B2027" s="209"/>
    </row>
    <row r="2028" spans="2:2" ht="17.25">
      <c r="B2028" s="209"/>
    </row>
    <row r="2029" spans="2:2" ht="17.25">
      <c r="B2029" s="209"/>
    </row>
    <row r="2030" spans="2:2" ht="17.25">
      <c r="B2030" s="209"/>
    </row>
    <row r="2031" spans="2:2" ht="17.25">
      <c r="B2031" s="209"/>
    </row>
    <row r="2032" spans="2:2" ht="17.25">
      <c r="B2032" s="209"/>
    </row>
    <row r="2033" spans="2:2" ht="17.25">
      <c r="B2033" s="209"/>
    </row>
    <row r="2034" spans="2:2" ht="17.25">
      <c r="B2034" s="209"/>
    </row>
    <row r="2035" spans="2:2" ht="17.25">
      <c r="B2035" s="209"/>
    </row>
    <row r="2036" spans="2:2" ht="17.25">
      <c r="B2036" s="209"/>
    </row>
    <row r="2037" spans="2:2" ht="17.25">
      <c r="B2037" s="209"/>
    </row>
    <row r="2038" spans="2:2" ht="17.25">
      <c r="B2038" s="209"/>
    </row>
    <row r="2039" spans="2:2" ht="17.25">
      <c r="B2039" s="209"/>
    </row>
    <row r="2040" spans="2:2" ht="17.25">
      <c r="B2040" s="209"/>
    </row>
    <row r="2041" spans="2:2" ht="17.25">
      <c r="B2041" s="209"/>
    </row>
    <row r="2042" spans="2:2" ht="17.25">
      <c r="B2042" s="209"/>
    </row>
    <row r="2043" spans="2:2" ht="17.25">
      <c r="B2043" s="209"/>
    </row>
    <row r="2044" spans="2:2" ht="17.25">
      <c r="B2044" s="209"/>
    </row>
    <row r="2045" spans="2:2" ht="17.25">
      <c r="B2045" s="209"/>
    </row>
    <row r="2046" spans="2:2" ht="17.25">
      <c r="B2046" s="209"/>
    </row>
    <row r="2047" spans="2:2" ht="17.25">
      <c r="B2047" s="209"/>
    </row>
    <row r="2048" spans="2:2" ht="17.25">
      <c r="B2048" s="209"/>
    </row>
    <row r="2049" spans="2:2" ht="17.25">
      <c r="B2049" s="209"/>
    </row>
    <row r="2050" spans="2:2" ht="17.25">
      <c r="B2050" s="209"/>
    </row>
    <row r="2051" spans="2:2" ht="17.25">
      <c r="B2051" s="209"/>
    </row>
    <row r="2052" spans="2:2" ht="17.25">
      <c r="B2052" s="209"/>
    </row>
    <row r="2053" spans="2:2" ht="17.25">
      <c r="B2053" s="209"/>
    </row>
    <row r="2054" spans="2:2" ht="17.25">
      <c r="B2054" s="209"/>
    </row>
    <row r="2055" spans="2:2" ht="17.25">
      <c r="B2055" s="209"/>
    </row>
    <row r="2056" spans="2:2" ht="17.25">
      <c r="B2056" s="209"/>
    </row>
    <row r="2057" spans="2:2" ht="17.25">
      <c r="B2057" s="209"/>
    </row>
    <row r="2058" spans="2:2" ht="17.25">
      <c r="B2058" s="209"/>
    </row>
    <row r="2059" spans="2:2" ht="17.25">
      <c r="B2059" s="209"/>
    </row>
    <row r="2060" spans="2:2" ht="17.25">
      <c r="B2060" s="209"/>
    </row>
    <row r="2061" spans="2:2" ht="17.25">
      <c r="B2061" s="209"/>
    </row>
    <row r="2062" spans="2:2" ht="17.25">
      <c r="B2062" s="209"/>
    </row>
    <row r="2063" spans="2:2" ht="17.25">
      <c r="B2063" s="209"/>
    </row>
    <row r="2064" spans="2:2" ht="17.25">
      <c r="B2064" s="209"/>
    </row>
    <row r="2065" spans="2:2" ht="17.25">
      <c r="B2065" s="209"/>
    </row>
    <row r="2066" spans="2:2" ht="17.25">
      <c r="B2066" s="209"/>
    </row>
    <row r="2067" spans="2:2" ht="17.25">
      <c r="B2067" s="209"/>
    </row>
    <row r="2068" spans="2:2" ht="17.25">
      <c r="B2068" s="209"/>
    </row>
    <row r="2069" spans="2:2" ht="17.25">
      <c r="B2069" s="209"/>
    </row>
    <row r="2070" spans="2:2" ht="17.25">
      <c r="B2070" s="209"/>
    </row>
    <row r="2071" spans="2:2" ht="17.25">
      <c r="B2071" s="209"/>
    </row>
    <row r="2072" spans="2:2" ht="17.25">
      <c r="B2072" s="209"/>
    </row>
    <row r="2073" spans="2:2" ht="17.25">
      <c r="B2073" s="209"/>
    </row>
    <row r="2074" spans="2:2" ht="17.25">
      <c r="B2074" s="209"/>
    </row>
    <row r="2075" spans="2:2" ht="17.25">
      <c r="B2075" s="209"/>
    </row>
    <row r="2076" spans="2:2" ht="17.25">
      <c r="B2076" s="209"/>
    </row>
    <row r="2077" spans="2:2" ht="17.25">
      <c r="B2077" s="209"/>
    </row>
    <row r="2078" spans="2:2" ht="17.25">
      <c r="B2078" s="209"/>
    </row>
    <row r="2079" spans="2:2" ht="17.25">
      <c r="B2079" s="209"/>
    </row>
    <row r="2080" spans="2:2" ht="17.25">
      <c r="B2080" s="209"/>
    </row>
    <row r="2081" spans="2:2" ht="17.25">
      <c r="B2081" s="209"/>
    </row>
    <row r="2082" spans="2:2" ht="17.25">
      <c r="B2082" s="209"/>
    </row>
    <row r="2083" spans="2:2" ht="17.25">
      <c r="B2083" s="209"/>
    </row>
    <row r="2084" spans="2:2" ht="17.25">
      <c r="B2084" s="209"/>
    </row>
    <row r="2085" spans="2:2" ht="17.25">
      <c r="B2085" s="209"/>
    </row>
    <row r="2086" spans="2:2" ht="17.25">
      <c r="B2086" s="209"/>
    </row>
    <row r="2087" spans="2:2" ht="17.25">
      <c r="B2087" s="209"/>
    </row>
    <row r="2088" spans="2:2" ht="17.25">
      <c r="B2088" s="209"/>
    </row>
    <row r="2089" spans="2:2" ht="17.25">
      <c r="B2089" s="209"/>
    </row>
    <row r="2090" spans="2:2" ht="17.25">
      <c r="B2090" s="209"/>
    </row>
    <row r="2091" spans="2:2" ht="17.25">
      <c r="B2091" s="209"/>
    </row>
    <row r="2092" spans="2:2" ht="17.25">
      <c r="B2092" s="209"/>
    </row>
    <row r="2093" spans="2:2" ht="17.25">
      <c r="B2093" s="209"/>
    </row>
    <row r="2094" spans="2:2" ht="17.25">
      <c r="B2094" s="209"/>
    </row>
    <row r="2095" spans="2:2" ht="17.25">
      <c r="B2095" s="209"/>
    </row>
    <row r="2096" spans="2:2" ht="17.25">
      <c r="B2096" s="209"/>
    </row>
    <row r="2097" spans="2:2" ht="17.25">
      <c r="B2097" s="209"/>
    </row>
    <row r="2098" spans="2:2" ht="17.25">
      <c r="B2098" s="209"/>
    </row>
    <row r="2099" spans="2:2" ht="17.25">
      <c r="B2099" s="209"/>
    </row>
    <row r="2100" spans="2:2" ht="17.25">
      <c r="B2100" s="209"/>
    </row>
    <row r="2101" spans="2:2" ht="17.25">
      <c r="B2101" s="209"/>
    </row>
    <row r="2102" spans="2:2" ht="17.25">
      <c r="B2102" s="209"/>
    </row>
    <row r="2103" spans="2:2" ht="17.25">
      <c r="B2103" s="209"/>
    </row>
    <row r="2104" spans="2:2" ht="17.25">
      <c r="B2104" s="209"/>
    </row>
    <row r="2105" spans="2:2" ht="17.25">
      <c r="B2105" s="209"/>
    </row>
    <row r="2106" spans="2:2" ht="17.25">
      <c r="B2106" s="209"/>
    </row>
    <row r="2107" spans="2:2" ht="17.25">
      <c r="B2107" s="209"/>
    </row>
    <row r="2108" spans="2:2" ht="17.25">
      <c r="B2108" s="209"/>
    </row>
    <row r="2109" spans="2:2" ht="17.25">
      <c r="B2109" s="209"/>
    </row>
    <row r="2110" spans="2:2" ht="17.25">
      <c r="B2110" s="209"/>
    </row>
    <row r="2111" spans="2:2" ht="17.25">
      <c r="B2111" s="209"/>
    </row>
    <row r="2112" spans="2:2" ht="17.25">
      <c r="B2112" s="209"/>
    </row>
    <row r="2113" spans="2:2" ht="17.25">
      <c r="B2113" s="209"/>
    </row>
    <row r="2114" spans="2:2" ht="17.25">
      <c r="B2114" s="209"/>
    </row>
    <row r="2115" spans="2:2" ht="17.25">
      <c r="B2115" s="209"/>
    </row>
    <row r="2116" spans="2:2" ht="17.25">
      <c r="B2116" s="209"/>
    </row>
    <row r="2117" spans="2:2" ht="17.25">
      <c r="B2117" s="209"/>
    </row>
    <row r="2118" spans="2:2" ht="17.25">
      <c r="B2118" s="209"/>
    </row>
    <row r="2119" spans="2:2" ht="17.25">
      <c r="B2119" s="209"/>
    </row>
    <row r="2120" spans="2:2" ht="17.25">
      <c r="B2120" s="209"/>
    </row>
    <row r="2121" spans="2:2" ht="17.25">
      <c r="B2121" s="209"/>
    </row>
    <row r="2122" spans="2:2" ht="17.25">
      <c r="B2122" s="209"/>
    </row>
    <row r="2123" spans="2:2" ht="17.25">
      <c r="B2123" s="209"/>
    </row>
    <row r="2124" spans="2:2" ht="17.25">
      <c r="B2124" s="209"/>
    </row>
    <row r="2125" spans="2:2" ht="17.25">
      <c r="B2125" s="209"/>
    </row>
    <row r="2126" spans="2:2" ht="17.25">
      <c r="B2126" s="209"/>
    </row>
    <row r="2127" spans="2:2" ht="17.25">
      <c r="B2127" s="209"/>
    </row>
    <row r="2128" spans="2:2" ht="17.25">
      <c r="B2128" s="209"/>
    </row>
    <row r="2129" spans="2:2" ht="17.25">
      <c r="B2129" s="209"/>
    </row>
    <row r="2130" spans="2:2" ht="17.25">
      <c r="B2130" s="209"/>
    </row>
    <row r="2131" spans="2:2" ht="17.25">
      <c r="B2131" s="209"/>
    </row>
    <row r="2132" spans="2:2" ht="17.25">
      <c r="B2132" s="209"/>
    </row>
    <row r="2133" spans="2:2" ht="17.25">
      <c r="B2133" s="209"/>
    </row>
    <row r="2134" spans="2:2" ht="17.25">
      <c r="B2134" s="209"/>
    </row>
    <row r="2135" spans="2:2" ht="17.25">
      <c r="B2135" s="209"/>
    </row>
    <row r="2136" spans="2:2" ht="17.25">
      <c r="B2136" s="209"/>
    </row>
    <row r="2137" spans="2:2" ht="17.25">
      <c r="B2137" s="209"/>
    </row>
    <row r="2138" spans="2:2" ht="17.25">
      <c r="B2138" s="209"/>
    </row>
    <row r="2139" spans="2:2" ht="17.25">
      <c r="B2139" s="209"/>
    </row>
    <row r="2140" spans="2:2" ht="17.25">
      <c r="B2140" s="209"/>
    </row>
    <row r="2141" spans="2:2" ht="17.25">
      <c r="B2141" s="209"/>
    </row>
    <row r="2142" spans="2:2" ht="17.25">
      <c r="B2142" s="209"/>
    </row>
    <row r="2143" spans="2:2" ht="17.25">
      <c r="B2143" s="209"/>
    </row>
    <row r="2144" spans="2:2" ht="17.25">
      <c r="B2144" s="209"/>
    </row>
    <row r="2145" spans="2:2" ht="17.25">
      <c r="B2145" s="209"/>
    </row>
    <row r="2146" spans="2:2" ht="17.25">
      <c r="B2146" s="209"/>
    </row>
    <row r="2147" spans="2:2" ht="17.25">
      <c r="B2147" s="209"/>
    </row>
    <row r="2148" spans="2:2" ht="17.25">
      <c r="B2148" s="209"/>
    </row>
    <row r="2149" spans="2:2" ht="17.25">
      <c r="B2149" s="209"/>
    </row>
    <row r="2150" spans="2:2" ht="17.25">
      <c r="B2150" s="209"/>
    </row>
    <row r="2151" spans="2:2" ht="17.25">
      <c r="B2151" s="209"/>
    </row>
    <row r="2152" spans="2:2" ht="17.25">
      <c r="B2152" s="209"/>
    </row>
    <row r="2153" spans="2:2" ht="17.25">
      <c r="B2153" s="209"/>
    </row>
    <row r="2154" spans="2:2" ht="17.25">
      <c r="B2154" s="209"/>
    </row>
    <row r="2155" spans="2:2" ht="17.25">
      <c r="B2155" s="209"/>
    </row>
    <row r="2156" spans="2:2" ht="17.25">
      <c r="B2156" s="209"/>
    </row>
    <row r="2157" spans="2:2" ht="17.25">
      <c r="B2157" s="209"/>
    </row>
    <row r="2158" spans="2:2" ht="17.25">
      <c r="B2158" s="209"/>
    </row>
    <row r="2159" spans="2:2" ht="17.25">
      <c r="B2159" s="209"/>
    </row>
    <row r="2160" spans="2:2" ht="17.25">
      <c r="B2160" s="209"/>
    </row>
    <row r="2161" spans="2:2" ht="17.25">
      <c r="B2161" s="209"/>
    </row>
    <row r="2162" spans="2:2" ht="17.25">
      <c r="B2162" s="209"/>
    </row>
    <row r="2163" spans="2:2" ht="17.25">
      <c r="B2163" s="209"/>
    </row>
    <row r="2164" spans="2:2" ht="17.25">
      <c r="B2164" s="209"/>
    </row>
    <row r="2165" spans="2:2" ht="17.25">
      <c r="B2165" s="209"/>
    </row>
    <row r="2166" spans="2:2" ht="17.25">
      <c r="B2166" s="209"/>
    </row>
    <row r="2167" spans="2:2" ht="17.25">
      <c r="B2167" s="209"/>
    </row>
    <row r="2168" spans="2:2" ht="17.25">
      <c r="B2168" s="209"/>
    </row>
    <row r="2169" spans="2:2" ht="17.25">
      <c r="B2169" s="209"/>
    </row>
    <row r="2170" spans="2:2" ht="17.25">
      <c r="B2170" s="209"/>
    </row>
    <row r="2171" spans="2:2" ht="17.25">
      <c r="B2171" s="209"/>
    </row>
    <row r="2172" spans="2:2" ht="17.25">
      <c r="B2172" s="209"/>
    </row>
    <row r="2173" spans="2:2" ht="17.25">
      <c r="B2173" s="209"/>
    </row>
    <row r="2174" spans="2:2" ht="17.25">
      <c r="B2174" s="209"/>
    </row>
    <row r="2175" spans="2:2" ht="17.25">
      <c r="B2175" s="209"/>
    </row>
    <row r="2176" spans="2:2" ht="17.25">
      <c r="B2176" s="209"/>
    </row>
    <row r="2177" spans="2:2" ht="17.25">
      <c r="B2177" s="209"/>
    </row>
    <row r="2178" spans="2:2" ht="17.25">
      <c r="B2178" s="209"/>
    </row>
    <row r="2179" spans="2:2" ht="17.25">
      <c r="B2179" s="209"/>
    </row>
    <row r="2180" spans="2:2" ht="17.25">
      <c r="B2180" s="209"/>
    </row>
    <row r="2181" spans="2:2" ht="17.25">
      <c r="B2181" s="209"/>
    </row>
    <row r="2182" spans="2:2" ht="17.25">
      <c r="B2182" s="209"/>
    </row>
    <row r="2183" spans="2:2" ht="17.25">
      <c r="B2183" s="209"/>
    </row>
    <row r="2184" spans="2:2" ht="17.25">
      <c r="B2184" s="209"/>
    </row>
    <row r="2185" spans="2:2" ht="17.25">
      <c r="B2185" s="209"/>
    </row>
    <row r="2186" spans="2:2" ht="17.25">
      <c r="B2186" s="209"/>
    </row>
    <row r="2187" spans="2:2" ht="17.25">
      <c r="B2187" s="209"/>
    </row>
    <row r="2188" spans="2:2" ht="17.25">
      <c r="B2188" s="209"/>
    </row>
    <row r="2189" spans="2:2" ht="17.25">
      <c r="B2189" s="209"/>
    </row>
    <row r="2190" spans="2:2" ht="17.25">
      <c r="B2190" s="209"/>
    </row>
    <row r="2191" spans="2:2" ht="17.25">
      <c r="B2191" s="209"/>
    </row>
    <row r="2192" spans="2:2" ht="17.25">
      <c r="B2192" s="209"/>
    </row>
    <row r="2193" spans="2:2" ht="17.25">
      <c r="B2193" s="209"/>
    </row>
    <row r="2194" spans="2:2" ht="17.25">
      <c r="B2194" s="209"/>
    </row>
    <row r="2195" spans="2:2" ht="17.25">
      <c r="B2195" s="209"/>
    </row>
    <row r="2196" spans="2:2" ht="17.25">
      <c r="B2196" s="209"/>
    </row>
    <row r="2197" spans="2:2" ht="17.25">
      <c r="B2197" s="209"/>
    </row>
    <row r="2198" spans="2:2" ht="17.25">
      <c r="B2198" s="209"/>
    </row>
    <row r="2199" spans="2:2" ht="17.25">
      <c r="B2199" s="209"/>
    </row>
    <row r="2200" spans="2:2" ht="17.25">
      <c r="B2200" s="209"/>
    </row>
    <row r="2201" spans="2:2" ht="17.25">
      <c r="B2201" s="209"/>
    </row>
    <row r="2202" spans="2:2" ht="17.25">
      <c r="B2202" s="209"/>
    </row>
    <row r="2203" spans="2:2" ht="17.25">
      <c r="B2203" s="209"/>
    </row>
    <row r="2204" spans="2:2" ht="17.25">
      <c r="B2204" s="209"/>
    </row>
    <row r="2205" spans="2:2" ht="17.25">
      <c r="B2205" s="209"/>
    </row>
    <row r="2206" spans="2:2" ht="17.25">
      <c r="B2206" s="209"/>
    </row>
    <row r="2207" spans="2:2" ht="17.25">
      <c r="B2207" s="209"/>
    </row>
    <row r="2208" spans="2:2" ht="17.25">
      <c r="B2208" s="209"/>
    </row>
    <row r="2209" spans="2:2" ht="17.25">
      <c r="B2209" s="209"/>
    </row>
    <row r="2210" spans="2:2" ht="17.25">
      <c r="B2210" s="209"/>
    </row>
    <row r="2211" spans="2:2" ht="17.25">
      <c r="B2211" s="209"/>
    </row>
    <row r="2212" spans="2:2" ht="17.25">
      <c r="B2212" s="209"/>
    </row>
    <row r="2213" spans="2:2" ht="17.25">
      <c r="B2213" s="209"/>
    </row>
    <row r="2214" spans="2:2" ht="17.25">
      <c r="B2214" s="209"/>
    </row>
    <row r="2215" spans="2:2" ht="17.25">
      <c r="B2215" s="209"/>
    </row>
    <row r="2216" spans="2:2" ht="17.25">
      <c r="B2216" s="209"/>
    </row>
    <row r="2217" spans="2:2" ht="17.25">
      <c r="B2217" s="209"/>
    </row>
    <row r="2218" spans="2:2" ht="17.25">
      <c r="B2218" s="209"/>
    </row>
    <row r="2219" spans="2:2" ht="17.25">
      <c r="B2219" s="209"/>
    </row>
    <row r="2220" spans="2:2" ht="17.25">
      <c r="B2220" s="209"/>
    </row>
    <row r="2221" spans="2:2" ht="17.25">
      <c r="B2221" s="209"/>
    </row>
    <row r="2222" spans="2:2" ht="17.25">
      <c r="B2222" s="209"/>
    </row>
    <row r="2223" spans="2:2" ht="17.25">
      <c r="B2223" s="209"/>
    </row>
    <row r="2224" spans="2:2" ht="17.25">
      <c r="B2224" s="209"/>
    </row>
    <row r="2225" spans="2:2" ht="17.25">
      <c r="B2225" s="209"/>
    </row>
    <row r="2226" spans="2:2" ht="17.25">
      <c r="B2226" s="209"/>
    </row>
    <row r="2227" spans="2:2" ht="17.25">
      <c r="B2227" s="209"/>
    </row>
    <row r="2228" spans="2:2" ht="17.25">
      <c r="B2228" s="209"/>
    </row>
    <row r="2229" spans="2:2" ht="17.25">
      <c r="B2229" s="209"/>
    </row>
    <row r="2230" spans="2:2" ht="17.25">
      <c r="B2230" s="209"/>
    </row>
    <row r="2231" spans="2:2" ht="17.25">
      <c r="B2231" s="209"/>
    </row>
    <row r="2232" spans="2:2" ht="17.25">
      <c r="B2232" s="209"/>
    </row>
    <row r="2233" spans="2:2" ht="17.25">
      <c r="B2233" s="209"/>
    </row>
    <row r="2234" spans="2:2" ht="17.25">
      <c r="B2234" s="209"/>
    </row>
    <row r="2235" spans="2:2" ht="17.25">
      <c r="B2235" s="209"/>
    </row>
    <row r="2236" spans="2:2" ht="17.25">
      <c r="B2236" s="209"/>
    </row>
    <row r="2237" spans="2:2" ht="17.25">
      <c r="B2237" s="209"/>
    </row>
    <row r="2238" spans="2:2" ht="17.25">
      <c r="B2238" s="209"/>
    </row>
    <row r="2239" spans="2:2" ht="17.25">
      <c r="B2239" s="209"/>
    </row>
    <row r="2240" spans="2:2" ht="17.25">
      <c r="B2240" s="209"/>
    </row>
    <row r="2241" spans="2:2" ht="17.25">
      <c r="B2241" s="209"/>
    </row>
    <row r="2242" spans="2:2" ht="17.25">
      <c r="B2242" s="209"/>
    </row>
    <row r="2243" spans="2:2" ht="17.25">
      <c r="B2243" s="209"/>
    </row>
    <row r="2244" spans="2:2" ht="17.25">
      <c r="B2244" s="209"/>
    </row>
    <row r="2245" spans="2:2" ht="17.25">
      <c r="B2245" s="209"/>
    </row>
    <row r="2246" spans="2:2" ht="17.25">
      <c r="B2246" s="209"/>
    </row>
    <row r="2247" spans="2:2" ht="17.25">
      <c r="B2247" s="209"/>
    </row>
    <row r="2248" spans="2:2" ht="17.25">
      <c r="B2248" s="209"/>
    </row>
    <row r="2249" spans="2:2" ht="17.25">
      <c r="B2249" s="209"/>
    </row>
    <row r="2250" spans="2:2" ht="17.25">
      <c r="B2250" s="209"/>
    </row>
    <row r="2251" spans="2:2" ht="17.25">
      <c r="B2251" s="209"/>
    </row>
    <row r="2252" spans="2:2" ht="17.25">
      <c r="B2252" s="209"/>
    </row>
    <row r="2253" spans="2:2" ht="17.25">
      <c r="B2253" s="209"/>
    </row>
    <row r="2254" spans="2:2" ht="17.25">
      <c r="B2254" s="209"/>
    </row>
    <row r="2255" spans="2:2" ht="17.25">
      <c r="B2255" s="209"/>
    </row>
    <row r="2256" spans="2:2" ht="17.25">
      <c r="B2256" s="209"/>
    </row>
    <row r="2257" spans="2:2" ht="17.25">
      <c r="B2257" s="209"/>
    </row>
    <row r="2258" spans="2:2" ht="17.25">
      <c r="B2258" s="209"/>
    </row>
    <row r="2259" spans="2:2" ht="17.25">
      <c r="B2259" s="209"/>
    </row>
    <row r="2260" spans="2:2" ht="17.25">
      <c r="B2260" s="209"/>
    </row>
    <row r="2261" spans="2:2" ht="17.25">
      <c r="B2261" s="209"/>
    </row>
    <row r="2262" spans="2:2" ht="17.25">
      <c r="B2262" s="209"/>
    </row>
    <row r="2263" spans="2:2" ht="17.25">
      <c r="B2263" s="209"/>
    </row>
    <row r="2264" spans="2:2" ht="17.25">
      <c r="B2264" s="209"/>
    </row>
    <row r="2265" spans="2:2" ht="17.25">
      <c r="B2265" s="209"/>
    </row>
    <row r="2266" spans="2:2" ht="17.25">
      <c r="B2266" s="209"/>
    </row>
    <row r="2267" spans="2:2" ht="17.25">
      <c r="B2267" s="209"/>
    </row>
    <row r="2268" spans="2:2" ht="17.25">
      <c r="B2268" s="209"/>
    </row>
    <row r="2269" spans="2:2" ht="17.25">
      <c r="B2269" s="209"/>
    </row>
    <row r="2270" spans="2:2" ht="17.25">
      <c r="B2270" s="209"/>
    </row>
    <row r="2271" spans="2:2" ht="17.25">
      <c r="B2271" s="209"/>
    </row>
    <row r="2272" spans="2:2" ht="17.25">
      <c r="B2272" s="209"/>
    </row>
    <row r="2273" spans="2:2" ht="17.25">
      <c r="B2273" s="209"/>
    </row>
    <row r="2274" spans="2:2" ht="17.25">
      <c r="B2274" s="209"/>
    </row>
    <row r="2275" spans="2:2" ht="17.25">
      <c r="B2275" s="209"/>
    </row>
    <row r="2276" spans="2:2" ht="17.25">
      <c r="B2276" s="209"/>
    </row>
    <row r="2277" spans="2:2" ht="17.25">
      <c r="B2277" s="209"/>
    </row>
    <row r="2278" spans="2:2" ht="17.25">
      <c r="B2278" s="209"/>
    </row>
    <row r="2279" spans="2:2" ht="17.25">
      <c r="B2279" s="209"/>
    </row>
    <row r="2280" spans="2:2" ht="17.25">
      <c r="B2280" s="209"/>
    </row>
    <row r="2281" spans="2:2" ht="17.25">
      <c r="B2281" s="209"/>
    </row>
    <row r="2282" spans="2:2" ht="17.25">
      <c r="B2282" s="209"/>
    </row>
    <row r="2283" spans="2:2" ht="17.25">
      <c r="B2283" s="209"/>
    </row>
    <row r="2284" spans="2:2" ht="17.25">
      <c r="B2284" s="209"/>
    </row>
    <row r="2285" spans="2:2" ht="17.25">
      <c r="B2285" s="209"/>
    </row>
    <row r="2286" spans="2:2" ht="17.25">
      <c r="B2286" s="209"/>
    </row>
    <row r="2287" spans="2:2" ht="17.25">
      <c r="B2287" s="209"/>
    </row>
    <row r="2288" spans="2:2" ht="17.25">
      <c r="B2288" s="209"/>
    </row>
    <row r="2289" spans="2:2" ht="17.25">
      <c r="B2289" s="209"/>
    </row>
    <row r="2290" spans="2:2" ht="17.25">
      <c r="B2290" s="209"/>
    </row>
    <row r="2291" spans="2:2" ht="17.25">
      <c r="B2291" s="209"/>
    </row>
    <row r="2292" spans="2:2" ht="17.25">
      <c r="B2292" s="209"/>
    </row>
    <row r="2293" spans="2:2" ht="17.25">
      <c r="B2293" s="209"/>
    </row>
    <row r="2294" spans="2:2" ht="17.25">
      <c r="B2294" s="209"/>
    </row>
    <row r="2295" spans="2:2" ht="17.25">
      <c r="B2295" s="209"/>
    </row>
    <row r="2296" spans="2:2" ht="17.25">
      <c r="B2296" s="209"/>
    </row>
    <row r="2297" spans="2:2" ht="17.25">
      <c r="B2297" s="209"/>
    </row>
    <row r="2298" spans="2:2" ht="17.25">
      <c r="B2298" s="209"/>
    </row>
    <row r="2299" spans="2:2" ht="17.25">
      <c r="B2299" s="209"/>
    </row>
    <row r="2300" spans="2:2" ht="17.25">
      <c r="B2300" s="209"/>
    </row>
    <row r="2301" spans="2:2" ht="17.25">
      <c r="B2301" s="209"/>
    </row>
    <row r="2302" spans="2:2" ht="17.25">
      <c r="B2302" s="209"/>
    </row>
    <row r="2303" spans="2:2" ht="17.25">
      <c r="B2303" s="209"/>
    </row>
    <row r="2304" spans="2:2" ht="17.25">
      <c r="B2304" s="209"/>
    </row>
    <row r="2305" spans="2:2" ht="17.25">
      <c r="B2305" s="209"/>
    </row>
    <row r="2306" spans="2:2" ht="17.25">
      <c r="B2306" s="209"/>
    </row>
    <row r="2307" spans="2:2" ht="17.25">
      <c r="B2307" s="209"/>
    </row>
    <row r="2308" spans="2:2" ht="17.25">
      <c r="B2308" s="209"/>
    </row>
    <row r="2309" spans="2:2" ht="17.25">
      <c r="B2309" s="209"/>
    </row>
    <row r="2310" spans="2:2" ht="17.25">
      <c r="B2310" s="209"/>
    </row>
    <row r="2311" spans="2:2" ht="17.25">
      <c r="B2311" s="209"/>
    </row>
    <row r="2312" spans="2:2" ht="17.25">
      <c r="B2312" s="209"/>
    </row>
    <row r="2313" spans="2:2" ht="17.25">
      <c r="B2313" s="209"/>
    </row>
    <row r="2314" spans="2:2" ht="17.25">
      <c r="B2314" s="209"/>
    </row>
    <row r="2315" spans="2:2" ht="17.25">
      <c r="B2315" s="209"/>
    </row>
    <row r="2316" spans="2:2" ht="17.25">
      <c r="B2316" s="209"/>
    </row>
    <row r="2317" spans="2:2" ht="17.25">
      <c r="B2317" s="209"/>
    </row>
    <row r="2318" spans="2:2" ht="17.25">
      <c r="B2318" s="209"/>
    </row>
    <row r="2319" spans="2:2" ht="17.25">
      <c r="B2319" s="209"/>
    </row>
    <row r="2320" spans="2:2" ht="17.25">
      <c r="B2320" s="209"/>
    </row>
    <row r="2321" spans="2:2" ht="17.25">
      <c r="B2321" s="209"/>
    </row>
    <row r="2322" spans="2:2" ht="17.25">
      <c r="B2322" s="209"/>
    </row>
    <row r="2323" spans="2:2" ht="17.25">
      <c r="B2323" s="209"/>
    </row>
    <row r="2324" spans="2:2" ht="17.25">
      <c r="B2324" s="209"/>
    </row>
    <row r="2325" spans="2:2" ht="17.25">
      <c r="B2325" s="209"/>
    </row>
    <row r="2326" spans="2:2" ht="17.25">
      <c r="B2326" s="209"/>
    </row>
    <row r="2327" spans="2:2" ht="17.25">
      <c r="B2327" s="209"/>
    </row>
    <row r="2328" spans="2:2" ht="17.25">
      <c r="B2328" s="209"/>
    </row>
    <row r="2329" spans="2:2" ht="17.25">
      <c r="B2329" s="209"/>
    </row>
    <row r="2330" spans="2:2" ht="17.25">
      <c r="B2330" s="209"/>
    </row>
    <row r="2331" spans="2:2" ht="17.25">
      <c r="B2331" s="209"/>
    </row>
    <row r="2332" spans="2:2" ht="17.25">
      <c r="B2332" s="209"/>
    </row>
    <row r="2333" spans="2:2" ht="17.25">
      <c r="B2333" s="209"/>
    </row>
    <row r="2334" spans="2:2" ht="17.25">
      <c r="B2334" s="209"/>
    </row>
    <row r="2335" spans="2:2" ht="17.25">
      <c r="B2335" s="209"/>
    </row>
    <row r="2336" spans="2:2" ht="17.25">
      <c r="B2336" s="209"/>
    </row>
    <row r="2337" spans="2:2" ht="17.25">
      <c r="B2337" s="209"/>
    </row>
    <row r="2338" spans="2:2" ht="17.25">
      <c r="B2338" s="209"/>
    </row>
    <row r="2339" spans="2:2" ht="17.25">
      <c r="B2339" s="209"/>
    </row>
    <row r="2340" spans="2:2" ht="17.25">
      <c r="B2340" s="209"/>
    </row>
    <row r="2341" spans="2:2" ht="17.25">
      <c r="B2341" s="209"/>
    </row>
    <row r="2342" spans="2:2" ht="17.25">
      <c r="B2342" s="209"/>
    </row>
    <row r="2343" spans="2:2" ht="17.25">
      <c r="B2343" s="209"/>
    </row>
    <row r="2344" spans="2:2" ht="17.25">
      <c r="B2344" s="209"/>
    </row>
    <row r="2345" spans="2:2" ht="17.25">
      <c r="B2345" s="209"/>
    </row>
    <row r="2346" spans="2:2" ht="17.25">
      <c r="B2346" s="209"/>
    </row>
    <row r="2347" spans="2:2" ht="17.25">
      <c r="B2347" s="209"/>
    </row>
    <row r="2348" spans="2:2" ht="17.25">
      <c r="B2348" s="209"/>
    </row>
    <row r="2349" spans="2:2" ht="17.25">
      <c r="B2349" s="209"/>
    </row>
    <row r="2350" spans="2:2" ht="17.25">
      <c r="B2350" s="209"/>
    </row>
    <row r="2351" spans="2:2" ht="17.25">
      <c r="B2351" s="209"/>
    </row>
    <row r="2352" spans="2:2" ht="17.25">
      <c r="B2352" s="209"/>
    </row>
    <row r="2353" spans="2:2" ht="17.25">
      <c r="B2353" s="209"/>
    </row>
    <row r="2354" spans="2:2" ht="17.25">
      <c r="B2354" s="209"/>
    </row>
    <row r="2355" spans="2:2" ht="17.25">
      <c r="B2355" s="209"/>
    </row>
    <row r="2356" spans="2:2" ht="17.25">
      <c r="B2356" s="209"/>
    </row>
    <row r="2357" spans="2:2" ht="17.25">
      <c r="B2357" s="209"/>
    </row>
    <row r="2358" spans="2:2" ht="17.25">
      <c r="B2358" s="209"/>
    </row>
    <row r="2359" spans="2:2" ht="17.25">
      <c r="B2359" s="209"/>
    </row>
    <row r="2360" spans="2:2" ht="17.25">
      <c r="B2360" s="209"/>
    </row>
    <row r="2361" spans="2:2" ht="17.25">
      <c r="B2361" s="209"/>
    </row>
    <row r="2362" spans="2:2" ht="17.25">
      <c r="B2362" s="209"/>
    </row>
    <row r="2363" spans="2:2" ht="17.25">
      <c r="B2363" s="209"/>
    </row>
    <row r="2364" spans="2:2" ht="17.25">
      <c r="B2364" s="209"/>
    </row>
    <row r="2365" spans="2:2" ht="17.25">
      <c r="B2365" s="209"/>
    </row>
    <row r="2366" spans="2:2" ht="17.25">
      <c r="B2366" s="209"/>
    </row>
    <row r="2367" spans="2:2" ht="17.25">
      <c r="B2367" s="209"/>
    </row>
    <row r="2368" spans="2:2" ht="17.25">
      <c r="B2368" s="209"/>
    </row>
    <row r="2369" spans="2:2" ht="17.25">
      <c r="B2369" s="209"/>
    </row>
    <row r="2370" spans="2:2" ht="17.25">
      <c r="B2370" s="209"/>
    </row>
    <row r="2371" spans="2:2" ht="17.25">
      <c r="B2371" s="209"/>
    </row>
    <row r="2372" spans="2:2" ht="17.25">
      <c r="B2372" s="209"/>
    </row>
    <row r="2373" spans="2:2" ht="17.25">
      <c r="B2373" s="209"/>
    </row>
    <row r="2374" spans="2:2" ht="17.25">
      <c r="B2374" s="209"/>
    </row>
    <row r="2375" spans="2:2" ht="17.25">
      <c r="B2375" s="209"/>
    </row>
    <row r="2376" spans="2:2" ht="17.25">
      <c r="B2376" s="209"/>
    </row>
    <row r="2377" spans="2:2" ht="17.25">
      <c r="B2377" s="209"/>
    </row>
    <row r="2378" spans="2:2" ht="17.25">
      <c r="B2378" s="209"/>
    </row>
    <row r="2379" spans="2:2" ht="17.25">
      <c r="B2379" s="209"/>
    </row>
    <row r="2380" spans="2:2" ht="17.25">
      <c r="B2380" s="209"/>
    </row>
    <row r="2381" spans="2:2" ht="17.25">
      <c r="B2381" s="209"/>
    </row>
    <row r="2382" spans="2:2" ht="17.25">
      <c r="B2382" s="209"/>
    </row>
    <row r="2383" spans="2:2" ht="17.25">
      <c r="B2383" s="209"/>
    </row>
    <row r="2384" spans="2:2" ht="17.25">
      <c r="B2384" s="209"/>
    </row>
    <row r="2385" spans="2:2" ht="17.25">
      <c r="B2385" s="209"/>
    </row>
    <row r="2386" spans="2:2" ht="17.25">
      <c r="B2386" s="209"/>
    </row>
    <row r="2387" spans="2:2" ht="17.25">
      <c r="B2387" s="209"/>
    </row>
    <row r="2388" spans="2:2" ht="17.25">
      <c r="B2388" s="209"/>
    </row>
    <row r="2389" spans="2:2" ht="17.25">
      <c r="B2389" s="209"/>
    </row>
    <row r="2390" spans="2:2" ht="17.25">
      <c r="B2390" s="209"/>
    </row>
    <row r="2391" spans="2:2" ht="17.25">
      <c r="B2391" s="209"/>
    </row>
    <row r="2392" spans="2:2" ht="17.25">
      <c r="B2392" s="209"/>
    </row>
    <row r="2393" spans="2:2" ht="17.25">
      <c r="B2393" s="209"/>
    </row>
    <row r="2394" spans="2:2" ht="17.25">
      <c r="B2394" s="209"/>
    </row>
    <row r="2395" spans="2:2" ht="17.25">
      <c r="B2395" s="209"/>
    </row>
    <row r="2396" spans="2:2" ht="17.25">
      <c r="B2396" s="209"/>
    </row>
    <row r="2397" spans="2:2" ht="17.25">
      <c r="B2397" s="209"/>
    </row>
    <row r="2398" spans="2:2" ht="17.25">
      <c r="B2398" s="209"/>
    </row>
    <row r="2399" spans="2:2" ht="17.25">
      <c r="B2399" s="209"/>
    </row>
    <row r="2400" spans="2:2" ht="17.25">
      <c r="B2400" s="209"/>
    </row>
    <row r="2401" spans="2:2" ht="17.25">
      <c r="B2401" s="209"/>
    </row>
    <row r="2402" spans="2:2" ht="17.25">
      <c r="B2402" s="209"/>
    </row>
    <row r="2403" spans="2:2" ht="17.25">
      <c r="B2403" s="209"/>
    </row>
    <row r="2404" spans="2:2" ht="17.25">
      <c r="B2404" s="209"/>
    </row>
    <row r="2405" spans="2:2" ht="17.25">
      <c r="B2405" s="209"/>
    </row>
    <row r="2406" spans="2:2" ht="17.25">
      <c r="B2406" s="209"/>
    </row>
    <row r="2407" spans="2:2" ht="17.25">
      <c r="B2407" s="209"/>
    </row>
    <row r="2408" spans="2:2" ht="17.25">
      <c r="B2408" s="209"/>
    </row>
    <row r="2409" spans="2:2" ht="17.25">
      <c r="B2409" s="209"/>
    </row>
    <row r="2410" spans="2:2" ht="17.25">
      <c r="B2410" s="209"/>
    </row>
    <row r="2411" spans="2:2" ht="17.25">
      <c r="B2411" s="209"/>
    </row>
    <row r="2412" spans="2:2" ht="17.25">
      <c r="B2412" s="209"/>
    </row>
    <row r="2413" spans="2:2" ht="17.25">
      <c r="B2413" s="209"/>
    </row>
    <row r="2414" spans="2:2" ht="17.25">
      <c r="B2414" s="209"/>
    </row>
    <row r="2415" spans="2:2" ht="17.25">
      <c r="B2415" s="209"/>
    </row>
    <row r="2416" spans="2:2" ht="17.25">
      <c r="B2416" s="209"/>
    </row>
    <row r="2417" spans="2:2" ht="17.25">
      <c r="B2417" s="209"/>
    </row>
    <row r="2418" spans="2:2" ht="17.25">
      <c r="B2418" s="209"/>
    </row>
    <row r="2419" spans="2:2" ht="17.25">
      <c r="B2419" s="209"/>
    </row>
    <row r="2420" spans="2:2" ht="17.25">
      <c r="B2420" s="209"/>
    </row>
    <row r="2421" spans="2:2" ht="17.25">
      <c r="B2421" s="209"/>
    </row>
    <row r="2422" spans="2:2" ht="17.25">
      <c r="B2422" s="209"/>
    </row>
    <row r="2423" spans="2:2" ht="17.25">
      <c r="B2423" s="209"/>
    </row>
    <row r="2424" spans="2:2" ht="17.25">
      <c r="B2424" s="209"/>
    </row>
    <row r="2425" spans="2:2" ht="17.25">
      <c r="B2425" s="209"/>
    </row>
    <row r="2426" spans="2:2" ht="17.25">
      <c r="B2426" s="209"/>
    </row>
    <row r="2427" spans="2:2" ht="17.25">
      <c r="B2427" s="209"/>
    </row>
    <row r="2428" spans="2:2" ht="17.25">
      <c r="B2428" s="209"/>
    </row>
    <row r="2429" spans="2:2" ht="17.25">
      <c r="B2429" s="209"/>
    </row>
    <row r="2430" spans="2:2" ht="17.25">
      <c r="B2430" s="209"/>
    </row>
    <row r="2431" spans="2:2" ht="17.25">
      <c r="B2431" s="209"/>
    </row>
    <row r="2432" spans="2:2" ht="17.25">
      <c r="B2432" s="209"/>
    </row>
    <row r="2433" spans="2:2" ht="17.25">
      <c r="B2433" s="209"/>
    </row>
    <row r="2434" spans="2:2" ht="17.25">
      <c r="B2434" s="209"/>
    </row>
    <row r="2435" spans="2:2" ht="17.25">
      <c r="B2435" s="209"/>
    </row>
    <row r="2436" spans="2:2" ht="17.25">
      <c r="B2436" s="209"/>
    </row>
    <row r="2437" spans="2:2" ht="17.25">
      <c r="B2437" s="209"/>
    </row>
    <row r="2438" spans="2:2" ht="17.25">
      <c r="B2438" s="209"/>
    </row>
    <row r="2439" spans="2:2" ht="17.25">
      <c r="B2439" s="209"/>
    </row>
    <row r="2440" spans="2:2" ht="17.25">
      <c r="B2440" s="209"/>
    </row>
    <row r="2441" spans="2:2" ht="17.25">
      <c r="B2441" s="209"/>
    </row>
    <row r="2442" spans="2:2" ht="17.25">
      <c r="B2442" s="209"/>
    </row>
    <row r="2443" spans="2:2" ht="17.25">
      <c r="B2443" s="209"/>
    </row>
    <row r="2444" spans="2:2" ht="17.25">
      <c r="B2444" s="209"/>
    </row>
    <row r="2445" spans="2:2" ht="17.25">
      <c r="B2445" s="209"/>
    </row>
    <row r="2446" spans="2:2" ht="17.25">
      <c r="B2446" s="209"/>
    </row>
    <row r="2447" spans="2:2" ht="17.25">
      <c r="B2447" s="209"/>
    </row>
    <row r="2448" spans="2:2" ht="17.25">
      <c r="B2448" s="209"/>
    </row>
    <row r="2449" spans="2:2" ht="17.25">
      <c r="B2449" s="209"/>
    </row>
    <row r="2450" spans="2:2" ht="17.25">
      <c r="B2450" s="209"/>
    </row>
    <row r="2451" spans="2:2" ht="17.25">
      <c r="B2451" s="209"/>
    </row>
    <row r="2452" spans="2:2" ht="17.25">
      <c r="B2452" s="209"/>
    </row>
    <row r="2453" spans="2:2" ht="17.25">
      <c r="B2453" s="209"/>
    </row>
    <row r="2454" spans="2:2" ht="17.25">
      <c r="B2454" s="209"/>
    </row>
    <row r="2455" spans="2:2" ht="17.25">
      <c r="B2455" s="209"/>
    </row>
    <row r="2456" spans="2:2" ht="17.25">
      <c r="B2456" s="209"/>
    </row>
    <row r="2457" spans="2:2" ht="17.25">
      <c r="B2457" s="209"/>
    </row>
    <row r="2458" spans="2:2" ht="17.25">
      <c r="B2458" s="209"/>
    </row>
    <row r="2459" spans="2:2" ht="17.25">
      <c r="B2459" s="209"/>
    </row>
    <row r="2460" spans="2:2" ht="17.25">
      <c r="B2460" s="209"/>
    </row>
    <row r="2461" spans="2:2" ht="17.25">
      <c r="B2461" s="209"/>
    </row>
    <row r="2462" spans="2:2" ht="17.25">
      <c r="B2462" s="209"/>
    </row>
    <row r="2463" spans="2:2" ht="17.25">
      <c r="B2463" s="209"/>
    </row>
    <row r="2464" spans="2:2" ht="17.25">
      <c r="B2464" s="209"/>
    </row>
    <row r="2465" spans="2:2" ht="17.25">
      <c r="B2465" s="209"/>
    </row>
    <row r="2466" spans="2:2" ht="17.25">
      <c r="B2466" s="209"/>
    </row>
    <row r="2467" spans="2:2" ht="17.25">
      <c r="B2467" s="209"/>
    </row>
    <row r="2468" spans="2:2" ht="17.25">
      <c r="B2468" s="209"/>
    </row>
    <row r="2469" spans="2:2" ht="17.25">
      <c r="B2469" s="209"/>
    </row>
    <row r="2470" spans="2:2" ht="17.25">
      <c r="B2470" s="209"/>
    </row>
    <row r="2471" spans="2:2" ht="17.25">
      <c r="B2471" s="209"/>
    </row>
    <row r="2472" spans="2:2" ht="17.25">
      <c r="B2472" s="209"/>
    </row>
    <row r="2473" spans="2:2" ht="17.25">
      <c r="B2473" s="209"/>
    </row>
    <row r="2474" spans="2:2" ht="17.25">
      <c r="B2474" s="209"/>
    </row>
    <row r="2475" spans="2:2" ht="17.25">
      <c r="B2475" s="209"/>
    </row>
    <row r="2476" spans="2:2" ht="17.25">
      <c r="B2476" s="209"/>
    </row>
    <row r="2477" spans="2:2" ht="17.25">
      <c r="B2477" s="209"/>
    </row>
    <row r="2478" spans="2:2" ht="17.25">
      <c r="B2478" s="209"/>
    </row>
    <row r="2479" spans="2:2" ht="17.25">
      <c r="B2479" s="209"/>
    </row>
    <row r="2480" spans="2:2" ht="17.25">
      <c r="B2480" s="209"/>
    </row>
    <row r="2481" spans="2:2" ht="17.25">
      <c r="B2481" s="209"/>
    </row>
    <row r="2482" spans="2:2" ht="17.25">
      <c r="B2482" s="209"/>
    </row>
    <row r="2483" spans="2:2" ht="17.25">
      <c r="B2483" s="209"/>
    </row>
    <row r="2484" spans="2:2" ht="17.25">
      <c r="B2484" s="209"/>
    </row>
    <row r="2485" spans="2:2" ht="17.25">
      <c r="B2485" s="209"/>
    </row>
    <row r="2486" spans="2:2" ht="17.25">
      <c r="B2486" s="209"/>
    </row>
    <row r="2487" spans="2:2" ht="17.25">
      <c r="B2487" s="209"/>
    </row>
    <row r="2488" spans="2:2" ht="17.25">
      <c r="B2488" s="209"/>
    </row>
    <row r="2489" spans="2:2" ht="17.25">
      <c r="B2489" s="209"/>
    </row>
    <row r="2490" spans="2:2" ht="17.25">
      <c r="B2490" s="209"/>
    </row>
    <row r="2491" spans="2:2" ht="17.25">
      <c r="B2491" s="209"/>
    </row>
    <row r="2492" spans="2:2" ht="17.25">
      <c r="B2492" s="209"/>
    </row>
    <row r="2493" spans="2:2" ht="17.25">
      <c r="B2493" s="209"/>
    </row>
    <row r="2494" spans="2:2" ht="17.25">
      <c r="B2494" s="209"/>
    </row>
    <row r="2495" spans="2:2" ht="17.25">
      <c r="B2495" s="209"/>
    </row>
    <row r="2496" spans="2:2" ht="17.25">
      <c r="B2496" s="209"/>
    </row>
    <row r="2497" spans="2:2" ht="17.25">
      <c r="B2497" s="209"/>
    </row>
    <row r="2498" spans="2:2" ht="17.25">
      <c r="B2498" s="209"/>
    </row>
    <row r="2499" spans="2:2" ht="17.25">
      <c r="B2499" s="209"/>
    </row>
    <row r="2500" spans="2:2" ht="17.25">
      <c r="B2500" s="209"/>
    </row>
    <row r="2501" spans="2:2" ht="17.25">
      <c r="B2501" s="209"/>
    </row>
    <row r="2502" spans="2:2" ht="17.25">
      <c r="B2502" s="209"/>
    </row>
    <row r="2503" spans="2:2" ht="17.25">
      <c r="B2503" s="209"/>
    </row>
    <row r="2504" spans="2:2" ht="17.25">
      <c r="B2504" s="209"/>
    </row>
    <row r="2505" spans="2:2" ht="17.25">
      <c r="B2505" s="209"/>
    </row>
    <row r="2506" spans="2:2" ht="17.25">
      <c r="B2506" s="209"/>
    </row>
    <row r="2507" spans="2:2" ht="17.25">
      <c r="B2507" s="209"/>
    </row>
    <row r="2508" spans="2:2" ht="17.25">
      <c r="B2508" s="209"/>
    </row>
    <row r="2509" spans="2:2" ht="17.25">
      <c r="B2509" s="209"/>
    </row>
    <row r="2510" spans="2:2" ht="17.25">
      <c r="B2510" s="209"/>
    </row>
    <row r="2511" spans="2:2" ht="17.25">
      <c r="B2511" s="209"/>
    </row>
    <row r="2512" spans="2:2" ht="17.25">
      <c r="B2512" s="209"/>
    </row>
    <row r="2513" spans="2:2" ht="17.25">
      <c r="B2513" s="209"/>
    </row>
    <row r="2514" spans="2:2" ht="17.25">
      <c r="B2514" s="209"/>
    </row>
    <row r="2515" spans="2:2" ht="17.25">
      <c r="B2515" s="209"/>
    </row>
    <row r="2516" spans="2:2" ht="17.25">
      <c r="B2516" s="209"/>
    </row>
    <row r="2517" spans="2:2" ht="17.25">
      <c r="B2517" s="209"/>
    </row>
    <row r="2518" spans="2:2" ht="17.25">
      <c r="B2518" s="209"/>
    </row>
    <row r="2519" spans="2:2" ht="17.25">
      <c r="B2519" s="209"/>
    </row>
    <row r="2520" spans="2:2" ht="17.25">
      <c r="B2520" s="209"/>
    </row>
    <row r="2521" spans="2:2" ht="17.25">
      <c r="B2521" s="209"/>
    </row>
    <row r="2522" spans="2:2" ht="17.25">
      <c r="B2522" s="209"/>
    </row>
    <row r="2523" spans="2:2" ht="17.25">
      <c r="B2523" s="209"/>
    </row>
    <row r="2524" spans="2:2" ht="17.25">
      <c r="B2524" s="209"/>
    </row>
    <row r="2525" spans="2:2" ht="17.25">
      <c r="B2525" s="209"/>
    </row>
    <row r="2526" spans="2:2" ht="17.25">
      <c r="B2526" s="209"/>
    </row>
    <row r="2527" spans="2:2" ht="17.25">
      <c r="B2527" s="209"/>
    </row>
    <row r="2528" spans="2:2" ht="17.25">
      <c r="B2528" s="209"/>
    </row>
    <row r="2529" spans="2:2" ht="17.25">
      <c r="B2529" s="209"/>
    </row>
    <row r="2530" spans="2:2" ht="17.25">
      <c r="B2530" s="209"/>
    </row>
    <row r="2531" spans="2:2" ht="17.25">
      <c r="B2531" s="209"/>
    </row>
    <row r="2532" spans="2:2" ht="17.25">
      <c r="B2532" s="209"/>
    </row>
    <row r="2533" spans="2:2" ht="17.25">
      <c r="B2533" s="209"/>
    </row>
    <row r="2534" spans="2:2" ht="17.25">
      <c r="B2534" s="209"/>
    </row>
    <row r="2535" spans="2:2" ht="17.25">
      <c r="B2535" s="209"/>
    </row>
    <row r="2536" spans="2:2" ht="17.25">
      <c r="B2536" s="209"/>
    </row>
    <row r="2537" spans="2:2" ht="17.25">
      <c r="B2537" s="209"/>
    </row>
    <row r="2538" spans="2:2" ht="17.25">
      <c r="B2538" s="209"/>
    </row>
    <row r="2539" spans="2:2" ht="17.25">
      <c r="B2539" s="209"/>
    </row>
    <row r="2540" spans="2:2" ht="17.25">
      <c r="B2540" s="209"/>
    </row>
    <row r="2541" spans="2:2" ht="17.25">
      <c r="B2541" s="209"/>
    </row>
    <row r="2542" spans="2:2" ht="17.25">
      <c r="B2542" s="209"/>
    </row>
    <row r="2543" spans="2:2" ht="17.25">
      <c r="B2543" s="209"/>
    </row>
    <row r="2544" spans="2:2" ht="17.25">
      <c r="B2544" s="209"/>
    </row>
    <row r="2545" spans="2:2" ht="17.25">
      <c r="B2545" s="209"/>
    </row>
    <row r="2546" spans="2:2" ht="17.25">
      <c r="B2546" s="209"/>
    </row>
    <row r="2547" spans="2:2" ht="17.25">
      <c r="B2547" s="209"/>
    </row>
    <row r="2548" spans="2:2" ht="17.25">
      <c r="B2548" s="209"/>
    </row>
    <row r="2549" spans="2:2" ht="17.25">
      <c r="B2549" s="209"/>
    </row>
    <row r="2550" spans="2:2" ht="17.25">
      <c r="B2550" s="209"/>
    </row>
    <row r="2551" spans="2:2" ht="17.25">
      <c r="B2551" s="209"/>
    </row>
    <row r="2552" spans="2:2" ht="17.25">
      <c r="B2552" s="209"/>
    </row>
    <row r="2553" spans="2:2" ht="17.25">
      <c r="B2553" s="209"/>
    </row>
    <row r="2554" spans="2:2" ht="17.25">
      <c r="B2554" s="209"/>
    </row>
    <row r="2555" spans="2:2" ht="17.25">
      <c r="B2555" s="209"/>
    </row>
    <row r="2556" spans="2:2" ht="17.25">
      <c r="B2556" s="209"/>
    </row>
    <row r="2557" spans="2:2" ht="17.25">
      <c r="B2557" s="209"/>
    </row>
    <row r="2558" spans="2:2" ht="17.25">
      <c r="B2558" s="209"/>
    </row>
    <row r="2559" spans="2:2" ht="17.25">
      <c r="B2559" s="209"/>
    </row>
    <row r="2560" spans="2:2" ht="17.25">
      <c r="B2560" s="209"/>
    </row>
    <row r="2561" spans="2:2" ht="17.25">
      <c r="B2561" s="209"/>
    </row>
    <row r="2562" spans="2:2" ht="17.25">
      <c r="B2562" s="209"/>
    </row>
    <row r="2563" spans="2:2" ht="17.25">
      <c r="B2563" s="209"/>
    </row>
    <row r="2564" spans="2:2" ht="17.25">
      <c r="B2564" s="209"/>
    </row>
    <row r="2565" spans="2:2" ht="17.25">
      <c r="B2565" s="209"/>
    </row>
    <row r="2566" spans="2:2" ht="17.25">
      <c r="B2566" s="209"/>
    </row>
    <row r="2567" spans="2:2" ht="17.25">
      <c r="B2567" s="209"/>
    </row>
    <row r="2568" spans="2:2" ht="17.25">
      <c r="B2568" s="209"/>
    </row>
    <row r="2569" spans="2:2" ht="17.25">
      <c r="B2569" s="209"/>
    </row>
    <row r="2570" spans="2:2" ht="17.25">
      <c r="B2570" s="209"/>
    </row>
    <row r="2571" spans="2:2" ht="17.25">
      <c r="B2571" s="209"/>
    </row>
    <row r="2572" spans="2:2" ht="17.25">
      <c r="B2572" s="209"/>
    </row>
    <row r="2573" spans="2:2" ht="17.25">
      <c r="B2573" s="209"/>
    </row>
    <row r="2574" spans="2:2" ht="17.25">
      <c r="B2574" s="209"/>
    </row>
    <row r="2575" spans="2:2" ht="17.25">
      <c r="B2575" s="209"/>
    </row>
    <row r="2576" spans="2:2" ht="17.25">
      <c r="B2576" s="209"/>
    </row>
    <row r="2577" spans="2:2" ht="17.25">
      <c r="B2577" s="209"/>
    </row>
    <row r="2578" spans="2:2" ht="17.25">
      <c r="B2578" s="209"/>
    </row>
    <row r="2579" spans="2:2" ht="17.25">
      <c r="B2579" s="209"/>
    </row>
    <row r="2580" spans="2:2" ht="17.25">
      <c r="B2580" s="209"/>
    </row>
    <row r="2581" spans="2:2" ht="17.25">
      <c r="B2581" s="209"/>
    </row>
    <row r="2582" spans="2:2" ht="17.25">
      <c r="B2582" s="209"/>
    </row>
    <row r="2583" spans="2:2" ht="17.25">
      <c r="B2583" s="209"/>
    </row>
    <row r="2584" spans="2:2" ht="17.25">
      <c r="B2584" s="209"/>
    </row>
    <row r="2585" spans="2:2" ht="17.25">
      <c r="B2585" s="209"/>
    </row>
    <row r="2586" spans="2:2" ht="17.25">
      <c r="B2586" s="209"/>
    </row>
    <row r="2587" spans="2:2" ht="17.25">
      <c r="B2587" s="209"/>
    </row>
    <row r="2588" spans="2:2" ht="17.25">
      <c r="B2588" s="209"/>
    </row>
    <row r="2589" spans="2:2" ht="17.25">
      <c r="B2589" s="209"/>
    </row>
    <row r="2590" spans="2:2" ht="17.25">
      <c r="B2590" s="209"/>
    </row>
    <row r="2591" spans="2:2" ht="17.25">
      <c r="B2591" s="209"/>
    </row>
    <row r="2592" spans="2:2" ht="17.25">
      <c r="B2592" s="209"/>
    </row>
    <row r="2593" spans="2:2" ht="17.25">
      <c r="B2593" s="209"/>
    </row>
    <row r="2594" spans="2:2" ht="17.25">
      <c r="B2594" s="209"/>
    </row>
    <row r="2595" spans="2:2" ht="17.25">
      <c r="B2595" s="209"/>
    </row>
    <row r="2596" spans="2:2" ht="17.25">
      <c r="B2596" s="209"/>
    </row>
    <row r="2597" spans="2:2" ht="17.25">
      <c r="B2597" s="209"/>
    </row>
    <row r="2598" spans="2:2" ht="17.25">
      <c r="B2598" s="209"/>
    </row>
    <row r="2599" spans="2:2" ht="17.25">
      <c r="B2599" s="209"/>
    </row>
    <row r="2600" spans="2:2" ht="17.25">
      <c r="B2600" s="209"/>
    </row>
    <row r="2601" spans="2:2" ht="17.25">
      <c r="B2601" s="209"/>
    </row>
    <row r="2602" spans="2:2" ht="17.25">
      <c r="B2602" s="209"/>
    </row>
    <row r="2603" spans="2:2" ht="17.25">
      <c r="B2603" s="209"/>
    </row>
    <row r="2604" spans="2:2" ht="17.25">
      <c r="B2604" s="209"/>
    </row>
    <row r="2605" spans="2:2" ht="17.25">
      <c r="B2605" s="209"/>
    </row>
    <row r="2606" spans="2:2" ht="17.25">
      <c r="B2606" s="209"/>
    </row>
    <row r="2607" spans="2:2" ht="17.25">
      <c r="B2607" s="209"/>
    </row>
    <row r="2608" spans="2:2" ht="17.25">
      <c r="B2608" s="209"/>
    </row>
    <row r="2609" spans="2:2" ht="17.25">
      <c r="B2609" s="209"/>
    </row>
    <row r="2610" spans="2:2" ht="17.25">
      <c r="B2610" s="209"/>
    </row>
    <row r="2611" spans="2:2" ht="17.25">
      <c r="B2611" s="209"/>
    </row>
    <row r="2612" spans="2:2" ht="17.25">
      <c r="B2612" s="209"/>
    </row>
    <row r="2613" spans="2:2" ht="17.25">
      <c r="B2613" s="209"/>
    </row>
    <row r="2614" spans="2:2" ht="17.25">
      <c r="B2614" s="209"/>
    </row>
    <row r="2615" spans="2:2" ht="17.25">
      <c r="B2615" s="209"/>
    </row>
    <row r="2616" spans="2:2" ht="17.25">
      <c r="B2616" s="209"/>
    </row>
    <row r="2617" spans="2:2" ht="17.25">
      <c r="B2617" s="209"/>
    </row>
    <row r="2618" spans="2:2" ht="17.25">
      <c r="B2618" s="209"/>
    </row>
    <row r="2619" spans="2:2" ht="17.25">
      <c r="B2619" s="209"/>
    </row>
    <row r="2620" spans="2:2" ht="17.25">
      <c r="B2620" s="209"/>
    </row>
    <row r="2621" spans="2:2" ht="17.25">
      <c r="B2621" s="209"/>
    </row>
    <row r="2622" spans="2:2" ht="17.25">
      <c r="B2622" s="209"/>
    </row>
    <row r="2623" spans="2:2" ht="17.25">
      <c r="B2623" s="209"/>
    </row>
    <row r="2624" spans="2:2" ht="17.25">
      <c r="B2624" s="209"/>
    </row>
    <row r="2625" spans="2:2" ht="17.25">
      <c r="B2625" s="209"/>
    </row>
    <row r="2626" spans="2:2" ht="17.25">
      <c r="B2626" s="209"/>
    </row>
    <row r="2627" spans="2:2" ht="17.25">
      <c r="B2627" s="209"/>
    </row>
    <row r="2628" spans="2:2" ht="17.25">
      <c r="B2628" s="209"/>
    </row>
    <row r="2629" spans="2:2" ht="17.25">
      <c r="B2629" s="209"/>
    </row>
    <row r="2630" spans="2:2" ht="17.25">
      <c r="B2630" s="209"/>
    </row>
    <row r="2631" spans="2:2" ht="17.25">
      <c r="B2631" s="209"/>
    </row>
    <row r="2632" spans="2:2" ht="17.25">
      <c r="B2632" s="209"/>
    </row>
    <row r="2633" spans="2:2" ht="17.25">
      <c r="B2633" s="209"/>
    </row>
    <row r="2634" spans="2:2" ht="17.25">
      <c r="B2634" s="209"/>
    </row>
    <row r="2635" spans="2:2" ht="17.25">
      <c r="B2635" s="209"/>
    </row>
    <row r="2636" spans="2:2" ht="17.25">
      <c r="B2636" s="209"/>
    </row>
    <row r="2637" spans="2:2" ht="17.25">
      <c r="B2637" s="209"/>
    </row>
    <row r="2638" spans="2:2" ht="17.25">
      <c r="B2638" s="209"/>
    </row>
    <row r="2639" spans="2:2" ht="17.25">
      <c r="B2639" s="209"/>
    </row>
    <row r="2640" spans="2:2" ht="17.25">
      <c r="B2640" s="209"/>
    </row>
    <row r="2641" spans="2:2" ht="17.25">
      <c r="B2641" s="209"/>
    </row>
    <row r="2642" spans="2:2" ht="17.25">
      <c r="B2642" s="209"/>
    </row>
    <row r="2643" spans="2:2" ht="17.25">
      <c r="B2643" s="209"/>
    </row>
    <row r="2644" spans="2:2" ht="17.25">
      <c r="B2644" s="209"/>
    </row>
    <row r="2645" spans="2:2" ht="17.25">
      <c r="B2645" s="209"/>
    </row>
    <row r="2646" spans="2:2" ht="17.25">
      <c r="B2646" s="209"/>
    </row>
    <row r="2647" spans="2:2" ht="17.25">
      <c r="B2647" s="209"/>
    </row>
    <row r="2648" spans="2:2" ht="17.25">
      <c r="B2648" s="209"/>
    </row>
    <row r="2649" spans="2:2" ht="17.25">
      <c r="B2649" s="209"/>
    </row>
    <row r="2650" spans="2:2" ht="17.25">
      <c r="B2650" s="209"/>
    </row>
    <row r="2651" spans="2:2" ht="17.25">
      <c r="B2651" s="209"/>
    </row>
    <row r="2652" spans="2:2" ht="17.25">
      <c r="B2652" s="209"/>
    </row>
    <row r="2653" spans="2:2" ht="17.25">
      <c r="B2653" s="209"/>
    </row>
    <row r="2654" spans="2:2" ht="17.25">
      <c r="B2654" s="209"/>
    </row>
    <row r="2655" spans="2:2" ht="17.25">
      <c r="B2655" s="209"/>
    </row>
    <row r="2656" spans="2:2" ht="17.25">
      <c r="B2656" s="209"/>
    </row>
    <row r="2657" spans="2:2" ht="17.25">
      <c r="B2657" s="209"/>
    </row>
    <row r="2658" spans="2:2" ht="17.25">
      <c r="B2658" s="209"/>
    </row>
    <row r="2659" spans="2:2" ht="17.25">
      <c r="B2659" s="209"/>
    </row>
    <row r="2660" spans="2:2" ht="17.25">
      <c r="B2660" s="209"/>
    </row>
    <row r="2661" spans="2:2" ht="17.25">
      <c r="B2661" s="209"/>
    </row>
    <row r="2662" spans="2:2" ht="17.25">
      <c r="B2662" s="209"/>
    </row>
    <row r="2663" spans="2:2" ht="17.25">
      <c r="B2663" s="209"/>
    </row>
    <row r="2664" spans="2:2" ht="17.25">
      <c r="B2664" s="209"/>
    </row>
    <row r="2665" spans="2:2" ht="17.25">
      <c r="B2665" s="209"/>
    </row>
    <row r="2666" spans="2:2" ht="17.25">
      <c r="B2666" s="209"/>
    </row>
    <row r="2667" spans="2:2" ht="17.25">
      <c r="B2667" s="209"/>
    </row>
    <row r="2668" spans="2:2" ht="17.25">
      <c r="B2668" s="209"/>
    </row>
    <row r="2669" spans="2:2" ht="17.25">
      <c r="B2669" s="209"/>
    </row>
    <row r="2670" spans="2:2" ht="17.25">
      <c r="B2670" s="209"/>
    </row>
    <row r="2671" spans="2:2" ht="17.25">
      <c r="B2671" s="209"/>
    </row>
    <row r="2672" spans="2:2" ht="17.25">
      <c r="B2672" s="209"/>
    </row>
    <row r="2673" spans="2:2" ht="17.25">
      <c r="B2673" s="209"/>
    </row>
    <row r="2674" spans="2:2" ht="17.25">
      <c r="B2674" s="209"/>
    </row>
    <row r="2675" spans="2:2" ht="17.25">
      <c r="B2675" s="209"/>
    </row>
    <row r="2676" spans="2:2" ht="17.25">
      <c r="B2676" s="209"/>
    </row>
    <row r="2677" spans="2:2" ht="17.25">
      <c r="B2677" s="209"/>
    </row>
    <row r="2678" spans="2:2" ht="17.25">
      <c r="B2678" s="209"/>
    </row>
    <row r="2679" spans="2:2" ht="17.25">
      <c r="B2679" s="209"/>
    </row>
    <row r="2680" spans="2:2" ht="17.25">
      <c r="B2680" s="209"/>
    </row>
    <row r="2681" spans="2:2" ht="17.25">
      <c r="B2681" s="209"/>
    </row>
    <row r="2682" spans="2:2" ht="17.25">
      <c r="B2682" s="209"/>
    </row>
    <row r="2683" spans="2:2" ht="17.25">
      <c r="B2683" s="209"/>
    </row>
    <row r="2684" spans="2:2" ht="17.25">
      <c r="B2684" s="209"/>
    </row>
    <row r="2685" spans="2:2" ht="17.25">
      <c r="B2685" s="209"/>
    </row>
    <row r="2686" spans="2:2" ht="17.25">
      <c r="B2686" s="209"/>
    </row>
    <row r="2687" spans="2:2" ht="17.25">
      <c r="B2687" s="209"/>
    </row>
    <row r="2688" spans="2:2" ht="17.25">
      <c r="B2688" s="209"/>
    </row>
    <row r="2689" spans="2:2" ht="17.25">
      <c r="B2689" s="209"/>
    </row>
    <row r="2690" spans="2:2" ht="17.25">
      <c r="B2690" s="209"/>
    </row>
    <row r="2691" spans="2:2" ht="17.25">
      <c r="B2691" s="209"/>
    </row>
    <row r="2692" spans="2:2" ht="17.25">
      <c r="B2692" s="209"/>
    </row>
    <row r="2693" spans="2:2" ht="17.25">
      <c r="B2693" s="209"/>
    </row>
    <row r="2694" spans="2:2" ht="17.25">
      <c r="B2694" s="209"/>
    </row>
    <row r="2695" spans="2:2" ht="17.25">
      <c r="B2695" s="209"/>
    </row>
    <row r="2696" spans="2:2" ht="17.25">
      <c r="B2696" s="209"/>
    </row>
    <row r="2697" spans="2:2" ht="17.25">
      <c r="B2697" s="209"/>
    </row>
    <row r="2698" spans="2:2" ht="17.25">
      <c r="B2698" s="209"/>
    </row>
    <row r="2699" spans="2:2" ht="17.25">
      <c r="B2699" s="209"/>
    </row>
    <row r="2700" spans="2:2" ht="17.25">
      <c r="B2700" s="209"/>
    </row>
    <row r="2701" spans="2:2" ht="17.25">
      <c r="B2701" s="209"/>
    </row>
    <row r="2702" spans="2:2" ht="17.25">
      <c r="B2702" s="209"/>
    </row>
    <row r="2703" spans="2:2" ht="17.25">
      <c r="B2703" s="209"/>
    </row>
    <row r="2704" spans="2:2" ht="17.25">
      <c r="B2704" s="209"/>
    </row>
    <row r="2705" spans="2:2" ht="17.25">
      <c r="B2705" s="209"/>
    </row>
    <row r="2706" spans="2:2" ht="17.25">
      <c r="B2706" s="209"/>
    </row>
    <row r="2707" spans="2:2" ht="17.25">
      <c r="B2707" s="209"/>
    </row>
    <row r="2708" spans="2:2" ht="17.25">
      <c r="B2708" s="209"/>
    </row>
    <row r="2709" spans="2:2" ht="17.25">
      <c r="B2709" s="209"/>
    </row>
    <row r="2710" spans="2:2" ht="17.25">
      <c r="B2710" s="209"/>
    </row>
    <row r="2711" spans="2:2" ht="17.25">
      <c r="B2711" s="209"/>
    </row>
    <row r="2712" spans="2:2" ht="17.25">
      <c r="B2712" s="209"/>
    </row>
    <row r="2713" spans="2:2" ht="17.25">
      <c r="B2713" s="209"/>
    </row>
    <row r="2714" spans="2:2" ht="17.25">
      <c r="B2714" s="209"/>
    </row>
    <row r="2715" spans="2:2" ht="17.25">
      <c r="B2715" s="209"/>
    </row>
    <row r="2716" spans="2:2" ht="17.25">
      <c r="B2716" s="209"/>
    </row>
    <row r="2717" spans="2:2" ht="17.25">
      <c r="B2717" s="209"/>
    </row>
    <row r="2718" spans="2:2" ht="17.25">
      <c r="B2718" s="209"/>
    </row>
    <row r="2719" spans="2:2" ht="17.25">
      <c r="B2719" s="209"/>
    </row>
    <row r="2720" spans="2:2" ht="17.25">
      <c r="B2720" s="209"/>
    </row>
    <row r="2721" spans="2:2" ht="17.25">
      <c r="B2721" s="209"/>
    </row>
    <row r="2722" spans="2:2" ht="17.25">
      <c r="B2722" s="209"/>
    </row>
    <row r="2723" spans="2:2" ht="17.25">
      <c r="B2723" s="209"/>
    </row>
    <row r="2724" spans="2:2" ht="17.25">
      <c r="B2724" s="209"/>
    </row>
    <row r="2725" spans="2:2" ht="17.25">
      <c r="B2725" s="209"/>
    </row>
    <row r="2726" spans="2:2" ht="17.25">
      <c r="B2726" s="209"/>
    </row>
    <row r="2727" spans="2:2" ht="17.25">
      <c r="B2727" s="209"/>
    </row>
    <row r="2728" spans="2:2" ht="17.25">
      <c r="B2728" s="209"/>
    </row>
    <row r="2729" spans="2:2" ht="17.25">
      <c r="B2729" s="209"/>
    </row>
    <row r="2730" spans="2:2" ht="17.25">
      <c r="B2730" s="209"/>
    </row>
    <row r="2731" spans="2:2" ht="17.25">
      <c r="B2731" s="209"/>
    </row>
    <row r="2732" spans="2:2" ht="17.25">
      <c r="B2732" s="209"/>
    </row>
    <row r="2733" spans="2:2" ht="17.25">
      <c r="B2733" s="209"/>
    </row>
    <row r="2734" spans="2:2" ht="17.25">
      <c r="B2734" s="209"/>
    </row>
    <row r="2735" spans="2:2" ht="17.25">
      <c r="B2735" s="209"/>
    </row>
    <row r="2736" spans="2:2" ht="17.25">
      <c r="B2736" s="209"/>
    </row>
    <row r="2737" spans="2:2" ht="17.25">
      <c r="B2737" s="209"/>
    </row>
    <row r="2738" spans="2:2" ht="17.25">
      <c r="B2738" s="209"/>
    </row>
    <row r="2739" spans="2:2" ht="17.25">
      <c r="B2739" s="209"/>
    </row>
    <row r="2740" spans="2:2" ht="17.25">
      <c r="B2740" s="209"/>
    </row>
    <row r="2741" spans="2:2" ht="17.25">
      <c r="B2741" s="209"/>
    </row>
    <row r="2742" spans="2:2" ht="17.25">
      <c r="B2742" s="209"/>
    </row>
    <row r="2743" spans="2:2" ht="17.25">
      <c r="B2743" s="209"/>
    </row>
    <row r="2744" spans="2:2" ht="17.25">
      <c r="B2744" s="209"/>
    </row>
    <row r="2745" spans="2:2" ht="17.25">
      <c r="B2745" s="209"/>
    </row>
    <row r="2746" spans="2:2" ht="17.25">
      <c r="B2746" s="209"/>
    </row>
    <row r="2747" spans="2:2" ht="17.25">
      <c r="B2747" s="209"/>
    </row>
    <row r="2748" spans="2:2" ht="17.25">
      <c r="B2748" s="209"/>
    </row>
    <row r="2749" spans="2:2" ht="17.25">
      <c r="B2749" s="209"/>
    </row>
    <row r="2750" spans="2:2" ht="17.25">
      <c r="B2750" s="209"/>
    </row>
    <row r="2751" spans="2:2" ht="17.25">
      <c r="B2751" s="209"/>
    </row>
    <row r="2752" spans="2:2" ht="17.25">
      <c r="B2752" s="209"/>
    </row>
    <row r="2753" spans="2:2" ht="17.25">
      <c r="B2753" s="209"/>
    </row>
    <row r="2754" spans="2:2" ht="17.25">
      <c r="B2754" s="209"/>
    </row>
    <row r="2755" spans="2:2" ht="17.25">
      <c r="B2755" s="209"/>
    </row>
    <row r="2756" spans="2:2" ht="17.25">
      <c r="B2756" s="209"/>
    </row>
    <row r="2757" spans="2:2" ht="17.25">
      <c r="B2757" s="209"/>
    </row>
    <row r="2758" spans="2:2" ht="17.25">
      <c r="B2758" s="209"/>
    </row>
    <row r="2759" spans="2:2" ht="17.25">
      <c r="B2759" s="209"/>
    </row>
    <row r="2760" spans="2:2" ht="17.25">
      <c r="B2760" s="209"/>
    </row>
    <row r="2761" spans="2:2" ht="17.25">
      <c r="B2761" s="209"/>
    </row>
    <row r="2762" spans="2:2" ht="17.25">
      <c r="B2762" s="209"/>
    </row>
    <row r="2763" spans="2:2" ht="17.25">
      <c r="B2763" s="209"/>
    </row>
    <row r="2764" spans="2:2" ht="17.25">
      <c r="B2764" s="209"/>
    </row>
    <row r="2765" spans="2:2" ht="17.25">
      <c r="B2765" s="209"/>
    </row>
    <row r="2766" spans="2:2" ht="17.25">
      <c r="B2766" s="209"/>
    </row>
    <row r="2767" spans="2:2" ht="17.25">
      <c r="B2767" s="209"/>
    </row>
    <row r="2768" spans="2:2" ht="17.25">
      <c r="B2768" s="209"/>
    </row>
    <row r="2769" spans="2:2" ht="17.25">
      <c r="B2769" s="209"/>
    </row>
    <row r="2770" spans="2:2" ht="17.25">
      <c r="B2770" s="209"/>
    </row>
    <row r="2771" spans="2:2" ht="17.25">
      <c r="B2771" s="209"/>
    </row>
    <row r="2772" spans="2:2" ht="17.25">
      <c r="B2772" s="209"/>
    </row>
    <row r="2773" spans="2:2" ht="17.25">
      <c r="B2773" s="209"/>
    </row>
    <row r="2774" spans="2:2" ht="17.25">
      <c r="B2774" s="209"/>
    </row>
    <row r="2775" spans="2:2" ht="17.25">
      <c r="B2775" s="209"/>
    </row>
    <row r="2776" spans="2:2" ht="17.25">
      <c r="B2776" s="209"/>
    </row>
    <row r="2777" spans="2:2" ht="17.25">
      <c r="B2777" s="209"/>
    </row>
    <row r="2778" spans="2:2" ht="17.25">
      <c r="B2778" s="209"/>
    </row>
    <row r="2779" spans="2:2" ht="17.25">
      <c r="B2779" s="209"/>
    </row>
    <row r="2780" spans="2:2" ht="17.25">
      <c r="B2780" s="209"/>
    </row>
    <row r="2781" spans="2:2" ht="17.25">
      <c r="B2781" s="209"/>
    </row>
    <row r="2782" spans="2:2" ht="17.25">
      <c r="B2782" s="209"/>
    </row>
    <row r="2783" spans="2:2" ht="17.25">
      <c r="B2783" s="209"/>
    </row>
    <row r="2784" spans="2:2" ht="17.25">
      <c r="B2784" s="209"/>
    </row>
    <row r="2785" spans="2:2" ht="17.25">
      <c r="B2785" s="209"/>
    </row>
    <row r="2786" spans="2:2" ht="17.25">
      <c r="B2786" s="209"/>
    </row>
    <row r="2787" spans="2:2" ht="17.25">
      <c r="B2787" s="209"/>
    </row>
    <row r="2788" spans="2:2" ht="17.25">
      <c r="B2788" s="209"/>
    </row>
    <row r="2789" spans="2:2" ht="17.25">
      <c r="B2789" s="209"/>
    </row>
    <row r="2790" spans="2:2" ht="17.25">
      <c r="B2790" s="209"/>
    </row>
    <row r="2791" spans="2:2" ht="17.25">
      <c r="B2791" s="209"/>
    </row>
    <row r="2792" spans="2:2" ht="17.25">
      <c r="B2792" s="209"/>
    </row>
    <row r="2793" spans="2:2" ht="17.25">
      <c r="B2793" s="209"/>
    </row>
    <row r="2794" spans="2:2" ht="17.25">
      <c r="B2794" s="209"/>
    </row>
    <row r="2795" spans="2:2" ht="17.25">
      <c r="B2795" s="209"/>
    </row>
    <row r="2796" spans="2:2" ht="17.25">
      <c r="B2796" s="209"/>
    </row>
    <row r="2797" spans="2:2" ht="17.25">
      <c r="B2797" s="209"/>
    </row>
    <row r="2798" spans="2:2" ht="17.25">
      <c r="B2798" s="209"/>
    </row>
    <row r="2799" spans="2:2" ht="17.25">
      <c r="B2799" s="209"/>
    </row>
    <row r="2800" spans="2:2" ht="17.25">
      <c r="B2800" s="209"/>
    </row>
    <row r="2801" spans="2:2" ht="17.25">
      <c r="B2801" s="209"/>
    </row>
    <row r="2802" spans="2:2" ht="17.25">
      <c r="B2802" s="209"/>
    </row>
    <row r="2803" spans="2:2" ht="17.25">
      <c r="B2803" s="209"/>
    </row>
    <row r="2804" spans="2:2" ht="17.25">
      <c r="B2804" s="209"/>
    </row>
    <row r="2805" spans="2:2" ht="17.25">
      <c r="B2805" s="209"/>
    </row>
    <row r="2806" spans="2:2" ht="17.25">
      <c r="B2806" s="209"/>
    </row>
    <row r="2807" spans="2:2" ht="17.25">
      <c r="B2807" s="209"/>
    </row>
    <row r="2808" spans="2:2" ht="17.25">
      <c r="B2808" s="209"/>
    </row>
    <row r="2809" spans="2:2" ht="17.25">
      <c r="B2809" s="209"/>
    </row>
    <row r="2810" spans="2:2" ht="17.25">
      <c r="B2810" s="209"/>
    </row>
    <row r="2811" spans="2:2" ht="17.25">
      <c r="B2811" s="209"/>
    </row>
    <row r="2812" spans="2:2" ht="17.25">
      <c r="B2812" s="209"/>
    </row>
    <row r="2813" spans="2:2" ht="17.25">
      <c r="B2813" s="209"/>
    </row>
    <row r="2814" spans="2:2" ht="17.25">
      <c r="B2814" s="209"/>
    </row>
    <row r="2815" spans="2:2" ht="17.25">
      <c r="B2815" s="209"/>
    </row>
    <row r="2816" spans="2:2" ht="17.25">
      <c r="B2816" s="209"/>
    </row>
    <row r="2817" spans="2:2" ht="17.25">
      <c r="B2817" s="209"/>
    </row>
    <row r="2818" spans="2:2" ht="17.25">
      <c r="B2818" s="209"/>
    </row>
    <row r="2819" spans="2:2" ht="17.25">
      <c r="B2819" s="209"/>
    </row>
    <row r="2820" spans="2:2" ht="17.25">
      <c r="B2820" s="209"/>
    </row>
    <row r="2821" spans="2:2" ht="17.25">
      <c r="B2821" s="209"/>
    </row>
    <row r="2822" spans="2:2" ht="17.25">
      <c r="B2822" s="209"/>
    </row>
    <row r="2823" spans="2:2" ht="17.25">
      <c r="B2823" s="209"/>
    </row>
    <row r="2824" spans="2:2" ht="17.25">
      <c r="B2824" s="209"/>
    </row>
    <row r="2825" spans="2:2" ht="17.25">
      <c r="B2825" s="209"/>
    </row>
    <row r="2826" spans="2:2" ht="17.25">
      <c r="B2826" s="209"/>
    </row>
    <row r="2827" spans="2:2" ht="17.25">
      <c r="B2827" s="209"/>
    </row>
    <row r="2828" spans="2:2" ht="17.25">
      <c r="B2828" s="209"/>
    </row>
    <row r="2829" spans="2:2" ht="17.25">
      <c r="B2829" s="209"/>
    </row>
    <row r="2830" spans="2:2" ht="17.25">
      <c r="B2830" s="209"/>
    </row>
    <row r="2831" spans="2:2" ht="17.25">
      <c r="B2831" s="209"/>
    </row>
    <row r="2832" spans="2:2" ht="17.25">
      <c r="B2832" s="209"/>
    </row>
    <row r="2833" spans="2:2" ht="17.25">
      <c r="B2833" s="209"/>
    </row>
    <row r="2834" spans="2:2" ht="17.25">
      <c r="B2834" s="209"/>
    </row>
    <row r="2835" spans="2:2" ht="17.25">
      <c r="B2835" s="209"/>
    </row>
    <row r="2836" spans="2:2" ht="17.25">
      <c r="B2836" s="209"/>
    </row>
    <row r="2837" spans="2:2" ht="17.25">
      <c r="B2837" s="209"/>
    </row>
    <row r="2838" spans="2:2" ht="17.25">
      <c r="B2838" s="209"/>
    </row>
    <row r="2839" spans="2:2" ht="17.25">
      <c r="B2839" s="209"/>
    </row>
    <row r="2840" spans="2:2" ht="17.25">
      <c r="B2840" s="209"/>
    </row>
    <row r="2841" spans="2:2" ht="17.25">
      <c r="B2841" s="209"/>
    </row>
    <row r="2842" spans="2:2" ht="17.25">
      <c r="B2842" s="209"/>
    </row>
    <row r="2843" spans="2:2" ht="17.25">
      <c r="B2843" s="209"/>
    </row>
    <row r="2844" spans="2:2" ht="17.25">
      <c r="B2844" s="209"/>
    </row>
    <row r="2845" spans="2:2" ht="17.25">
      <c r="B2845" s="209"/>
    </row>
    <row r="2846" spans="2:2" ht="17.25">
      <c r="B2846" s="209"/>
    </row>
    <row r="2847" spans="2:2" ht="17.25">
      <c r="B2847" s="209"/>
    </row>
    <row r="2848" spans="2:2" ht="17.25">
      <c r="B2848" s="209"/>
    </row>
    <row r="2849" spans="2:2" ht="17.25">
      <c r="B2849" s="209"/>
    </row>
    <row r="2850" spans="2:2" ht="17.25">
      <c r="B2850" s="209"/>
    </row>
    <row r="2851" spans="2:2" ht="17.25">
      <c r="B2851" s="209"/>
    </row>
    <row r="2852" spans="2:2" ht="17.25">
      <c r="B2852" s="209"/>
    </row>
    <row r="2853" spans="2:2" ht="17.25">
      <c r="B2853" s="209"/>
    </row>
    <row r="2854" spans="2:2" ht="17.25">
      <c r="B2854" s="209"/>
    </row>
    <row r="2855" spans="2:2" ht="17.25">
      <c r="B2855" s="209"/>
    </row>
    <row r="2856" spans="2:2" ht="17.25">
      <c r="B2856" s="209"/>
    </row>
    <row r="2857" spans="2:2" ht="17.25">
      <c r="B2857" s="209"/>
    </row>
    <row r="2858" spans="2:2" ht="17.25">
      <c r="B2858" s="209"/>
    </row>
    <row r="2859" spans="2:2" ht="17.25">
      <c r="B2859" s="209"/>
    </row>
    <row r="2860" spans="2:2" ht="17.25">
      <c r="B2860" s="209"/>
    </row>
    <row r="2861" spans="2:2" ht="17.25">
      <c r="B2861" s="209"/>
    </row>
    <row r="2862" spans="2:2" ht="17.25">
      <c r="B2862" s="209"/>
    </row>
    <row r="2863" spans="2:2" ht="17.25">
      <c r="B2863" s="209"/>
    </row>
    <row r="2864" spans="2:2" ht="17.25">
      <c r="B2864" s="209"/>
    </row>
    <row r="2865" spans="2:2" ht="17.25">
      <c r="B2865" s="209"/>
    </row>
    <row r="2866" spans="2:2" ht="17.25">
      <c r="B2866" s="209"/>
    </row>
    <row r="2867" spans="2:2" ht="17.25">
      <c r="B2867" s="209"/>
    </row>
    <row r="2868" spans="2:2" ht="17.25">
      <c r="B2868" s="209"/>
    </row>
    <row r="2869" spans="2:2" ht="17.25">
      <c r="B2869" s="209"/>
    </row>
    <row r="2870" spans="2:2" ht="17.25">
      <c r="B2870" s="209"/>
    </row>
    <row r="2871" spans="2:2" ht="17.25">
      <c r="B2871" s="209"/>
    </row>
    <row r="2872" spans="2:2" ht="17.25">
      <c r="B2872" s="209"/>
    </row>
    <row r="2873" spans="2:2" ht="17.25">
      <c r="B2873" s="209"/>
    </row>
    <row r="2874" spans="2:2" ht="17.25">
      <c r="B2874" s="209"/>
    </row>
    <row r="2875" spans="2:2" ht="17.25">
      <c r="B2875" s="209"/>
    </row>
    <row r="2876" spans="2:2" ht="17.25">
      <c r="B2876" s="209"/>
    </row>
    <row r="2877" spans="2:2" ht="17.25">
      <c r="B2877" s="209"/>
    </row>
    <row r="2878" spans="2:2" ht="17.25">
      <c r="B2878" s="209"/>
    </row>
    <row r="2879" spans="2:2" ht="17.25">
      <c r="B2879" s="209"/>
    </row>
    <row r="2880" spans="2:2" ht="17.25">
      <c r="B2880" s="209"/>
    </row>
    <row r="2881" spans="2:2" ht="17.25">
      <c r="B2881" s="209"/>
    </row>
    <row r="2882" spans="2:2" ht="17.25">
      <c r="B2882" s="209"/>
    </row>
    <row r="2883" spans="2:2" ht="17.25">
      <c r="B2883" s="209"/>
    </row>
    <row r="2884" spans="2:2" ht="17.25">
      <c r="B2884" s="209"/>
    </row>
    <row r="2885" spans="2:2" ht="17.25">
      <c r="B2885" s="209"/>
    </row>
    <row r="2886" spans="2:2" ht="17.25">
      <c r="B2886" s="209"/>
    </row>
    <row r="2887" spans="2:2" ht="17.25">
      <c r="B2887" s="209"/>
    </row>
    <row r="2888" spans="2:2" ht="17.25">
      <c r="B2888" s="209"/>
    </row>
    <row r="2889" spans="2:2" ht="17.25">
      <c r="B2889" s="209"/>
    </row>
    <row r="2890" spans="2:2" ht="17.25">
      <c r="B2890" s="209"/>
    </row>
    <row r="2891" spans="2:2" ht="17.25">
      <c r="B2891" s="209"/>
    </row>
    <row r="2892" spans="2:2" ht="17.25">
      <c r="B2892" s="209"/>
    </row>
    <row r="2893" spans="2:2" ht="17.25">
      <c r="B2893" s="209"/>
    </row>
    <row r="2894" spans="2:2" ht="17.25">
      <c r="B2894" s="209"/>
    </row>
    <row r="2895" spans="2:2" ht="17.25">
      <c r="B2895" s="209"/>
    </row>
    <row r="2896" spans="2:2" ht="17.25">
      <c r="B2896" s="209"/>
    </row>
    <row r="2897" spans="2:2" ht="17.25">
      <c r="B2897" s="209"/>
    </row>
    <row r="2898" spans="2:2" ht="17.25">
      <c r="B2898" s="209"/>
    </row>
    <row r="2899" spans="2:2" ht="17.25">
      <c r="B2899" s="209"/>
    </row>
    <row r="2900" spans="2:2" ht="17.25">
      <c r="B2900" s="209"/>
    </row>
    <row r="2901" spans="2:2" ht="17.25">
      <c r="B2901" s="209"/>
    </row>
    <row r="2902" spans="2:2" ht="17.25">
      <c r="B2902" s="209"/>
    </row>
    <row r="2903" spans="2:2" ht="17.25">
      <c r="B2903" s="209"/>
    </row>
    <row r="2904" spans="2:2" ht="17.25">
      <c r="B2904" s="209"/>
    </row>
    <row r="2905" spans="2:2" ht="17.25">
      <c r="B2905" s="209"/>
    </row>
    <row r="2906" spans="2:2" ht="17.25">
      <c r="B2906" s="209"/>
    </row>
    <row r="2907" spans="2:2" ht="17.25">
      <c r="B2907" s="209"/>
    </row>
    <row r="2908" spans="2:2" ht="17.25">
      <c r="B2908" s="209"/>
    </row>
    <row r="2909" spans="2:2" ht="17.25">
      <c r="B2909" s="209"/>
    </row>
    <row r="2910" spans="2:2" ht="17.25">
      <c r="B2910" s="209"/>
    </row>
    <row r="2911" spans="2:2" ht="17.25">
      <c r="B2911" s="209"/>
    </row>
    <row r="2912" spans="2:2" ht="17.25">
      <c r="B2912" s="209"/>
    </row>
    <row r="2913" spans="2:2" ht="17.25">
      <c r="B2913" s="209"/>
    </row>
    <row r="2914" spans="2:2" ht="17.25">
      <c r="B2914" s="209"/>
    </row>
    <row r="2915" spans="2:2" ht="17.25">
      <c r="B2915" s="209"/>
    </row>
    <row r="2916" spans="2:2" ht="17.25">
      <c r="B2916" s="209"/>
    </row>
    <row r="2917" spans="2:2" ht="17.25">
      <c r="B2917" s="209"/>
    </row>
    <row r="2918" spans="2:2" ht="17.25">
      <c r="B2918" s="209"/>
    </row>
    <row r="2919" spans="2:2" ht="17.25">
      <c r="B2919" s="209"/>
    </row>
    <row r="2920" spans="2:2" ht="17.25">
      <c r="B2920" s="209"/>
    </row>
    <row r="2921" spans="2:2" ht="17.25">
      <c r="B2921" s="209"/>
    </row>
    <row r="2922" spans="2:2" ht="17.25">
      <c r="B2922" s="209"/>
    </row>
    <row r="2923" spans="2:2" ht="17.25">
      <c r="B2923" s="209"/>
    </row>
    <row r="2924" spans="2:2" ht="17.25">
      <c r="B2924" s="209"/>
    </row>
    <row r="2925" spans="2:2" ht="17.25">
      <c r="B2925" s="209"/>
    </row>
    <row r="2926" spans="2:2" ht="17.25">
      <c r="B2926" s="209"/>
    </row>
    <row r="2927" spans="2:2" ht="17.25">
      <c r="B2927" s="209"/>
    </row>
    <row r="2928" spans="2:2" ht="17.25">
      <c r="B2928" s="209"/>
    </row>
    <row r="2929" spans="2:2" ht="17.25">
      <c r="B2929" s="209"/>
    </row>
    <row r="2930" spans="2:2" ht="17.25">
      <c r="B2930" s="209"/>
    </row>
    <row r="2931" spans="2:2" ht="17.25">
      <c r="B2931" s="209"/>
    </row>
    <row r="2932" spans="2:2" ht="17.25">
      <c r="B2932" s="209"/>
    </row>
    <row r="2933" spans="2:2" ht="17.25">
      <c r="B2933" s="209"/>
    </row>
    <row r="2934" spans="2:2" ht="17.25">
      <c r="B2934" s="209"/>
    </row>
    <row r="2935" spans="2:2" ht="17.25">
      <c r="B2935" s="209"/>
    </row>
    <row r="2936" spans="2:2" ht="17.25">
      <c r="B2936" s="209"/>
    </row>
    <row r="2937" spans="2:2" ht="17.25">
      <c r="B2937" s="209"/>
    </row>
    <row r="2938" spans="2:2" ht="17.25">
      <c r="B2938" s="209"/>
    </row>
    <row r="2939" spans="2:2" ht="17.25">
      <c r="B2939" s="209"/>
    </row>
    <row r="2940" spans="2:2" ht="17.25">
      <c r="B2940" s="209"/>
    </row>
    <row r="2941" spans="2:2" ht="17.25">
      <c r="B2941" s="209"/>
    </row>
    <row r="2942" spans="2:2" ht="17.25">
      <c r="B2942" s="209"/>
    </row>
    <row r="2943" spans="2:2" ht="17.25">
      <c r="B2943" s="209"/>
    </row>
    <row r="2944" spans="2:2" ht="17.25">
      <c r="B2944" s="209"/>
    </row>
    <row r="2945" spans="2:2" ht="17.25">
      <c r="B2945" s="209"/>
    </row>
    <row r="2946" spans="2:2" ht="17.25">
      <c r="B2946" s="209"/>
    </row>
    <row r="2947" spans="2:2" ht="17.25">
      <c r="B2947" s="209"/>
    </row>
    <row r="2948" spans="2:2" ht="17.25">
      <c r="B2948" s="209"/>
    </row>
    <row r="2949" spans="2:2" ht="17.25">
      <c r="B2949" s="209"/>
    </row>
    <row r="2950" spans="2:2" ht="17.25">
      <c r="B2950" s="209"/>
    </row>
    <row r="2951" spans="2:2" ht="17.25">
      <c r="B2951" s="209"/>
    </row>
    <row r="2952" spans="2:2" ht="17.25">
      <c r="B2952" s="209"/>
    </row>
    <row r="2953" spans="2:2" ht="17.25">
      <c r="B2953" s="209"/>
    </row>
    <row r="2954" spans="2:2" ht="17.25">
      <c r="B2954" s="209"/>
    </row>
    <row r="2955" spans="2:2" ht="17.25">
      <c r="B2955" s="209"/>
    </row>
    <row r="2956" spans="2:2" ht="17.25">
      <c r="B2956" s="209"/>
    </row>
    <row r="2957" spans="2:2" ht="17.25">
      <c r="B2957" s="209"/>
    </row>
    <row r="2958" spans="2:2" ht="17.25">
      <c r="B2958" s="209"/>
    </row>
    <row r="2959" spans="2:2" ht="17.25">
      <c r="B2959" s="209"/>
    </row>
    <row r="2960" spans="2:2" ht="17.25">
      <c r="B2960" s="209"/>
    </row>
    <row r="2961" spans="2:2" ht="17.25">
      <c r="B2961" s="209"/>
    </row>
    <row r="2962" spans="2:2" ht="17.25">
      <c r="B2962" s="209"/>
    </row>
    <row r="2963" spans="2:2" ht="17.25">
      <c r="B2963" s="209"/>
    </row>
    <row r="2964" spans="2:2" ht="17.25">
      <c r="B2964" s="209"/>
    </row>
    <row r="2965" spans="2:2" ht="17.25">
      <c r="B2965" s="209"/>
    </row>
    <row r="2966" spans="2:2" ht="17.25">
      <c r="B2966" s="209"/>
    </row>
    <row r="2967" spans="2:2" ht="17.25">
      <c r="B2967" s="209"/>
    </row>
    <row r="2968" spans="2:2" ht="17.25">
      <c r="B2968" s="209"/>
    </row>
    <row r="2969" spans="2:2" ht="17.25">
      <c r="B2969" s="209"/>
    </row>
    <row r="2970" spans="2:2" ht="17.25">
      <c r="B2970" s="209"/>
    </row>
    <row r="2971" spans="2:2" ht="17.25">
      <c r="B2971" s="209"/>
    </row>
    <row r="2972" spans="2:2" ht="17.25">
      <c r="B2972" s="209"/>
    </row>
    <row r="2973" spans="2:2" ht="17.25">
      <c r="B2973" s="209"/>
    </row>
    <row r="2974" spans="2:2" ht="17.25">
      <c r="B2974" s="209"/>
    </row>
    <row r="2975" spans="2:2" ht="17.25">
      <c r="B2975" s="209"/>
    </row>
    <row r="2976" spans="2:2" ht="17.25">
      <c r="B2976" s="209"/>
    </row>
    <row r="2977" spans="2:2" ht="17.25">
      <c r="B2977" s="209"/>
    </row>
    <row r="2978" spans="2:2" ht="17.25">
      <c r="B2978" s="209"/>
    </row>
    <row r="2979" spans="2:2" ht="17.25">
      <c r="B2979" s="209"/>
    </row>
    <row r="2980" spans="2:2" ht="17.25">
      <c r="B2980" s="209"/>
    </row>
    <row r="2981" spans="2:2" ht="17.25">
      <c r="B2981" s="209"/>
    </row>
    <row r="2982" spans="2:2" ht="17.25">
      <c r="B2982" s="209"/>
    </row>
    <row r="2983" spans="2:2" ht="17.25">
      <c r="B2983" s="209"/>
    </row>
    <row r="2984" spans="2:2" ht="17.25">
      <c r="B2984" s="209"/>
    </row>
    <row r="2985" spans="2:2" ht="17.25">
      <c r="B2985" s="209"/>
    </row>
    <row r="2986" spans="2:2" ht="17.25">
      <c r="B2986" s="209"/>
    </row>
    <row r="2987" spans="2:2" ht="17.25">
      <c r="B2987" s="209"/>
    </row>
    <row r="2988" spans="2:2" ht="17.25">
      <c r="B2988" s="209"/>
    </row>
    <row r="2989" spans="2:2" ht="17.25">
      <c r="B2989" s="209"/>
    </row>
    <row r="2990" spans="2:2" ht="17.25">
      <c r="B2990" s="209"/>
    </row>
    <row r="2991" spans="2:2" ht="17.25">
      <c r="B2991" s="209"/>
    </row>
    <row r="2992" spans="2:2" ht="17.25">
      <c r="B2992" s="209"/>
    </row>
    <row r="2993" spans="2:2" ht="17.25">
      <c r="B2993" s="209"/>
    </row>
    <row r="2994" spans="2:2" ht="17.25">
      <c r="B2994" s="209"/>
    </row>
    <row r="2995" spans="2:2" ht="17.25">
      <c r="B2995" s="209"/>
    </row>
    <row r="2996" spans="2:2" ht="17.25">
      <c r="B2996" s="209"/>
    </row>
    <row r="2997" spans="2:2" ht="17.25">
      <c r="B2997" s="209"/>
    </row>
    <row r="2998" spans="2:2" ht="17.25">
      <c r="B2998" s="209"/>
    </row>
    <row r="2999" spans="2:2" ht="17.25">
      <c r="B2999" s="209"/>
    </row>
    <row r="3000" spans="2:2" ht="17.25">
      <c r="B3000" s="209"/>
    </row>
    <row r="3001" spans="2:2" ht="17.25">
      <c r="B3001" s="209"/>
    </row>
    <row r="3002" spans="2:2" ht="17.25">
      <c r="B3002" s="209"/>
    </row>
    <row r="3003" spans="2:2" ht="17.25">
      <c r="B3003" s="209"/>
    </row>
    <row r="3004" spans="2:2" ht="17.25">
      <c r="B3004" s="209"/>
    </row>
    <row r="3005" spans="2:2" ht="17.25">
      <c r="B3005" s="209"/>
    </row>
    <row r="3006" spans="2:2" ht="17.25">
      <c r="B3006" s="209"/>
    </row>
    <row r="3007" spans="2:2" ht="17.25">
      <c r="B3007" s="209"/>
    </row>
    <row r="3008" spans="2:2" ht="17.25">
      <c r="B3008" s="209"/>
    </row>
    <row r="3009" spans="2:2" ht="17.25">
      <c r="B3009" s="209"/>
    </row>
    <row r="3010" spans="2:2" ht="17.25">
      <c r="B3010" s="209"/>
    </row>
    <row r="3011" spans="2:2" ht="17.25">
      <c r="B3011" s="209"/>
    </row>
    <row r="3012" spans="2:2" ht="17.25">
      <c r="B3012" s="209"/>
    </row>
    <row r="3013" spans="2:2" ht="17.25">
      <c r="B3013" s="209"/>
    </row>
    <row r="3014" spans="2:2" ht="17.25">
      <c r="B3014" s="209"/>
    </row>
    <row r="3015" spans="2:2" ht="17.25">
      <c r="B3015" s="209"/>
    </row>
    <row r="3016" spans="2:2" ht="17.25">
      <c r="B3016" s="209"/>
    </row>
    <row r="3017" spans="2:2" ht="17.25">
      <c r="B3017" s="209"/>
    </row>
    <row r="3018" spans="2:2" ht="17.25">
      <c r="B3018" s="209"/>
    </row>
    <row r="3019" spans="2:2" ht="17.25">
      <c r="B3019" s="209"/>
    </row>
    <row r="3020" spans="2:2" ht="17.25">
      <c r="B3020" s="209"/>
    </row>
    <row r="3021" spans="2:2" ht="17.25">
      <c r="B3021" s="209"/>
    </row>
    <row r="3022" spans="2:2" ht="17.25">
      <c r="B3022" s="209"/>
    </row>
    <row r="3023" spans="2:2" ht="17.25">
      <c r="B3023" s="209"/>
    </row>
    <row r="3024" spans="2:2" ht="17.25">
      <c r="B3024" s="209"/>
    </row>
    <row r="3025" spans="2:2" ht="17.25">
      <c r="B3025" s="209"/>
    </row>
    <row r="3026" spans="2:2" ht="17.25">
      <c r="B3026" s="209"/>
    </row>
    <row r="3027" spans="2:2" ht="17.25">
      <c r="B3027" s="209"/>
    </row>
    <row r="3028" spans="2:2" ht="17.25">
      <c r="B3028" s="209"/>
    </row>
    <row r="3029" spans="2:2" ht="17.25">
      <c r="B3029" s="209"/>
    </row>
    <row r="3030" spans="2:2" ht="17.25">
      <c r="B3030" s="209"/>
    </row>
    <row r="3031" spans="2:2" ht="17.25">
      <c r="B3031" s="209"/>
    </row>
    <row r="3032" spans="2:2" ht="17.25">
      <c r="B3032" s="209"/>
    </row>
    <row r="3033" spans="2:2" ht="17.25">
      <c r="B3033" s="209"/>
    </row>
    <row r="3034" spans="2:2" ht="17.25">
      <c r="B3034" s="209"/>
    </row>
    <row r="3035" spans="2:2" ht="17.25">
      <c r="B3035" s="209"/>
    </row>
    <row r="3036" spans="2:2" ht="17.25">
      <c r="B3036" s="209"/>
    </row>
    <row r="3037" spans="2:2" ht="17.25">
      <c r="B3037" s="209"/>
    </row>
    <row r="3038" spans="2:2" ht="17.25">
      <c r="B3038" s="209"/>
    </row>
    <row r="3039" spans="2:2" ht="17.25">
      <c r="B3039" s="209"/>
    </row>
    <row r="3040" spans="2:2" ht="17.25">
      <c r="B3040" s="209"/>
    </row>
    <row r="3041" spans="2:2" ht="17.25">
      <c r="B3041" s="209"/>
    </row>
    <row r="3042" spans="2:2" ht="17.25">
      <c r="B3042" s="209"/>
    </row>
    <row r="3043" spans="2:2" ht="17.25">
      <c r="B3043" s="209"/>
    </row>
    <row r="3044" spans="2:2" ht="17.25">
      <c r="B3044" s="209"/>
    </row>
    <row r="3045" spans="2:2" ht="17.25">
      <c r="B3045" s="209"/>
    </row>
    <row r="3046" spans="2:2" ht="17.25">
      <c r="B3046" s="209"/>
    </row>
    <row r="3047" spans="2:2" ht="17.25">
      <c r="B3047" s="209"/>
    </row>
    <row r="3048" spans="2:2" ht="17.25">
      <c r="B3048" s="209"/>
    </row>
    <row r="3049" spans="2:2" ht="17.25">
      <c r="B3049" s="209"/>
    </row>
    <row r="3050" spans="2:2" ht="17.25">
      <c r="B3050" s="209"/>
    </row>
    <row r="3051" spans="2:2" ht="17.25">
      <c r="B3051" s="209"/>
    </row>
    <row r="3052" spans="2:2" ht="17.25">
      <c r="B3052" s="209"/>
    </row>
    <row r="3053" spans="2:2" ht="17.25">
      <c r="B3053" s="209"/>
    </row>
    <row r="3054" spans="2:2" ht="17.25">
      <c r="B3054" s="209"/>
    </row>
    <row r="3055" spans="2:2" ht="17.25">
      <c r="B3055" s="209"/>
    </row>
    <row r="3056" spans="2:2" ht="17.25">
      <c r="B3056" s="209"/>
    </row>
    <row r="3057" spans="2:2" ht="17.25">
      <c r="B3057" s="209"/>
    </row>
    <row r="3058" spans="2:2" ht="17.25">
      <c r="B3058" s="209"/>
    </row>
    <row r="3059" spans="2:2" ht="17.25">
      <c r="B3059" s="209"/>
    </row>
    <row r="3060" spans="2:2" ht="17.25">
      <c r="B3060" s="209"/>
    </row>
    <row r="3061" spans="2:2" ht="17.25">
      <c r="B3061" s="209"/>
    </row>
    <row r="3062" spans="2:2" ht="17.25">
      <c r="B3062" s="209"/>
    </row>
    <row r="3063" spans="2:2" ht="17.25">
      <c r="B3063" s="209"/>
    </row>
    <row r="3064" spans="2:2" ht="17.25">
      <c r="B3064" s="209"/>
    </row>
    <row r="3065" spans="2:2" ht="17.25">
      <c r="B3065" s="209"/>
    </row>
    <row r="3066" spans="2:2" ht="17.25">
      <c r="B3066" s="209"/>
    </row>
    <row r="3067" spans="2:2" ht="17.25">
      <c r="B3067" s="209"/>
    </row>
    <row r="3068" spans="2:2" ht="17.25">
      <c r="B3068" s="209"/>
    </row>
    <row r="3069" spans="2:2" ht="17.25">
      <c r="B3069" s="209"/>
    </row>
    <row r="3070" spans="2:2" ht="17.25">
      <c r="B3070" s="209"/>
    </row>
    <row r="3071" spans="2:2" ht="17.25">
      <c r="B3071" s="209"/>
    </row>
    <row r="3072" spans="2:2" ht="17.25">
      <c r="B3072" s="209"/>
    </row>
    <row r="3073" spans="2:2" ht="17.25">
      <c r="B3073" s="209"/>
    </row>
    <row r="3074" spans="2:2" ht="17.25">
      <c r="B3074" s="209"/>
    </row>
    <row r="3075" spans="2:2" ht="17.25">
      <c r="B3075" s="209"/>
    </row>
    <row r="3076" spans="2:2" ht="17.25">
      <c r="B3076" s="209"/>
    </row>
    <row r="3077" spans="2:2" ht="17.25">
      <c r="B3077" s="209"/>
    </row>
    <row r="3078" spans="2:2" ht="17.25">
      <c r="B3078" s="209"/>
    </row>
    <row r="3079" spans="2:2" ht="17.25">
      <c r="B3079" s="209"/>
    </row>
    <row r="3080" spans="2:2" ht="17.25">
      <c r="B3080" s="209"/>
    </row>
    <row r="3081" spans="2:2" ht="17.25">
      <c r="B3081" s="209"/>
    </row>
    <row r="3082" spans="2:2" ht="17.25">
      <c r="B3082" s="209"/>
    </row>
    <row r="3083" spans="2:2" ht="17.25">
      <c r="B3083" s="209"/>
    </row>
    <row r="3084" spans="2:2" ht="17.25">
      <c r="B3084" s="209"/>
    </row>
    <row r="3085" spans="2:2" ht="17.25">
      <c r="B3085" s="209"/>
    </row>
    <row r="3086" spans="2:2" ht="17.25">
      <c r="B3086" s="209"/>
    </row>
    <row r="3087" spans="2:2" ht="17.25">
      <c r="B3087" s="209"/>
    </row>
    <row r="3088" spans="2:2" ht="17.25">
      <c r="B3088" s="209"/>
    </row>
    <row r="3089" spans="2:2" ht="17.25">
      <c r="B3089" s="209"/>
    </row>
    <row r="3090" spans="2:2" ht="17.25">
      <c r="B3090" s="209"/>
    </row>
    <row r="3091" spans="2:2" ht="17.25">
      <c r="B3091" s="209"/>
    </row>
    <row r="3092" spans="2:2" ht="17.25">
      <c r="B3092" s="209"/>
    </row>
    <row r="3093" spans="2:2" ht="17.25">
      <c r="B3093" s="209"/>
    </row>
    <row r="3094" spans="2:2" ht="17.25">
      <c r="B3094" s="209"/>
    </row>
    <row r="3095" spans="2:2" ht="17.25">
      <c r="B3095" s="209"/>
    </row>
    <row r="3096" spans="2:2" ht="17.25">
      <c r="B3096" s="209"/>
    </row>
    <row r="3097" spans="2:2" ht="17.25">
      <c r="B3097" s="209"/>
    </row>
    <row r="3098" spans="2:2" ht="17.25">
      <c r="B3098" s="209"/>
    </row>
    <row r="3099" spans="2:2" ht="17.25">
      <c r="B3099" s="209"/>
    </row>
    <row r="3100" spans="2:2" ht="17.25">
      <c r="B3100" s="209"/>
    </row>
    <row r="3101" spans="2:2" ht="17.25">
      <c r="B3101" s="209"/>
    </row>
    <row r="3102" spans="2:2" ht="17.25">
      <c r="B3102" s="209"/>
    </row>
    <row r="3103" spans="2:2" ht="17.25">
      <c r="B3103" s="209"/>
    </row>
    <row r="3104" spans="2:2" ht="17.25">
      <c r="B3104" s="209"/>
    </row>
    <row r="3105" spans="2:2" ht="17.25">
      <c r="B3105" s="209"/>
    </row>
    <row r="3106" spans="2:2" ht="17.25">
      <c r="B3106" s="209"/>
    </row>
    <row r="3107" spans="2:2" ht="17.25">
      <c r="B3107" s="209"/>
    </row>
    <row r="3108" spans="2:2" ht="17.25">
      <c r="B3108" s="209"/>
    </row>
    <row r="3109" spans="2:2" ht="17.25">
      <c r="B3109" s="209"/>
    </row>
    <row r="3110" spans="2:2" ht="17.25">
      <c r="B3110" s="209"/>
    </row>
    <row r="3111" spans="2:2" ht="17.25">
      <c r="B3111" s="209"/>
    </row>
    <row r="3112" spans="2:2" ht="17.25">
      <c r="B3112" s="209"/>
    </row>
    <row r="3113" spans="2:2" ht="17.25">
      <c r="B3113" s="209"/>
    </row>
    <row r="3114" spans="2:2" ht="17.25">
      <c r="B3114" s="209"/>
    </row>
    <row r="3115" spans="2:2" ht="17.25">
      <c r="B3115" s="209"/>
    </row>
    <row r="3116" spans="2:2" ht="17.25">
      <c r="B3116" s="209"/>
    </row>
    <row r="3117" spans="2:2" ht="17.25">
      <c r="B3117" s="209"/>
    </row>
    <row r="3118" spans="2:2" ht="17.25">
      <c r="B3118" s="209"/>
    </row>
    <row r="3119" spans="2:2" ht="17.25">
      <c r="B3119" s="209"/>
    </row>
    <row r="3120" spans="2:2" ht="17.25">
      <c r="B3120" s="209"/>
    </row>
    <row r="3121" spans="2:2" ht="17.25">
      <c r="B3121" s="209"/>
    </row>
    <row r="3122" spans="2:2" ht="17.25">
      <c r="B3122" s="209"/>
    </row>
    <row r="3123" spans="2:2" ht="17.25">
      <c r="B3123" s="209"/>
    </row>
    <row r="3124" spans="2:2" ht="17.25">
      <c r="B3124" s="209"/>
    </row>
    <row r="3125" spans="2:2" ht="17.25">
      <c r="B3125" s="209"/>
    </row>
    <row r="3126" spans="2:2" ht="17.25">
      <c r="B3126" s="209"/>
    </row>
    <row r="3127" spans="2:2" ht="17.25">
      <c r="B3127" s="209"/>
    </row>
    <row r="3128" spans="2:2" ht="17.25">
      <c r="B3128" s="209"/>
    </row>
    <row r="3129" spans="2:2" ht="17.25">
      <c r="B3129" s="209"/>
    </row>
    <row r="3130" spans="2:2" ht="17.25">
      <c r="B3130" s="209"/>
    </row>
    <row r="3131" spans="2:2" ht="17.25">
      <c r="B3131" s="209"/>
    </row>
    <row r="3132" spans="2:2" ht="17.25">
      <c r="B3132" s="209"/>
    </row>
    <row r="3133" spans="2:2" ht="17.25">
      <c r="B3133" s="209"/>
    </row>
    <row r="3134" spans="2:2" ht="17.25">
      <c r="B3134" s="209"/>
    </row>
    <row r="3135" spans="2:2" ht="17.25">
      <c r="B3135" s="209"/>
    </row>
    <row r="3136" spans="2:2" ht="17.25">
      <c r="B3136" s="209"/>
    </row>
    <row r="3137" spans="2:2" ht="17.25">
      <c r="B3137" s="209"/>
    </row>
    <row r="3138" spans="2:2" ht="17.25">
      <c r="B3138" s="209"/>
    </row>
    <row r="3139" spans="2:2" ht="17.25">
      <c r="B3139" s="209"/>
    </row>
    <row r="3140" spans="2:2" ht="17.25">
      <c r="B3140" s="209"/>
    </row>
    <row r="3141" spans="2:2" ht="17.25">
      <c r="B3141" s="209"/>
    </row>
    <row r="3142" spans="2:2" ht="17.25">
      <c r="B3142" s="209"/>
    </row>
    <row r="3143" spans="2:2" ht="17.25">
      <c r="B3143" s="209"/>
    </row>
    <row r="3144" spans="2:2" ht="17.25">
      <c r="B3144" s="209"/>
    </row>
    <row r="3145" spans="2:2" ht="17.25">
      <c r="B3145" s="209"/>
    </row>
    <row r="3146" spans="2:2" ht="17.25">
      <c r="B3146" s="209"/>
    </row>
    <row r="3147" spans="2:2" ht="17.25">
      <c r="B3147" s="209"/>
    </row>
    <row r="3148" spans="2:2" ht="17.25">
      <c r="B3148" s="209"/>
    </row>
    <row r="3149" spans="2:2" ht="17.25">
      <c r="B3149" s="209"/>
    </row>
    <row r="3150" spans="2:2" ht="17.25">
      <c r="B3150" s="209"/>
    </row>
    <row r="3151" spans="2:2" ht="17.25">
      <c r="B3151" s="209"/>
    </row>
    <row r="3152" spans="2:2" ht="17.25">
      <c r="B3152" s="209"/>
    </row>
    <row r="3153" spans="2:2" ht="17.25">
      <c r="B3153" s="209"/>
    </row>
    <row r="3154" spans="2:2" ht="17.25">
      <c r="B3154" s="209"/>
    </row>
    <row r="3155" spans="2:2" ht="17.25">
      <c r="B3155" s="209"/>
    </row>
    <row r="3156" spans="2:2" ht="17.25">
      <c r="B3156" s="209"/>
    </row>
    <row r="3157" spans="2:2" ht="17.25">
      <c r="B3157" s="209"/>
    </row>
    <row r="3158" spans="2:2" ht="17.25">
      <c r="B3158" s="209"/>
    </row>
    <row r="3159" spans="2:2" ht="17.25">
      <c r="B3159" s="209"/>
    </row>
    <row r="3160" spans="2:2" ht="17.25">
      <c r="B3160" s="209"/>
    </row>
    <row r="3161" spans="2:2" ht="17.25">
      <c r="B3161" s="209"/>
    </row>
    <row r="3162" spans="2:2" ht="17.25">
      <c r="B3162" s="209"/>
    </row>
    <row r="3163" spans="2:2" ht="17.25">
      <c r="B3163" s="209"/>
    </row>
    <row r="3164" spans="2:2" ht="17.25">
      <c r="B3164" s="209"/>
    </row>
    <row r="3165" spans="2:2" ht="17.25">
      <c r="B3165" s="209"/>
    </row>
    <row r="3166" spans="2:2" ht="17.25">
      <c r="B3166" s="209"/>
    </row>
    <row r="3167" spans="2:2" ht="17.25">
      <c r="B3167" s="209"/>
    </row>
    <row r="3168" spans="2:2" ht="17.25">
      <c r="B3168" s="209"/>
    </row>
    <row r="3169" spans="2:2" ht="17.25">
      <c r="B3169" s="209"/>
    </row>
    <row r="3170" spans="2:2" ht="17.25">
      <c r="B3170" s="209"/>
    </row>
    <row r="3171" spans="2:2" ht="17.25">
      <c r="B3171" s="209"/>
    </row>
    <row r="3172" spans="2:2" ht="17.25">
      <c r="B3172" s="209"/>
    </row>
    <row r="3173" spans="2:2" ht="17.25">
      <c r="B3173" s="209"/>
    </row>
    <row r="3174" spans="2:2" ht="17.25">
      <c r="B3174" s="209"/>
    </row>
    <row r="3175" spans="2:2" ht="17.25">
      <c r="B3175" s="209"/>
    </row>
    <row r="3176" spans="2:2" ht="17.25">
      <c r="B3176" s="209"/>
    </row>
    <row r="3177" spans="2:2" ht="17.25">
      <c r="B3177" s="209"/>
    </row>
    <row r="3178" spans="2:2" ht="17.25">
      <c r="B3178" s="209"/>
    </row>
    <row r="3179" spans="2:2" ht="17.25">
      <c r="B3179" s="209"/>
    </row>
    <row r="3180" spans="2:2" ht="17.25">
      <c r="B3180" s="209"/>
    </row>
    <row r="3181" spans="2:2" ht="17.25">
      <c r="B3181" s="209"/>
    </row>
    <row r="3182" spans="2:2" ht="17.25">
      <c r="B3182" s="209"/>
    </row>
    <row r="3183" spans="2:2" ht="17.25">
      <c r="B3183" s="209"/>
    </row>
    <row r="3184" spans="2:2" ht="17.25">
      <c r="B3184" s="209"/>
    </row>
    <row r="3185" spans="2:2" ht="17.25">
      <c r="B3185" s="209"/>
    </row>
    <row r="3186" spans="2:2" ht="17.25">
      <c r="B3186" s="209"/>
    </row>
    <row r="3187" spans="2:2" ht="17.25">
      <c r="B3187" s="209"/>
    </row>
    <row r="3188" spans="2:2" ht="17.25">
      <c r="B3188" s="209"/>
    </row>
    <row r="3189" spans="2:2" ht="17.25">
      <c r="B3189" s="209"/>
    </row>
    <row r="3190" spans="2:2" ht="17.25">
      <c r="B3190" s="209"/>
    </row>
    <row r="3191" spans="2:2" ht="17.25">
      <c r="B3191" s="209"/>
    </row>
    <row r="3192" spans="2:2" ht="17.25">
      <c r="B3192" s="209"/>
    </row>
    <row r="3193" spans="2:2" ht="17.25">
      <c r="B3193" s="209"/>
    </row>
    <row r="3194" spans="2:2" ht="17.25">
      <c r="B3194" s="209"/>
    </row>
    <row r="3195" spans="2:2" ht="17.25">
      <c r="B3195" s="209"/>
    </row>
    <row r="3196" spans="2:2" ht="17.25">
      <c r="B3196" s="209"/>
    </row>
    <row r="3197" spans="2:2" ht="17.25">
      <c r="B3197" s="209"/>
    </row>
    <row r="3198" spans="2:2" ht="17.25">
      <c r="B3198" s="209"/>
    </row>
    <row r="3199" spans="2:2" ht="17.25">
      <c r="B3199" s="209"/>
    </row>
    <row r="3200" spans="2:2" ht="17.25">
      <c r="B3200" s="209"/>
    </row>
    <row r="3201" spans="2:2" ht="17.25">
      <c r="B3201" s="209"/>
    </row>
    <row r="3202" spans="2:2" ht="17.25">
      <c r="B3202" s="209"/>
    </row>
    <row r="3203" spans="2:2" ht="17.25">
      <c r="B3203" s="209"/>
    </row>
    <row r="3204" spans="2:2" ht="17.25">
      <c r="B3204" s="209"/>
    </row>
    <row r="3205" spans="2:2" ht="17.25">
      <c r="B3205" s="209"/>
    </row>
    <row r="3206" spans="2:2" ht="17.25">
      <c r="B3206" s="209"/>
    </row>
    <row r="3207" spans="2:2" ht="17.25">
      <c r="B3207" s="209"/>
    </row>
    <row r="3208" spans="2:2" ht="17.25">
      <c r="B3208" s="209"/>
    </row>
    <row r="3209" spans="2:2" ht="17.25">
      <c r="B3209" s="209"/>
    </row>
    <row r="3210" spans="2:2" ht="17.25">
      <c r="B3210" s="209"/>
    </row>
    <row r="3211" spans="2:2" ht="17.25">
      <c r="B3211" s="209"/>
    </row>
    <row r="3212" spans="2:2" ht="17.25">
      <c r="B3212" s="209"/>
    </row>
    <row r="3213" spans="2:2" ht="17.25">
      <c r="B3213" s="209"/>
    </row>
    <row r="3214" spans="2:2" ht="17.25">
      <c r="B3214" s="209"/>
    </row>
    <row r="3215" spans="2:2" ht="17.25">
      <c r="B3215" s="209"/>
    </row>
    <row r="3216" spans="2:2" ht="17.25">
      <c r="B3216" s="209"/>
    </row>
    <row r="3217" spans="2:2" ht="17.25">
      <c r="B3217" s="209"/>
    </row>
    <row r="3218" spans="2:2" ht="17.25">
      <c r="B3218" s="209"/>
    </row>
    <row r="3219" spans="2:2" ht="17.25">
      <c r="B3219" s="209"/>
    </row>
    <row r="3220" spans="2:2" ht="17.25">
      <c r="B3220" s="209"/>
    </row>
    <row r="3221" spans="2:2" ht="17.25">
      <c r="B3221" s="209"/>
    </row>
    <row r="3222" spans="2:2" ht="17.25">
      <c r="B3222" s="209"/>
    </row>
    <row r="3223" spans="2:2" ht="17.25">
      <c r="B3223" s="209"/>
    </row>
    <row r="3224" spans="2:2" ht="17.25">
      <c r="B3224" s="209"/>
    </row>
    <row r="3225" spans="2:2" ht="17.25">
      <c r="B3225" s="209"/>
    </row>
    <row r="3226" spans="2:2" ht="17.25">
      <c r="B3226" s="209"/>
    </row>
    <row r="3227" spans="2:2" ht="17.25">
      <c r="B3227" s="209"/>
    </row>
    <row r="3228" spans="2:2" ht="17.25">
      <c r="B3228" s="209"/>
    </row>
    <row r="3229" spans="2:2" ht="17.25">
      <c r="B3229" s="209"/>
    </row>
    <row r="3230" spans="2:2" ht="17.25">
      <c r="B3230" s="209"/>
    </row>
    <row r="3231" spans="2:2" ht="17.25">
      <c r="B3231" s="209"/>
    </row>
    <row r="3232" spans="2:2" ht="17.25">
      <c r="B3232" s="209"/>
    </row>
    <row r="3233" spans="2:2" ht="17.25">
      <c r="B3233" s="209"/>
    </row>
    <row r="3234" spans="2:2" ht="17.25">
      <c r="B3234" s="209"/>
    </row>
    <row r="3235" spans="2:2" ht="17.25">
      <c r="B3235" s="209"/>
    </row>
    <row r="3236" spans="2:2" ht="17.25">
      <c r="B3236" s="209"/>
    </row>
    <row r="3237" spans="2:2" ht="17.25">
      <c r="B3237" s="209"/>
    </row>
    <row r="3238" spans="2:2" ht="17.25">
      <c r="B3238" s="209"/>
    </row>
    <row r="3239" spans="2:2" ht="17.25">
      <c r="B3239" s="209"/>
    </row>
    <row r="3240" spans="2:2" ht="17.25">
      <c r="B3240" s="209"/>
    </row>
    <row r="3241" spans="2:2" ht="17.25">
      <c r="B3241" s="209"/>
    </row>
    <row r="3242" spans="2:2" ht="17.25">
      <c r="B3242" s="209"/>
    </row>
    <row r="3243" spans="2:2" ht="17.25">
      <c r="B3243" s="209"/>
    </row>
    <row r="3244" spans="2:2" ht="17.25">
      <c r="B3244" s="209"/>
    </row>
    <row r="3245" spans="2:2" ht="17.25">
      <c r="B3245" s="209"/>
    </row>
    <row r="3246" spans="2:2" ht="17.25">
      <c r="B3246" s="209"/>
    </row>
    <row r="3247" spans="2:2" ht="17.25">
      <c r="B3247" s="209"/>
    </row>
    <row r="3248" spans="2:2" ht="17.25">
      <c r="B3248" s="209"/>
    </row>
    <row r="3249" spans="2:2" ht="17.25">
      <c r="B3249" s="209"/>
    </row>
    <row r="3250" spans="2:2" ht="17.25">
      <c r="B3250" s="209"/>
    </row>
    <row r="3251" spans="2:2" ht="17.25">
      <c r="B3251" s="209"/>
    </row>
    <row r="3252" spans="2:2" ht="17.25">
      <c r="B3252" s="209"/>
    </row>
    <row r="3253" spans="2:2" ht="17.25">
      <c r="B3253" s="209"/>
    </row>
    <row r="3254" spans="2:2" ht="17.25">
      <c r="B3254" s="209"/>
    </row>
    <row r="3255" spans="2:2" ht="17.25">
      <c r="B3255" s="209"/>
    </row>
    <row r="3256" spans="2:2" ht="17.25">
      <c r="B3256" s="209"/>
    </row>
    <row r="3257" spans="2:2" ht="17.25">
      <c r="B3257" s="209"/>
    </row>
    <row r="3258" spans="2:2" ht="17.25">
      <c r="B3258" s="209"/>
    </row>
    <row r="3259" spans="2:2" ht="17.25">
      <c r="B3259" s="209"/>
    </row>
    <row r="3260" spans="2:2" ht="17.25">
      <c r="B3260" s="209"/>
    </row>
    <row r="3261" spans="2:2" ht="17.25">
      <c r="B3261" s="209"/>
    </row>
    <row r="3262" spans="2:2" ht="17.25">
      <c r="B3262" s="209"/>
    </row>
    <row r="3263" spans="2:2" ht="17.25">
      <c r="B3263" s="209"/>
    </row>
    <row r="3264" spans="2:2" ht="17.25">
      <c r="B3264" s="209"/>
    </row>
    <row r="3265" spans="2:2" ht="17.25">
      <c r="B3265" s="209"/>
    </row>
    <row r="3266" spans="2:2" ht="17.25">
      <c r="B3266" s="209"/>
    </row>
    <row r="3267" spans="2:2" ht="17.25">
      <c r="B3267" s="209"/>
    </row>
    <row r="3268" spans="2:2" ht="17.25">
      <c r="B3268" s="209"/>
    </row>
    <row r="3269" spans="2:2" ht="17.25">
      <c r="B3269" s="209"/>
    </row>
    <row r="3270" spans="2:2" ht="17.25">
      <c r="B3270" s="209"/>
    </row>
    <row r="3271" spans="2:2" ht="17.25">
      <c r="B3271" s="209"/>
    </row>
    <row r="3272" spans="2:2" ht="17.25">
      <c r="B3272" s="209"/>
    </row>
    <row r="3273" spans="2:2" ht="17.25">
      <c r="B3273" s="209"/>
    </row>
    <row r="3274" spans="2:2" ht="17.25">
      <c r="B3274" s="209"/>
    </row>
    <row r="3275" spans="2:2" ht="17.25">
      <c r="B3275" s="209"/>
    </row>
    <row r="3276" spans="2:2" ht="17.25">
      <c r="B3276" s="209"/>
    </row>
    <row r="3277" spans="2:2" ht="17.25">
      <c r="B3277" s="209"/>
    </row>
    <row r="3278" spans="2:2" ht="17.25">
      <c r="B3278" s="209"/>
    </row>
    <row r="3279" spans="2:2" ht="17.25">
      <c r="B3279" s="209"/>
    </row>
    <row r="3280" spans="2:2" ht="17.25">
      <c r="B3280" s="209"/>
    </row>
    <row r="3281" spans="2:2" ht="17.25">
      <c r="B3281" s="209"/>
    </row>
    <row r="3282" spans="2:2" ht="17.25">
      <c r="B3282" s="209"/>
    </row>
    <row r="3283" spans="2:2" ht="17.25">
      <c r="B3283" s="209"/>
    </row>
    <row r="3284" spans="2:2" ht="17.25">
      <c r="B3284" s="209"/>
    </row>
    <row r="3285" spans="2:2" ht="17.25">
      <c r="B3285" s="209"/>
    </row>
    <row r="3286" spans="2:2" ht="17.25">
      <c r="B3286" s="209"/>
    </row>
    <row r="3287" spans="2:2" ht="17.25">
      <c r="B3287" s="209"/>
    </row>
    <row r="3288" spans="2:2" ht="17.25">
      <c r="B3288" s="209"/>
    </row>
    <row r="3289" spans="2:2" ht="17.25">
      <c r="B3289" s="209"/>
    </row>
    <row r="3290" spans="2:2" ht="17.25">
      <c r="B3290" s="209"/>
    </row>
    <row r="3291" spans="2:2" ht="17.25">
      <c r="B3291" s="209"/>
    </row>
    <row r="3292" spans="2:2" ht="17.25">
      <c r="B3292" s="209"/>
    </row>
    <row r="3293" spans="2:2" ht="17.25">
      <c r="B3293" s="209"/>
    </row>
    <row r="3294" spans="2:2" ht="17.25">
      <c r="B3294" s="209"/>
    </row>
    <row r="3295" spans="2:2" ht="17.25">
      <c r="B3295" s="209"/>
    </row>
    <row r="3296" spans="2:2" ht="17.25">
      <c r="B3296" s="209"/>
    </row>
    <row r="3297" spans="2:2" ht="17.25">
      <c r="B3297" s="209"/>
    </row>
    <row r="3298" spans="2:2" ht="17.25">
      <c r="B3298" s="209"/>
    </row>
    <row r="3299" spans="2:2" ht="17.25">
      <c r="B3299" s="209"/>
    </row>
    <row r="3300" spans="2:2" ht="17.25">
      <c r="B3300" s="209"/>
    </row>
    <row r="3301" spans="2:2" ht="17.25">
      <c r="B3301" s="209"/>
    </row>
    <row r="3302" spans="2:2" ht="17.25">
      <c r="B3302" s="209"/>
    </row>
    <row r="3303" spans="2:2" ht="17.25">
      <c r="B3303" s="209"/>
    </row>
    <row r="3304" spans="2:2" ht="17.25">
      <c r="B3304" s="209"/>
    </row>
    <row r="3305" spans="2:2" ht="17.25">
      <c r="B3305" s="209"/>
    </row>
    <row r="3306" spans="2:2" ht="17.25">
      <c r="B3306" s="209"/>
    </row>
    <row r="3307" spans="2:2" ht="17.25">
      <c r="B3307" s="209"/>
    </row>
    <row r="3308" spans="2:2" ht="17.25">
      <c r="B3308" s="209"/>
    </row>
    <row r="3309" spans="2:2" ht="17.25">
      <c r="B3309" s="209"/>
    </row>
    <row r="3310" spans="2:2" ht="17.25">
      <c r="B3310" s="209"/>
    </row>
    <row r="3311" spans="2:2" ht="17.25">
      <c r="B3311" s="209"/>
    </row>
    <row r="3312" spans="2:2" ht="17.25">
      <c r="B3312" s="209"/>
    </row>
    <row r="3313" spans="2:2" ht="17.25">
      <c r="B3313" s="209"/>
    </row>
    <row r="3314" spans="2:2" ht="17.25">
      <c r="B3314" s="209"/>
    </row>
    <row r="3315" spans="2:2" ht="17.25">
      <c r="B3315" s="209"/>
    </row>
    <row r="3316" spans="2:2" ht="17.25">
      <c r="B3316" s="209"/>
    </row>
    <row r="3317" spans="2:2" ht="17.25">
      <c r="B3317" s="209"/>
    </row>
    <row r="3318" spans="2:2" ht="17.25">
      <c r="B3318" s="209"/>
    </row>
    <row r="3319" spans="2:2" ht="17.25">
      <c r="B3319" s="209"/>
    </row>
    <row r="3320" spans="2:2" ht="17.25">
      <c r="B3320" s="209"/>
    </row>
    <row r="3321" spans="2:2" ht="17.25">
      <c r="B3321" s="209"/>
    </row>
    <row r="3322" spans="2:2" ht="17.25">
      <c r="B3322" s="209"/>
    </row>
    <row r="3323" spans="2:2" ht="17.25">
      <c r="B3323" s="209"/>
    </row>
    <row r="3324" spans="2:2" ht="17.25">
      <c r="B3324" s="209"/>
    </row>
    <row r="3325" spans="2:2" ht="17.25">
      <c r="B3325" s="209"/>
    </row>
    <row r="3326" spans="2:2" ht="17.25">
      <c r="B3326" s="209"/>
    </row>
    <row r="3327" spans="2:2" ht="17.25">
      <c r="B3327" s="209"/>
    </row>
    <row r="3328" spans="2:2" ht="17.25">
      <c r="B3328" s="209"/>
    </row>
    <row r="3329" spans="2:2" ht="17.25">
      <c r="B3329" s="209"/>
    </row>
    <row r="3330" spans="2:2" ht="17.25">
      <c r="B3330" s="209"/>
    </row>
    <row r="3331" spans="2:2" ht="17.25">
      <c r="B3331" s="209"/>
    </row>
    <row r="3332" spans="2:2" ht="17.25">
      <c r="B3332" s="209"/>
    </row>
    <row r="3333" spans="2:2" ht="17.25">
      <c r="B3333" s="209"/>
    </row>
    <row r="3334" spans="2:2" ht="17.25">
      <c r="B3334" s="209"/>
    </row>
    <row r="3335" spans="2:2" ht="17.25">
      <c r="B3335" s="209"/>
    </row>
    <row r="3336" spans="2:2" ht="17.25">
      <c r="B3336" s="209"/>
    </row>
    <row r="3337" spans="2:2" ht="17.25">
      <c r="B3337" s="209"/>
    </row>
    <row r="3338" spans="2:2" ht="17.25">
      <c r="B3338" s="209"/>
    </row>
    <row r="3339" spans="2:2" ht="17.25">
      <c r="B3339" s="209"/>
    </row>
    <row r="3340" spans="2:2" ht="17.25">
      <c r="B3340" s="209"/>
    </row>
    <row r="3341" spans="2:2" ht="17.25">
      <c r="B3341" s="209"/>
    </row>
    <row r="3342" spans="2:2" ht="17.25">
      <c r="B3342" s="209"/>
    </row>
    <row r="3343" spans="2:2" ht="17.25">
      <c r="B3343" s="209"/>
    </row>
    <row r="3344" spans="2:2" ht="17.25">
      <c r="B3344" s="209"/>
    </row>
    <row r="3345" spans="2:2" ht="17.25">
      <c r="B3345" s="209"/>
    </row>
    <row r="3346" spans="2:2" ht="17.25">
      <c r="B3346" s="209"/>
    </row>
    <row r="3347" spans="2:2" ht="17.25">
      <c r="B3347" s="209"/>
    </row>
    <row r="3348" spans="2:2" ht="17.25">
      <c r="B3348" s="209"/>
    </row>
    <row r="3349" spans="2:2" ht="17.25">
      <c r="B3349" s="209"/>
    </row>
    <row r="3350" spans="2:2" ht="17.25">
      <c r="B3350" s="209"/>
    </row>
    <row r="3351" spans="2:2" ht="17.25">
      <c r="B3351" s="209"/>
    </row>
    <row r="3352" spans="2:2" ht="17.25">
      <c r="B3352" s="209"/>
    </row>
    <row r="3353" spans="2:2" ht="17.25">
      <c r="B3353" s="209"/>
    </row>
    <row r="3354" spans="2:2" ht="17.25">
      <c r="B3354" s="209"/>
    </row>
    <row r="3355" spans="2:2" ht="17.25">
      <c r="B3355" s="209"/>
    </row>
    <row r="3356" spans="2:2" ht="17.25">
      <c r="B3356" s="209"/>
    </row>
    <row r="3357" spans="2:2" ht="17.25">
      <c r="B3357" s="209"/>
    </row>
    <row r="3358" spans="2:2" ht="17.25">
      <c r="B3358" s="209"/>
    </row>
    <row r="3359" spans="2:2" ht="17.25">
      <c r="B3359" s="209"/>
    </row>
    <row r="3360" spans="2:2" ht="17.25">
      <c r="B3360" s="209"/>
    </row>
    <row r="3361" spans="2:2" ht="17.25">
      <c r="B3361" s="209"/>
    </row>
    <row r="3362" spans="2:2" ht="17.25">
      <c r="B3362" s="209"/>
    </row>
    <row r="3363" spans="2:2" ht="17.25">
      <c r="B3363" s="209"/>
    </row>
    <row r="3364" spans="2:2" ht="17.25">
      <c r="B3364" s="209"/>
    </row>
    <row r="3365" spans="2:2" ht="17.25">
      <c r="B3365" s="209"/>
    </row>
    <row r="3366" spans="2:2" ht="17.25">
      <c r="B3366" s="209"/>
    </row>
    <row r="3367" spans="2:2" ht="17.25">
      <c r="B3367" s="209"/>
    </row>
    <row r="3368" spans="2:2" ht="17.25">
      <c r="B3368" s="209"/>
    </row>
    <row r="3369" spans="2:2" ht="17.25">
      <c r="B3369" s="209"/>
    </row>
    <row r="3370" spans="2:2" ht="17.25">
      <c r="B3370" s="209"/>
    </row>
    <row r="3371" spans="2:2" ht="17.25">
      <c r="B3371" s="209"/>
    </row>
    <row r="3372" spans="2:2" ht="17.25">
      <c r="B3372" s="209"/>
    </row>
    <row r="3373" spans="2:2" ht="17.25">
      <c r="B3373" s="209"/>
    </row>
    <row r="3374" spans="2:2" ht="17.25">
      <c r="B3374" s="209"/>
    </row>
    <row r="3375" spans="2:2" ht="17.25">
      <c r="B3375" s="209"/>
    </row>
    <row r="3376" spans="2:2" ht="17.25">
      <c r="B3376" s="209"/>
    </row>
    <row r="3377" spans="2:2" ht="17.25">
      <c r="B3377" s="209"/>
    </row>
    <row r="3378" spans="2:2" ht="17.25">
      <c r="B3378" s="209"/>
    </row>
    <row r="3379" spans="2:2" ht="17.25">
      <c r="B3379" s="209"/>
    </row>
    <row r="3380" spans="2:2" ht="17.25">
      <c r="B3380" s="209"/>
    </row>
    <row r="3381" spans="2:2" ht="17.25">
      <c r="B3381" s="209"/>
    </row>
    <row r="3382" spans="2:2" ht="17.25">
      <c r="B3382" s="209"/>
    </row>
    <row r="3383" spans="2:2" ht="17.25">
      <c r="B3383" s="209"/>
    </row>
    <row r="3384" spans="2:2" ht="17.25">
      <c r="B3384" s="209"/>
    </row>
    <row r="3385" spans="2:2" ht="17.25">
      <c r="B3385" s="209"/>
    </row>
    <row r="3386" spans="2:2" ht="17.25">
      <c r="B3386" s="209"/>
    </row>
    <row r="3387" spans="2:2" ht="17.25">
      <c r="B3387" s="209"/>
    </row>
    <row r="3388" spans="2:2" ht="17.25">
      <c r="B3388" s="209"/>
    </row>
    <row r="3389" spans="2:2" ht="17.25">
      <c r="B3389" s="209"/>
    </row>
    <row r="3390" spans="2:2" ht="17.25">
      <c r="B3390" s="209"/>
    </row>
    <row r="3391" spans="2:2" ht="17.25">
      <c r="B3391" s="209"/>
    </row>
    <row r="3392" spans="2:2" ht="17.25">
      <c r="B3392" s="209"/>
    </row>
    <row r="3393" spans="2:2" ht="17.25">
      <c r="B3393" s="209"/>
    </row>
    <row r="3394" spans="2:2" ht="17.25">
      <c r="B3394" s="209"/>
    </row>
    <row r="3395" spans="2:2" ht="17.25">
      <c r="B3395" s="209"/>
    </row>
    <row r="3396" spans="2:2" ht="17.25">
      <c r="B3396" s="209"/>
    </row>
    <row r="3397" spans="2:2" ht="17.25">
      <c r="B3397" s="209"/>
    </row>
    <row r="3398" spans="2:2" ht="17.25">
      <c r="B3398" s="209"/>
    </row>
    <row r="3399" spans="2:2" ht="17.25">
      <c r="B3399" s="209"/>
    </row>
    <row r="3400" spans="2:2" ht="17.25">
      <c r="B3400" s="209"/>
    </row>
    <row r="3401" spans="2:2" ht="17.25">
      <c r="B3401" s="209"/>
    </row>
    <row r="3402" spans="2:2" ht="17.25">
      <c r="B3402" s="209"/>
    </row>
    <row r="3403" spans="2:2" ht="17.25">
      <c r="B3403" s="209"/>
    </row>
    <row r="3404" spans="2:2" ht="17.25">
      <c r="B3404" s="209"/>
    </row>
    <row r="3405" spans="2:2" ht="17.25">
      <c r="B3405" s="209"/>
    </row>
    <row r="3406" spans="2:2" ht="17.25">
      <c r="B3406" s="209"/>
    </row>
    <row r="3407" spans="2:2" ht="17.25">
      <c r="B3407" s="209"/>
    </row>
    <row r="3408" spans="2:2" ht="17.25">
      <c r="B3408" s="209"/>
    </row>
    <row r="3409" spans="2:2" ht="17.25">
      <c r="B3409" s="209"/>
    </row>
    <row r="3410" spans="2:2" ht="17.25">
      <c r="B3410" s="209"/>
    </row>
    <row r="3411" spans="2:2" ht="17.25">
      <c r="B3411" s="209"/>
    </row>
    <row r="3412" spans="2:2" ht="17.25">
      <c r="B3412" s="209"/>
    </row>
    <row r="3413" spans="2:2" ht="17.25">
      <c r="B3413" s="209"/>
    </row>
    <row r="3414" spans="2:2" ht="17.25">
      <c r="B3414" s="209"/>
    </row>
    <row r="3415" spans="2:2" ht="17.25">
      <c r="B3415" s="209"/>
    </row>
    <row r="3416" spans="2:2" ht="17.25">
      <c r="B3416" s="209"/>
    </row>
    <row r="3417" spans="2:2" ht="17.25">
      <c r="B3417" s="209"/>
    </row>
    <row r="3418" spans="2:2" ht="17.25">
      <c r="B3418" s="209"/>
    </row>
    <row r="3419" spans="2:2" ht="17.25">
      <c r="B3419" s="209"/>
    </row>
    <row r="3420" spans="2:2" ht="17.25">
      <c r="B3420" s="209"/>
    </row>
    <row r="3421" spans="2:2" ht="17.25">
      <c r="B3421" s="209"/>
    </row>
    <row r="3422" spans="2:2" ht="17.25">
      <c r="B3422" s="209"/>
    </row>
    <row r="3423" spans="2:2" ht="17.25">
      <c r="B3423" s="209"/>
    </row>
    <row r="3424" spans="2:2" ht="17.25">
      <c r="B3424" s="209"/>
    </row>
    <row r="3425" spans="2:2" ht="17.25">
      <c r="B3425" s="209"/>
    </row>
    <row r="3426" spans="2:2" ht="17.25">
      <c r="B3426" s="209"/>
    </row>
    <row r="3427" spans="2:2" ht="17.25">
      <c r="B3427" s="209"/>
    </row>
    <row r="3428" spans="2:2" ht="17.25">
      <c r="B3428" s="209"/>
    </row>
    <row r="3429" spans="2:2" ht="17.25">
      <c r="B3429" s="209"/>
    </row>
    <row r="3430" spans="2:2" ht="17.25">
      <c r="B3430" s="209"/>
    </row>
    <row r="3431" spans="2:2" ht="17.25">
      <c r="B3431" s="209"/>
    </row>
    <row r="3432" spans="2:2" ht="17.25">
      <c r="B3432" s="209"/>
    </row>
    <row r="3433" spans="2:2" ht="17.25">
      <c r="B3433" s="209"/>
    </row>
    <row r="3434" spans="2:2" ht="17.25">
      <c r="B3434" s="209"/>
    </row>
    <row r="3435" spans="2:2" ht="17.25">
      <c r="B3435" s="209"/>
    </row>
    <row r="3436" spans="2:2" ht="17.25">
      <c r="B3436" s="209"/>
    </row>
    <row r="3437" spans="2:2" ht="17.25">
      <c r="B3437" s="209"/>
    </row>
    <row r="3438" spans="2:2" ht="17.25">
      <c r="B3438" s="209"/>
    </row>
    <row r="3439" spans="2:2" ht="17.25">
      <c r="B3439" s="209"/>
    </row>
    <row r="3440" spans="2:2" ht="17.25">
      <c r="B3440" s="209"/>
    </row>
    <row r="3441" spans="2:2" ht="17.25">
      <c r="B3441" s="209"/>
    </row>
    <row r="3442" spans="2:2" ht="17.25">
      <c r="B3442" s="209"/>
    </row>
    <row r="3443" spans="2:2" ht="17.25">
      <c r="B3443" s="209"/>
    </row>
    <row r="3444" spans="2:2" ht="17.25">
      <c r="B3444" s="209"/>
    </row>
    <row r="3445" spans="2:2" ht="17.25">
      <c r="B3445" s="209"/>
    </row>
    <row r="3446" spans="2:2" ht="17.25">
      <c r="B3446" s="209"/>
    </row>
    <row r="3447" spans="2:2" ht="17.25">
      <c r="B3447" s="209"/>
    </row>
    <row r="3448" spans="2:2" ht="17.25">
      <c r="B3448" s="209"/>
    </row>
    <row r="3449" spans="2:2" ht="17.25">
      <c r="B3449" s="209"/>
    </row>
    <row r="3450" spans="2:2" ht="17.25">
      <c r="B3450" s="209"/>
    </row>
    <row r="3451" spans="2:2" ht="17.25">
      <c r="B3451" s="209"/>
    </row>
    <row r="3452" spans="2:2" ht="17.25">
      <c r="B3452" s="209"/>
    </row>
    <row r="3453" spans="2:2" ht="17.25">
      <c r="B3453" s="209"/>
    </row>
    <row r="3454" spans="2:2" ht="17.25">
      <c r="B3454" s="209"/>
    </row>
    <row r="3455" spans="2:2" ht="17.25">
      <c r="B3455" s="209"/>
    </row>
    <row r="3456" spans="2:2" ht="17.25">
      <c r="B3456" s="209"/>
    </row>
    <row r="3457" spans="2:2" ht="17.25">
      <c r="B3457" s="209"/>
    </row>
    <row r="3458" spans="2:2" ht="17.25">
      <c r="B3458" s="209"/>
    </row>
    <row r="3459" spans="2:2" ht="17.25">
      <c r="B3459" s="209"/>
    </row>
    <row r="3460" spans="2:2" ht="17.25">
      <c r="B3460" s="209"/>
    </row>
    <row r="3461" spans="2:2" ht="17.25">
      <c r="B3461" s="209"/>
    </row>
    <row r="3462" spans="2:2" ht="17.25">
      <c r="B3462" s="209"/>
    </row>
    <row r="3463" spans="2:2" ht="17.25">
      <c r="B3463" s="209"/>
    </row>
    <row r="3464" spans="2:2" ht="17.25">
      <c r="B3464" s="209"/>
    </row>
    <row r="3465" spans="2:2" ht="17.25">
      <c r="B3465" s="209"/>
    </row>
    <row r="3466" spans="2:2" ht="17.25">
      <c r="B3466" s="209"/>
    </row>
    <row r="3467" spans="2:2" ht="17.25">
      <c r="B3467" s="209"/>
    </row>
    <row r="3468" spans="2:2" ht="17.25">
      <c r="B3468" s="209"/>
    </row>
    <row r="3469" spans="2:2" ht="17.25">
      <c r="B3469" s="209"/>
    </row>
    <row r="3470" spans="2:2" ht="17.25">
      <c r="B3470" s="209"/>
    </row>
    <row r="3471" spans="2:2" ht="17.25">
      <c r="B3471" s="209"/>
    </row>
    <row r="3472" spans="2:2" ht="17.25">
      <c r="B3472" s="209"/>
    </row>
    <row r="3473" spans="2:2" ht="17.25">
      <c r="B3473" s="209"/>
    </row>
    <row r="3474" spans="2:2" ht="17.25">
      <c r="B3474" s="209"/>
    </row>
    <row r="3475" spans="2:2" ht="17.25">
      <c r="B3475" s="209"/>
    </row>
    <row r="3476" spans="2:2" ht="17.25">
      <c r="B3476" s="209"/>
    </row>
    <row r="3477" spans="2:2" ht="17.25">
      <c r="B3477" s="209"/>
    </row>
    <row r="3478" spans="2:2" ht="17.25">
      <c r="B3478" s="209"/>
    </row>
    <row r="3479" spans="2:2" ht="17.25">
      <c r="B3479" s="209"/>
    </row>
    <row r="3480" spans="2:2" ht="17.25">
      <c r="B3480" s="209"/>
    </row>
    <row r="3481" spans="2:2" ht="17.25">
      <c r="B3481" s="209"/>
    </row>
    <row r="3482" spans="2:2" ht="17.25">
      <c r="B3482" s="209"/>
    </row>
    <row r="3483" spans="2:2" ht="17.25">
      <c r="B3483" s="209"/>
    </row>
    <row r="3484" spans="2:2" ht="17.25">
      <c r="B3484" s="209"/>
    </row>
    <row r="3485" spans="2:2" ht="17.25">
      <c r="B3485" s="209"/>
    </row>
    <row r="3486" spans="2:2" ht="17.25">
      <c r="B3486" s="209"/>
    </row>
    <row r="3487" spans="2:2" ht="17.25">
      <c r="B3487" s="209"/>
    </row>
    <row r="3488" spans="2:2" ht="17.25">
      <c r="B3488" s="209"/>
    </row>
    <row r="3489" spans="2:2" ht="17.25">
      <c r="B3489" s="209"/>
    </row>
    <row r="3490" spans="2:2" ht="17.25">
      <c r="B3490" s="209"/>
    </row>
    <row r="3491" spans="2:2" ht="17.25">
      <c r="B3491" s="209"/>
    </row>
    <row r="3492" spans="2:2" ht="17.25">
      <c r="B3492" s="209"/>
    </row>
    <row r="3493" spans="2:2" ht="17.25">
      <c r="B3493" s="209"/>
    </row>
    <row r="3494" spans="2:2" ht="17.25">
      <c r="B3494" s="209"/>
    </row>
    <row r="3495" spans="2:2" ht="17.25">
      <c r="B3495" s="209"/>
    </row>
    <row r="3496" spans="2:2" ht="17.25">
      <c r="B3496" s="209"/>
    </row>
    <row r="3497" spans="2:2" ht="17.25">
      <c r="B3497" s="209"/>
    </row>
    <row r="3498" spans="2:2" ht="17.25">
      <c r="B3498" s="209"/>
    </row>
    <row r="3499" spans="2:2" ht="17.25">
      <c r="B3499" s="209"/>
    </row>
    <row r="3500" spans="2:2" ht="17.25">
      <c r="B3500" s="209"/>
    </row>
    <row r="3501" spans="2:2" ht="17.25">
      <c r="B3501" s="209"/>
    </row>
    <row r="3502" spans="2:2" ht="17.25">
      <c r="B3502" s="209"/>
    </row>
    <row r="3503" spans="2:2" ht="17.25">
      <c r="B3503" s="209"/>
    </row>
    <row r="3504" spans="2:2" ht="17.25">
      <c r="B3504" s="209"/>
    </row>
    <row r="3505" spans="2:2" ht="17.25">
      <c r="B3505" s="209"/>
    </row>
    <row r="3506" spans="2:2" ht="17.25">
      <c r="B3506" s="209"/>
    </row>
    <row r="3507" spans="2:2" ht="17.25">
      <c r="B3507" s="209"/>
    </row>
    <row r="3508" spans="2:2" ht="17.25">
      <c r="B3508" s="209"/>
    </row>
    <row r="3509" spans="2:2" ht="17.25">
      <c r="B3509" s="209"/>
    </row>
    <row r="3510" spans="2:2" ht="17.25">
      <c r="B3510" s="209"/>
    </row>
    <row r="3511" spans="2:2" ht="17.25">
      <c r="B3511" s="209"/>
    </row>
    <row r="3512" spans="2:2" ht="17.25">
      <c r="B3512" s="209"/>
    </row>
    <row r="3513" spans="2:2" ht="17.25">
      <c r="B3513" s="209"/>
    </row>
    <row r="3514" spans="2:2" ht="17.25">
      <c r="B3514" s="209"/>
    </row>
    <row r="3515" spans="2:2" ht="17.25">
      <c r="B3515" s="209"/>
    </row>
    <row r="3516" spans="2:2" ht="17.25">
      <c r="B3516" s="209"/>
    </row>
    <row r="3517" spans="2:2" ht="17.25">
      <c r="B3517" s="209"/>
    </row>
    <row r="3518" spans="2:2" ht="17.25">
      <c r="B3518" s="209"/>
    </row>
    <row r="3519" spans="2:2" ht="17.25">
      <c r="B3519" s="209"/>
    </row>
    <row r="3520" spans="2:2" ht="17.25">
      <c r="B3520" s="209"/>
    </row>
    <row r="3521" spans="2:2" ht="17.25">
      <c r="B3521" s="209"/>
    </row>
    <row r="3522" spans="2:2" ht="17.25">
      <c r="B3522" s="209"/>
    </row>
    <row r="3523" spans="2:2" ht="17.25">
      <c r="B3523" s="209"/>
    </row>
    <row r="3524" spans="2:2" ht="17.25">
      <c r="B3524" s="209"/>
    </row>
    <row r="3525" spans="2:2" ht="17.25">
      <c r="B3525" s="209"/>
    </row>
    <row r="3526" spans="2:2" ht="17.25">
      <c r="B3526" s="209"/>
    </row>
    <row r="3527" spans="2:2" ht="17.25">
      <c r="B3527" s="209"/>
    </row>
    <row r="3528" spans="2:2" ht="17.25">
      <c r="B3528" s="209"/>
    </row>
    <row r="3529" spans="2:2" ht="17.25">
      <c r="B3529" s="209"/>
    </row>
    <row r="3530" spans="2:2" ht="17.25">
      <c r="B3530" s="209"/>
    </row>
    <row r="3531" spans="2:2" ht="17.25">
      <c r="B3531" s="209"/>
    </row>
    <row r="3532" spans="2:2" ht="17.25">
      <c r="B3532" s="209"/>
    </row>
    <row r="3533" spans="2:2" ht="17.25">
      <c r="B3533" s="209"/>
    </row>
    <row r="3534" spans="2:2" ht="17.25">
      <c r="B3534" s="209"/>
    </row>
    <row r="3535" spans="2:2" ht="17.25">
      <c r="B3535" s="209"/>
    </row>
    <row r="3536" spans="2:2" ht="17.25">
      <c r="B3536" s="209"/>
    </row>
    <row r="3537" spans="2:2" ht="17.25">
      <c r="B3537" s="209"/>
    </row>
    <row r="3538" spans="2:2" ht="17.25">
      <c r="B3538" s="209"/>
    </row>
    <row r="3539" spans="2:2" ht="17.25">
      <c r="B3539" s="209"/>
    </row>
    <row r="3540" spans="2:2" ht="17.25">
      <c r="B3540" s="209"/>
    </row>
    <row r="3541" spans="2:2" ht="17.25">
      <c r="B3541" s="209"/>
    </row>
    <row r="3542" spans="2:2" ht="17.25">
      <c r="B3542" s="209"/>
    </row>
    <row r="3543" spans="2:2" ht="17.25">
      <c r="B3543" s="209"/>
    </row>
    <row r="3544" spans="2:2" ht="17.25">
      <c r="B3544" s="209"/>
    </row>
    <row r="3545" spans="2:2" ht="17.25">
      <c r="B3545" s="209"/>
    </row>
    <row r="3546" spans="2:2" ht="17.25">
      <c r="B3546" s="209"/>
    </row>
    <row r="3547" spans="2:2" ht="17.25">
      <c r="B3547" s="209"/>
    </row>
    <row r="3548" spans="2:2" ht="17.25">
      <c r="B3548" s="209"/>
    </row>
    <row r="3549" spans="2:2" ht="17.25">
      <c r="B3549" s="209"/>
    </row>
    <row r="3550" spans="2:2" ht="17.25">
      <c r="B3550" s="209"/>
    </row>
    <row r="3551" spans="2:2" ht="17.25">
      <c r="B3551" s="209"/>
    </row>
    <row r="3552" spans="2:2" ht="17.25">
      <c r="B3552" s="209"/>
    </row>
    <row r="3553" spans="2:2" ht="17.25">
      <c r="B3553" s="209"/>
    </row>
    <row r="3554" spans="2:2" ht="17.25">
      <c r="B3554" s="209"/>
    </row>
    <row r="3555" spans="2:2" ht="17.25">
      <c r="B3555" s="209"/>
    </row>
    <row r="3556" spans="2:2" ht="17.25">
      <c r="B3556" s="209"/>
    </row>
    <row r="3557" spans="2:2" ht="17.25">
      <c r="B3557" s="209"/>
    </row>
    <row r="3558" spans="2:2" ht="17.25">
      <c r="B3558" s="209"/>
    </row>
    <row r="3559" spans="2:2" ht="17.25">
      <c r="B3559" s="209"/>
    </row>
    <row r="3560" spans="2:2" ht="17.25">
      <c r="B3560" s="209"/>
    </row>
    <row r="3561" spans="2:2" ht="17.25">
      <c r="B3561" s="209"/>
    </row>
    <row r="3562" spans="2:2" ht="17.25">
      <c r="B3562" s="209"/>
    </row>
    <row r="3563" spans="2:2" ht="17.25">
      <c r="B3563" s="209"/>
    </row>
    <row r="3564" spans="2:2" ht="17.25">
      <c r="B3564" s="209"/>
    </row>
    <row r="3565" spans="2:2" ht="17.25">
      <c r="B3565" s="209"/>
    </row>
    <row r="3566" spans="2:2" ht="17.25">
      <c r="B3566" s="209"/>
    </row>
    <row r="3567" spans="2:2" ht="17.25">
      <c r="B3567" s="209"/>
    </row>
    <row r="3568" spans="2:2" ht="17.25">
      <c r="B3568" s="209"/>
    </row>
    <row r="3569" spans="2:2" ht="17.25">
      <c r="B3569" s="209"/>
    </row>
    <row r="3570" spans="2:2" ht="17.25">
      <c r="B3570" s="209"/>
    </row>
    <row r="3571" spans="2:2" ht="17.25">
      <c r="B3571" s="209"/>
    </row>
    <row r="3572" spans="2:2" ht="17.25">
      <c r="B3572" s="209"/>
    </row>
    <row r="3573" spans="2:2" ht="17.25">
      <c r="B3573" s="209"/>
    </row>
    <row r="3574" spans="2:2" ht="17.25">
      <c r="B3574" s="209"/>
    </row>
    <row r="3575" spans="2:2" ht="17.25">
      <c r="B3575" s="209"/>
    </row>
    <row r="3576" spans="2:2" ht="17.25">
      <c r="B3576" s="209"/>
    </row>
    <row r="3577" spans="2:2" ht="17.25">
      <c r="B3577" s="209"/>
    </row>
    <row r="3578" spans="2:2" ht="17.25">
      <c r="B3578" s="209"/>
    </row>
    <row r="3579" spans="2:2" ht="17.25">
      <c r="B3579" s="209"/>
    </row>
    <row r="3580" spans="2:2" ht="17.25">
      <c r="B3580" s="209"/>
    </row>
    <row r="3581" spans="2:2" ht="17.25">
      <c r="B3581" s="209"/>
    </row>
    <row r="3582" spans="2:2" ht="17.25">
      <c r="B3582" s="209"/>
    </row>
    <row r="3583" spans="2:2" ht="17.25">
      <c r="B3583" s="209"/>
    </row>
    <row r="3584" spans="2:2" ht="17.25">
      <c r="B3584" s="209"/>
    </row>
    <row r="3585" spans="2:2" ht="17.25">
      <c r="B3585" s="209"/>
    </row>
    <row r="3586" spans="2:2" ht="17.25">
      <c r="B3586" s="209"/>
    </row>
    <row r="3587" spans="2:2" ht="17.25">
      <c r="B3587" s="209"/>
    </row>
    <row r="3588" spans="2:2" ht="17.25">
      <c r="B3588" s="209"/>
    </row>
    <row r="3589" spans="2:2" ht="17.25">
      <c r="B3589" s="209"/>
    </row>
    <row r="3590" spans="2:2" ht="17.25">
      <c r="B3590" s="209"/>
    </row>
    <row r="3591" spans="2:2" ht="17.25">
      <c r="B3591" s="209"/>
    </row>
    <row r="3592" spans="2:2" ht="17.25">
      <c r="B3592" s="209"/>
    </row>
    <row r="3593" spans="2:2" ht="17.25">
      <c r="B3593" s="209"/>
    </row>
    <row r="3594" spans="2:2" ht="17.25">
      <c r="B3594" s="209"/>
    </row>
    <row r="3595" spans="2:2" ht="17.25">
      <c r="B3595" s="209"/>
    </row>
    <row r="3596" spans="2:2" ht="17.25">
      <c r="B3596" s="209"/>
    </row>
    <row r="3597" spans="2:2" ht="17.25">
      <c r="B3597" s="209"/>
    </row>
    <row r="3598" spans="2:2" ht="17.25">
      <c r="B3598" s="209"/>
    </row>
    <row r="3599" spans="2:2" ht="17.25">
      <c r="B3599" s="209"/>
    </row>
    <row r="3600" spans="2:2" ht="17.25">
      <c r="B3600" s="209"/>
    </row>
    <row r="3601" spans="2:2" ht="17.25">
      <c r="B3601" s="209"/>
    </row>
    <row r="3602" spans="2:2" ht="17.25">
      <c r="B3602" s="209"/>
    </row>
    <row r="3603" spans="2:2" ht="17.25">
      <c r="B3603" s="209"/>
    </row>
    <row r="3604" spans="2:2" ht="17.25">
      <c r="B3604" s="209"/>
    </row>
    <row r="3605" spans="2:2" ht="17.25">
      <c r="B3605" s="209"/>
    </row>
    <row r="3606" spans="2:2" ht="17.25">
      <c r="B3606" s="209"/>
    </row>
    <row r="3607" spans="2:2" ht="17.25">
      <c r="B3607" s="209"/>
    </row>
    <row r="3608" spans="2:2" ht="17.25">
      <c r="B3608" s="209"/>
    </row>
    <row r="3609" spans="2:2" ht="17.25">
      <c r="B3609" s="209"/>
    </row>
    <row r="3610" spans="2:2" ht="17.25">
      <c r="B3610" s="209"/>
    </row>
    <row r="3611" spans="2:2" ht="17.25">
      <c r="B3611" s="209"/>
    </row>
    <row r="3612" spans="2:2" ht="17.25">
      <c r="B3612" s="209"/>
    </row>
    <row r="3613" spans="2:2" ht="17.25">
      <c r="B3613" s="209"/>
    </row>
    <row r="3614" spans="2:2" ht="17.25">
      <c r="B3614" s="209"/>
    </row>
    <row r="3615" spans="2:2" ht="17.25">
      <c r="B3615" s="209"/>
    </row>
    <row r="3616" spans="2:2" ht="17.25">
      <c r="B3616" s="209"/>
    </row>
    <row r="3617" spans="2:2" ht="17.25">
      <c r="B3617" s="209"/>
    </row>
    <row r="3618" spans="2:2" ht="17.25">
      <c r="B3618" s="209"/>
    </row>
    <row r="3619" spans="2:2" ht="17.25">
      <c r="B3619" s="209"/>
    </row>
    <row r="3620" spans="2:2" ht="17.25">
      <c r="B3620" s="209"/>
    </row>
    <row r="3621" spans="2:2" ht="17.25">
      <c r="B3621" s="209"/>
    </row>
    <row r="3622" spans="2:2" ht="17.25">
      <c r="B3622" s="209"/>
    </row>
    <row r="3623" spans="2:2" ht="17.25">
      <c r="B3623" s="209"/>
    </row>
    <row r="3624" spans="2:2" ht="17.25">
      <c r="B3624" s="209"/>
    </row>
    <row r="3625" spans="2:2" ht="17.25">
      <c r="B3625" s="209"/>
    </row>
    <row r="3626" spans="2:2" ht="17.25">
      <c r="B3626" s="209"/>
    </row>
    <row r="3627" spans="2:2" ht="17.25">
      <c r="B3627" s="209"/>
    </row>
    <row r="3628" spans="2:2" ht="17.25">
      <c r="B3628" s="209"/>
    </row>
    <row r="3629" spans="2:2" ht="17.25">
      <c r="B3629" s="209"/>
    </row>
    <row r="3630" spans="2:2" ht="17.25">
      <c r="B3630" s="209"/>
    </row>
    <row r="3631" spans="2:2" ht="17.25">
      <c r="B3631" s="209"/>
    </row>
    <row r="3632" spans="2:2" ht="17.25">
      <c r="B3632" s="209"/>
    </row>
    <row r="3633" spans="2:2" ht="17.25">
      <c r="B3633" s="209"/>
    </row>
    <row r="3634" spans="2:2" ht="17.25">
      <c r="B3634" s="209"/>
    </row>
    <row r="3635" spans="2:2" ht="17.25">
      <c r="B3635" s="209"/>
    </row>
    <row r="3636" spans="2:2" ht="17.25">
      <c r="B3636" s="209"/>
    </row>
    <row r="3637" spans="2:2" ht="17.25">
      <c r="B3637" s="209"/>
    </row>
    <row r="3638" spans="2:2" ht="17.25">
      <c r="B3638" s="209"/>
    </row>
    <row r="3639" spans="2:2" ht="17.25">
      <c r="B3639" s="209"/>
    </row>
    <row r="3640" spans="2:2" ht="17.25">
      <c r="B3640" s="209"/>
    </row>
    <row r="3641" spans="2:2" ht="17.25">
      <c r="B3641" s="209"/>
    </row>
    <row r="3642" spans="2:2" ht="17.25">
      <c r="B3642" s="209"/>
    </row>
    <row r="3643" spans="2:2" ht="17.25">
      <c r="B3643" s="209"/>
    </row>
    <row r="3644" spans="2:2" ht="17.25">
      <c r="B3644" s="209"/>
    </row>
    <row r="3645" spans="2:2" ht="17.25">
      <c r="B3645" s="209"/>
    </row>
    <row r="3646" spans="2:2" ht="17.25">
      <c r="B3646" s="209"/>
    </row>
    <row r="3647" spans="2:2" ht="17.25">
      <c r="B3647" s="209"/>
    </row>
    <row r="3648" spans="2:2" ht="17.25">
      <c r="B3648" s="209"/>
    </row>
    <row r="3649" spans="2:2" ht="17.25">
      <c r="B3649" s="209"/>
    </row>
    <row r="3650" spans="2:2" ht="17.25">
      <c r="B3650" s="209"/>
    </row>
    <row r="3651" spans="2:2" ht="17.25">
      <c r="B3651" s="209"/>
    </row>
    <row r="3652" spans="2:2" ht="17.25">
      <c r="B3652" s="209"/>
    </row>
    <row r="3653" spans="2:2" ht="17.25">
      <c r="B3653" s="209"/>
    </row>
    <row r="3654" spans="2:2" ht="17.25">
      <c r="B3654" s="209"/>
    </row>
    <row r="3655" spans="2:2" ht="17.25">
      <c r="B3655" s="209"/>
    </row>
    <row r="3656" spans="2:2" ht="17.25">
      <c r="B3656" s="209"/>
    </row>
    <row r="3657" spans="2:2" ht="17.25">
      <c r="B3657" s="209"/>
    </row>
    <row r="3658" spans="2:2" ht="17.25">
      <c r="B3658" s="209"/>
    </row>
    <row r="3659" spans="2:2" ht="17.25">
      <c r="B3659" s="209"/>
    </row>
    <row r="3660" spans="2:2" ht="17.25">
      <c r="B3660" s="209"/>
    </row>
    <row r="3661" spans="2:2" ht="17.25">
      <c r="B3661" s="209"/>
    </row>
    <row r="3662" spans="2:2" ht="17.25">
      <c r="B3662" s="209"/>
    </row>
    <row r="3663" spans="2:2" ht="17.25">
      <c r="B3663" s="209"/>
    </row>
    <row r="3664" spans="2:2" ht="17.25">
      <c r="B3664" s="209"/>
    </row>
    <row r="3665" spans="2:2" ht="17.25">
      <c r="B3665" s="209"/>
    </row>
    <row r="3666" spans="2:2" ht="17.25">
      <c r="B3666" s="209"/>
    </row>
    <row r="3667" spans="2:2" ht="17.25">
      <c r="B3667" s="209"/>
    </row>
    <row r="3668" spans="2:2" ht="17.25">
      <c r="B3668" s="209"/>
    </row>
    <row r="3669" spans="2:2" ht="17.25">
      <c r="B3669" s="209"/>
    </row>
    <row r="3670" spans="2:2" ht="17.25">
      <c r="B3670" s="209"/>
    </row>
    <row r="3671" spans="2:2" ht="17.25">
      <c r="B3671" s="209"/>
    </row>
    <row r="3672" spans="2:2" ht="17.25">
      <c r="B3672" s="209"/>
    </row>
    <row r="3673" spans="2:2" ht="17.25">
      <c r="B3673" s="209"/>
    </row>
    <row r="3674" spans="2:2" ht="17.25">
      <c r="B3674" s="209"/>
    </row>
    <row r="3675" spans="2:2" ht="17.25">
      <c r="B3675" s="209"/>
    </row>
    <row r="3676" spans="2:2" ht="17.25">
      <c r="B3676" s="209"/>
    </row>
    <row r="3677" spans="2:2" ht="17.25">
      <c r="B3677" s="209"/>
    </row>
    <row r="3678" spans="2:2" ht="17.25">
      <c r="B3678" s="209"/>
    </row>
    <row r="3679" spans="2:2" ht="17.25">
      <c r="B3679" s="209"/>
    </row>
    <row r="3680" spans="2:2" ht="17.25">
      <c r="B3680" s="209"/>
    </row>
    <row r="3681" spans="2:2" ht="17.25">
      <c r="B3681" s="209"/>
    </row>
    <row r="3682" spans="2:2" ht="17.25">
      <c r="B3682" s="209"/>
    </row>
    <row r="3683" spans="2:2" ht="17.25">
      <c r="B3683" s="209"/>
    </row>
    <row r="3684" spans="2:2" ht="17.25">
      <c r="B3684" s="209"/>
    </row>
    <row r="3685" spans="2:2" ht="17.25">
      <c r="B3685" s="209"/>
    </row>
    <row r="3686" spans="2:2" ht="17.25">
      <c r="B3686" s="209"/>
    </row>
    <row r="3687" spans="2:2" ht="17.25">
      <c r="B3687" s="209"/>
    </row>
    <row r="3688" spans="2:2" ht="17.25">
      <c r="B3688" s="209"/>
    </row>
    <row r="3689" spans="2:2" ht="17.25">
      <c r="B3689" s="209"/>
    </row>
    <row r="3690" spans="2:2" ht="17.25">
      <c r="B3690" s="209"/>
    </row>
    <row r="3691" spans="2:2" ht="17.25">
      <c r="B3691" s="209"/>
    </row>
    <row r="3692" spans="2:2" ht="17.25">
      <c r="B3692" s="209"/>
    </row>
    <row r="3693" spans="2:2" ht="17.25">
      <c r="B3693" s="209"/>
    </row>
    <row r="3694" spans="2:2" ht="17.25">
      <c r="B3694" s="209"/>
    </row>
    <row r="3695" spans="2:2" ht="17.25">
      <c r="B3695" s="209"/>
    </row>
    <row r="3696" spans="2:2" ht="17.25">
      <c r="B3696" s="209"/>
    </row>
    <row r="3697" spans="2:2" ht="17.25">
      <c r="B3697" s="209"/>
    </row>
    <row r="3698" spans="2:2" ht="17.25">
      <c r="B3698" s="209"/>
    </row>
    <row r="3699" spans="2:2" ht="17.25">
      <c r="B3699" s="209"/>
    </row>
    <row r="3700" spans="2:2" ht="17.25">
      <c r="B3700" s="209"/>
    </row>
    <row r="3701" spans="2:2" ht="17.25">
      <c r="B3701" s="209"/>
    </row>
    <row r="3702" spans="2:2" ht="17.25">
      <c r="B3702" s="209"/>
    </row>
    <row r="3703" spans="2:2" ht="17.25">
      <c r="B3703" s="209"/>
    </row>
    <row r="3704" spans="2:2" ht="17.25">
      <c r="B3704" s="209"/>
    </row>
    <row r="3705" spans="2:2" ht="17.25">
      <c r="B3705" s="209"/>
    </row>
    <row r="3706" spans="2:2" ht="17.25">
      <c r="B3706" s="209"/>
    </row>
    <row r="3707" spans="2:2" ht="17.25">
      <c r="B3707" s="209"/>
    </row>
    <row r="3708" spans="2:2" ht="17.25">
      <c r="B3708" s="209"/>
    </row>
    <row r="3709" spans="2:2" ht="17.25">
      <c r="B3709" s="209"/>
    </row>
    <row r="3710" spans="2:2" ht="17.25">
      <c r="B3710" s="209"/>
    </row>
    <row r="3711" spans="2:2" ht="17.25">
      <c r="B3711" s="209"/>
    </row>
    <row r="3712" spans="2:2" ht="17.25">
      <c r="B3712" s="209"/>
    </row>
    <row r="3713" spans="2:2" ht="17.25">
      <c r="B3713" s="209"/>
    </row>
    <row r="3714" spans="2:2" ht="17.25">
      <c r="B3714" s="209"/>
    </row>
    <row r="3715" spans="2:2" ht="17.25">
      <c r="B3715" s="209"/>
    </row>
    <row r="3716" spans="2:2" ht="17.25">
      <c r="B3716" s="209"/>
    </row>
    <row r="3717" spans="2:2" ht="17.25">
      <c r="B3717" s="209"/>
    </row>
    <row r="3718" spans="2:2" ht="17.25">
      <c r="B3718" s="209"/>
    </row>
    <row r="3719" spans="2:2" ht="17.25">
      <c r="B3719" s="209"/>
    </row>
    <row r="3720" spans="2:2" ht="17.25">
      <c r="B3720" s="209"/>
    </row>
    <row r="3721" spans="2:2" ht="17.25">
      <c r="B3721" s="209"/>
    </row>
    <row r="3722" spans="2:2" ht="17.25">
      <c r="B3722" s="209"/>
    </row>
    <row r="3723" spans="2:2" ht="17.25">
      <c r="B3723" s="209"/>
    </row>
    <row r="3724" spans="2:2" ht="17.25">
      <c r="B3724" s="209"/>
    </row>
    <row r="3725" spans="2:2" ht="17.25">
      <c r="B3725" s="209"/>
    </row>
    <row r="3726" spans="2:2" ht="17.25">
      <c r="B3726" s="209"/>
    </row>
    <row r="3727" spans="2:2" ht="17.25">
      <c r="B3727" s="209"/>
    </row>
    <row r="3728" spans="2:2" ht="17.25">
      <c r="B3728" s="209"/>
    </row>
    <row r="3729" spans="2:2" ht="17.25">
      <c r="B3729" s="209"/>
    </row>
    <row r="3730" spans="2:2" ht="17.25">
      <c r="B3730" s="209"/>
    </row>
    <row r="3731" spans="2:2" ht="17.25">
      <c r="B3731" s="209"/>
    </row>
    <row r="3732" spans="2:2" ht="17.25">
      <c r="B3732" s="209"/>
    </row>
    <row r="3733" spans="2:2" ht="17.25">
      <c r="B3733" s="209"/>
    </row>
    <row r="3734" spans="2:2" ht="17.25">
      <c r="B3734" s="209"/>
    </row>
    <row r="3735" spans="2:2" ht="17.25">
      <c r="B3735" s="209"/>
    </row>
    <row r="3736" spans="2:2" ht="17.25">
      <c r="B3736" s="209"/>
    </row>
    <row r="3737" spans="2:2" ht="17.25">
      <c r="B3737" s="209"/>
    </row>
    <row r="3738" spans="2:2" ht="17.25">
      <c r="B3738" s="209"/>
    </row>
    <row r="3739" spans="2:2" ht="17.25">
      <c r="B3739" s="209"/>
    </row>
    <row r="3740" spans="2:2" ht="17.25">
      <c r="B3740" s="209"/>
    </row>
    <row r="3741" spans="2:2" ht="17.25">
      <c r="B3741" s="209"/>
    </row>
    <row r="3742" spans="2:2" ht="17.25">
      <c r="B3742" s="209"/>
    </row>
    <row r="3743" spans="2:2" ht="17.25">
      <c r="B3743" s="209"/>
    </row>
    <row r="3744" spans="2:2" ht="17.25">
      <c r="B3744" s="209"/>
    </row>
    <row r="3745" spans="2:2" ht="17.25">
      <c r="B3745" s="209"/>
    </row>
    <row r="3746" spans="2:2" ht="17.25">
      <c r="B3746" s="209"/>
    </row>
    <row r="3747" spans="2:2" ht="17.25">
      <c r="B3747" s="209"/>
    </row>
    <row r="3748" spans="2:2" ht="17.25">
      <c r="B3748" s="209"/>
    </row>
    <row r="3749" spans="2:2" ht="17.25">
      <c r="B3749" s="209"/>
    </row>
    <row r="3750" spans="2:2" ht="17.25">
      <c r="B3750" s="209"/>
    </row>
    <row r="3751" spans="2:2" ht="17.25">
      <c r="B3751" s="209"/>
    </row>
    <row r="3752" spans="2:2" ht="17.25">
      <c r="B3752" s="209"/>
    </row>
    <row r="3753" spans="2:2" ht="17.25">
      <c r="B3753" s="209"/>
    </row>
    <row r="3754" spans="2:2" ht="17.25">
      <c r="B3754" s="209"/>
    </row>
    <row r="3755" spans="2:2" ht="17.25">
      <c r="B3755" s="209"/>
    </row>
    <row r="3756" spans="2:2" ht="17.25">
      <c r="B3756" s="209"/>
    </row>
    <row r="3757" spans="2:2" ht="17.25">
      <c r="B3757" s="209"/>
    </row>
    <row r="3758" spans="2:2" ht="17.25">
      <c r="B3758" s="209"/>
    </row>
    <row r="3759" spans="2:2" ht="17.25">
      <c r="B3759" s="209"/>
    </row>
    <row r="3760" spans="2:2" ht="17.25">
      <c r="B3760" s="209"/>
    </row>
    <row r="3761" spans="2:2" ht="17.25">
      <c r="B3761" s="209"/>
    </row>
    <row r="3762" spans="2:2" ht="17.25">
      <c r="B3762" s="209"/>
    </row>
    <row r="3763" spans="2:2" ht="17.25">
      <c r="B3763" s="209"/>
    </row>
    <row r="3764" spans="2:2" ht="17.25">
      <c r="B3764" s="209"/>
    </row>
    <row r="3765" spans="2:2" ht="17.25">
      <c r="B3765" s="209"/>
    </row>
    <row r="3766" spans="2:2" ht="17.25">
      <c r="B3766" s="209"/>
    </row>
    <row r="3767" spans="2:2" ht="17.25">
      <c r="B3767" s="209"/>
    </row>
    <row r="3768" spans="2:2" ht="17.25">
      <c r="B3768" s="209"/>
    </row>
    <row r="3769" spans="2:2" ht="17.25">
      <c r="B3769" s="209"/>
    </row>
    <row r="3770" spans="2:2" ht="17.25">
      <c r="B3770" s="209"/>
    </row>
    <row r="3771" spans="2:2" ht="17.25">
      <c r="B3771" s="209"/>
    </row>
    <row r="3772" spans="2:2" ht="17.25">
      <c r="B3772" s="209"/>
    </row>
    <row r="3773" spans="2:2" ht="17.25">
      <c r="B3773" s="209"/>
    </row>
    <row r="3774" spans="2:2" ht="17.25">
      <c r="B3774" s="209"/>
    </row>
    <row r="3775" spans="2:2" ht="17.25">
      <c r="B3775" s="209"/>
    </row>
    <row r="3776" spans="2:2" ht="17.25">
      <c r="B3776" s="209"/>
    </row>
    <row r="3777" spans="2:2" ht="17.25">
      <c r="B3777" s="209"/>
    </row>
    <row r="3778" spans="2:2" ht="17.25">
      <c r="B3778" s="209"/>
    </row>
    <row r="3779" spans="2:2" ht="17.25">
      <c r="B3779" s="209"/>
    </row>
    <row r="3780" spans="2:2" ht="17.25">
      <c r="B3780" s="209"/>
    </row>
    <row r="3781" spans="2:2" ht="17.25">
      <c r="B3781" s="209"/>
    </row>
    <row r="3782" spans="2:2" ht="17.25">
      <c r="B3782" s="209"/>
    </row>
    <row r="3783" spans="2:2" ht="17.25">
      <c r="B3783" s="209"/>
    </row>
    <row r="3784" spans="2:2" ht="17.25">
      <c r="B3784" s="209"/>
    </row>
    <row r="3785" spans="2:2" ht="17.25">
      <c r="B3785" s="209"/>
    </row>
    <row r="3786" spans="2:2" ht="17.25">
      <c r="B3786" s="209"/>
    </row>
    <row r="3787" spans="2:2" ht="17.25">
      <c r="B3787" s="209"/>
    </row>
    <row r="3788" spans="2:2" ht="17.25">
      <c r="B3788" s="209"/>
    </row>
    <row r="3789" spans="2:2" ht="17.25">
      <c r="B3789" s="209"/>
    </row>
    <row r="3790" spans="2:2" ht="17.25">
      <c r="B3790" s="209"/>
    </row>
    <row r="3791" spans="2:2" ht="17.25">
      <c r="B3791" s="209"/>
    </row>
    <row r="3792" spans="2:2" ht="17.25">
      <c r="B3792" s="209"/>
    </row>
    <row r="3793" spans="2:2" ht="17.25">
      <c r="B3793" s="209"/>
    </row>
    <row r="3794" spans="2:2" ht="17.25">
      <c r="B3794" s="209"/>
    </row>
    <row r="3795" spans="2:2" ht="17.25">
      <c r="B3795" s="209"/>
    </row>
    <row r="3796" spans="2:2" ht="17.25">
      <c r="B3796" s="209"/>
    </row>
    <row r="3797" spans="2:2" ht="17.25">
      <c r="B3797" s="209"/>
    </row>
    <row r="3798" spans="2:2" ht="17.25">
      <c r="B3798" s="209"/>
    </row>
    <row r="3799" spans="2:2" ht="17.25">
      <c r="B3799" s="209"/>
    </row>
    <row r="3800" spans="2:2" ht="17.25">
      <c r="B3800" s="209"/>
    </row>
    <row r="3801" spans="2:2" ht="17.25">
      <c r="B3801" s="209"/>
    </row>
    <row r="3802" spans="2:2" ht="17.25">
      <c r="B3802" s="209"/>
    </row>
    <row r="3803" spans="2:2" ht="17.25">
      <c r="B3803" s="209"/>
    </row>
    <row r="3804" spans="2:2" ht="17.25">
      <c r="B3804" s="209"/>
    </row>
    <row r="3805" spans="2:2" ht="17.25">
      <c r="B3805" s="209"/>
    </row>
    <row r="3806" spans="2:2" ht="17.25">
      <c r="B3806" s="209"/>
    </row>
    <row r="3807" spans="2:2" ht="17.25">
      <c r="B3807" s="209"/>
    </row>
    <row r="3808" spans="2:2" ht="17.25">
      <c r="B3808" s="209"/>
    </row>
    <row r="3809" spans="2:2" ht="17.25">
      <c r="B3809" s="209"/>
    </row>
    <row r="3810" spans="2:2" ht="17.25">
      <c r="B3810" s="209"/>
    </row>
    <row r="3811" spans="2:2" ht="17.25">
      <c r="B3811" s="209"/>
    </row>
    <row r="3812" spans="2:2" ht="17.25">
      <c r="B3812" s="209"/>
    </row>
    <row r="3813" spans="2:2" ht="17.25">
      <c r="B3813" s="209"/>
    </row>
    <row r="3814" spans="2:2" ht="17.25">
      <c r="B3814" s="209"/>
    </row>
    <row r="3815" spans="2:2" ht="17.25">
      <c r="B3815" s="209"/>
    </row>
    <row r="3816" spans="2:2" ht="17.25">
      <c r="B3816" s="209"/>
    </row>
    <row r="3817" spans="2:2" ht="17.25">
      <c r="B3817" s="209"/>
    </row>
    <row r="3818" spans="2:2" ht="17.25">
      <c r="B3818" s="209"/>
    </row>
    <row r="3819" spans="2:2" ht="17.25">
      <c r="B3819" s="209"/>
    </row>
    <row r="3820" spans="2:2" ht="17.25">
      <c r="B3820" s="209"/>
    </row>
    <row r="3821" spans="2:2" ht="17.25">
      <c r="B3821" s="209"/>
    </row>
    <row r="3822" spans="2:2" ht="17.25">
      <c r="B3822" s="209"/>
    </row>
    <row r="3823" spans="2:2" ht="17.25">
      <c r="B3823" s="209"/>
    </row>
    <row r="3824" spans="2:2" ht="17.25">
      <c r="B3824" s="209"/>
    </row>
    <row r="3825" spans="2:2" ht="17.25">
      <c r="B3825" s="209"/>
    </row>
    <row r="3826" spans="2:2" ht="17.25">
      <c r="B3826" s="209"/>
    </row>
    <row r="3827" spans="2:2" ht="17.25">
      <c r="B3827" s="209"/>
    </row>
    <row r="3828" spans="2:2" ht="17.25">
      <c r="B3828" s="209"/>
    </row>
    <row r="3829" spans="2:2" ht="17.25">
      <c r="B3829" s="209"/>
    </row>
    <row r="3830" spans="2:2" ht="17.25">
      <c r="B3830" s="209"/>
    </row>
    <row r="3831" spans="2:2" ht="17.25">
      <c r="B3831" s="209"/>
    </row>
    <row r="3832" spans="2:2" ht="17.25">
      <c r="B3832" s="209"/>
    </row>
    <row r="3833" spans="2:2" ht="17.25">
      <c r="B3833" s="209"/>
    </row>
    <row r="3834" spans="2:2" ht="17.25">
      <c r="B3834" s="209"/>
    </row>
    <row r="3835" spans="2:2" ht="17.25">
      <c r="B3835" s="209"/>
    </row>
    <row r="3836" spans="2:2" ht="17.25">
      <c r="B3836" s="209"/>
    </row>
    <row r="3837" spans="2:2" ht="17.25">
      <c r="B3837" s="209"/>
    </row>
    <row r="3838" spans="2:2" ht="17.25">
      <c r="B3838" s="209"/>
    </row>
    <row r="3839" spans="2:2" ht="17.25">
      <c r="B3839" s="209"/>
    </row>
    <row r="3840" spans="2:2" ht="17.25">
      <c r="B3840" s="209"/>
    </row>
    <row r="3841" spans="2:2" ht="17.25">
      <c r="B3841" s="209"/>
    </row>
    <row r="3842" spans="2:2" ht="17.25">
      <c r="B3842" s="209"/>
    </row>
    <row r="3843" spans="2:2" ht="17.25">
      <c r="B3843" s="209"/>
    </row>
    <row r="3844" spans="2:2" ht="17.25">
      <c r="B3844" s="209"/>
    </row>
    <row r="3845" spans="2:2" ht="17.25">
      <c r="B3845" s="209"/>
    </row>
    <row r="3846" spans="2:2" ht="17.25">
      <c r="B3846" s="209"/>
    </row>
    <row r="3847" spans="2:2" ht="17.25">
      <c r="B3847" s="209"/>
    </row>
    <row r="3848" spans="2:2" ht="17.25">
      <c r="B3848" s="209"/>
    </row>
    <row r="3849" spans="2:2" ht="17.25">
      <c r="B3849" s="209"/>
    </row>
    <row r="3850" spans="2:2" ht="17.25">
      <c r="B3850" s="209"/>
    </row>
    <row r="3851" spans="2:2" ht="17.25">
      <c r="B3851" s="209"/>
    </row>
    <row r="3852" spans="2:2" ht="17.25">
      <c r="B3852" s="209"/>
    </row>
    <row r="3853" spans="2:2" ht="17.25">
      <c r="B3853" s="209"/>
    </row>
    <row r="3854" spans="2:2" ht="17.25">
      <c r="B3854" s="209"/>
    </row>
    <row r="3855" spans="2:2" ht="17.25">
      <c r="B3855" s="209"/>
    </row>
    <row r="3856" spans="2:2" ht="17.25">
      <c r="B3856" s="209"/>
    </row>
    <row r="3857" spans="2:2" ht="17.25">
      <c r="B3857" s="209"/>
    </row>
    <row r="3858" spans="2:2" ht="17.25">
      <c r="B3858" s="209"/>
    </row>
    <row r="3859" spans="2:2" ht="17.25">
      <c r="B3859" s="209"/>
    </row>
    <row r="3860" spans="2:2" ht="17.25">
      <c r="B3860" s="209"/>
    </row>
    <row r="3861" spans="2:2" ht="17.25">
      <c r="B3861" s="209"/>
    </row>
    <row r="3862" spans="2:2" ht="17.25">
      <c r="B3862" s="209"/>
    </row>
    <row r="3863" spans="2:2" ht="17.25">
      <c r="B3863" s="209"/>
    </row>
    <row r="3864" spans="2:2" ht="17.25">
      <c r="B3864" s="209"/>
    </row>
    <row r="3865" spans="2:2" ht="17.25">
      <c r="B3865" s="209"/>
    </row>
    <row r="3866" spans="2:2" ht="17.25">
      <c r="B3866" s="209"/>
    </row>
    <row r="3867" spans="2:2" ht="17.25">
      <c r="B3867" s="209"/>
    </row>
    <row r="3868" spans="2:2" ht="17.25">
      <c r="B3868" s="209"/>
    </row>
    <row r="3869" spans="2:2" ht="17.25">
      <c r="B3869" s="209"/>
    </row>
    <row r="3870" spans="2:2" ht="17.25">
      <c r="B3870" s="209"/>
    </row>
    <row r="3871" spans="2:2" ht="17.25">
      <c r="B3871" s="209"/>
    </row>
    <row r="3872" spans="2:2" ht="17.25">
      <c r="B3872" s="209"/>
    </row>
    <row r="3873" spans="2:2" ht="17.25">
      <c r="B3873" s="209"/>
    </row>
    <row r="3874" spans="2:2" ht="17.25">
      <c r="B3874" s="209"/>
    </row>
    <row r="3875" spans="2:2" ht="17.25">
      <c r="B3875" s="209"/>
    </row>
    <row r="3876" spans="2:2" ht="17.25">
      <c r="B3876" s="209"/>
    </row>
    <row r="3877" spans="2:2" ht="17.25">
      <c r="B3877" s="209"/>
    </row>
    <row r="3878" spans="2:2" ht="17.25">
      <c r="B3878" s="209"/>
    </row>
    <row r="3879" spans="2:2" ht="17.25">
      <c r="B3879" s="209"/>
    </row>
    <row r="3880" spans="2:2" ht="17.25">
      <c r="B3880" s="209"/>
    </row>
    <row r="3881" spans="2:2" ht="17.25">
      <c r="B3881" s="209"/>
    </row>
    <row r="3882" spans="2:2" ht="17.25">
      <c r="B3882" s="209"/>
    </row>
    <row r="3883" spans="2:2" ht="17.25">
      <c r="B3883" s="209"/>
    </row>
    <row r="3884" spans="2:2" ht="17.25">
      <c r="B3884" s="209"/>
    </row>
    <row r="3885" spans="2:2" ht="17.25">
      <c r="B3885" s="209"/>
    </row>
    <row r="3886" spans="2:2" ht="17.25">
      <c r="B3886" s="209"/>
    </row>
    <row r="3887" spans="2:2" ht="17.25">
      <c r="B3887" s="209"/>
    </row>
    <row r="3888" spans="2:2" ht="17.25">
      <c r="B3888" s="209"/>
    </row>
    <row r="3889" spans="2:2" ht="17.25">
      <c r="B3889" s="209"/>
    </row>
    <row r="3890" spans="2:2" ht="17.25">
      <c r="B3890" s="209"/>
    </row>
    <row r="3891" spans="2:2" ht="17.25">
      <c r="B3891" s="209"/>
    </row>
    <row r="3892" spans="2:2" ht="17.25">
      <c r="B3892" s="209"/>
    </row>
    <row r="3893" spans="2:2" ht="17.25">
      <c r="B3893" s="209"/>
    </row>
    <row r="3894" spans="2:2" ht="17.25">
      <c r="B3894" s="209"/>
    </row>
    <row r="3895" spans="2:2" ht="17.25">
      <c r="B3895" s="209"/>
    </row>
    <row r="3896" spans="2:2" ht="17.25">
      <c r="B3896" s="209"/>
    </row>
    <row r="3897" spans="2:2" ht="17.25">
      <c r="B3897" s="209"/>
    </row>
    <row r="3898" spans="2:2" ht="17.25">
      <c r="B3898" s="209"/>
    </row>
    <row r="3899" spans="2:2" ht="17.25">
      <c r="B3899" s="209"/>
    </row>
    <row r="3900" spans="2:2" ht="17.25">
      <c r="B3900" s="209"/>
    </row>
    <row r="3901" spans="2:2" ht="17.25">
      <c r="B3901" s="209"/>
    </row>
    <row r="3902" spans="2:2" ht="17.25">
      <c r="B3902" s="209"/>
    </row>
    <row r="3903" spans="2:2" ht="17.25">
      <c r="B3903" s="209"/>
    </row>
    <row r="3904" spans="2:2" ht="17.25">
      <c r="B3904" s="209"/>
    </row>
    <row r="3905" spans="2:2" ht="17.25">
      <c r="B3905" s="209"/>
    </row>
    <row r="3906" spans="2:2" ht="17.25">
      <c r="B3906" s="209"/>
    </row>
    <row r="3907" spans="2:2" ht="17.25">
      <c r="B3907" s="209"/>
    </row>
    <row r="3908" spans="2:2" ht="17.25">
      <c r="B3908" s="209"/>
    </row>
    <row r="3909" spans="2:2" ht="17.25">
      <c r="B3909" s="209"/>
    </row>
    <row r="3910" spans="2:2" ht="17.25">
      <c r="B3910" s="209"/>
    </row>
    <row r="3911" spans="2:2" ht="17.25">
      <c r="B3911" s="209"/>
    </row>
    <row r="3912" spans="2:2" ht="17.25">
      <c r="B3912" s="209"/>
    </row>
    <row r="3913" spans="2:2" ht="17.25">
      <c r="B3913" s="209"/>
    </row>
    <row r="3914" spans="2:2" ht="17.25">
      <c r="B3914" s="209"/>
    </row>
    <row r="3915" spans="2:2" ht="17.25">
      <c r="B3915" s="209"/>
    </row>
    <row r="3916" spans="2:2" ht="17.25">
      <c r="B3916" s="209"/>
    </row>
    <row r="3917" spans="2:2" ht="17.25">
      <c r="B3917" s="209"/>
    </row>
    <row r="3918" spans="2:2" ht="17.25">
      <c r="B3918" s="209"/>
    </row>
    <row r="3919" spans="2:2" ht="17.25">
      <c r="B3919" s="209"/>
    </row>
    <row r="3920" spans="2:2" ht="17.25">
      <c r="B3920" s="209"/>
    </row>
    <row r="3921" spans="2:2" ht="17.25">
      <c r="B3921" s="209"/>
    </row>
    <row r="3922" spans="2:2" ht="17.25">
      <c r="B3922" s="209"/>
    </row>
    <row r="3923" spans="2:2" ht="17.25">
      <c r="B3923" s="209"/>
    </row>
    <row r="3924" spans="2:2" ht="17.25">
      <c r="B3924" s="209"/>
    </row>
    <row r="3925" spans="2:2" ht="17.25">
      <c r="B3925" s="209"/>
    </row>
    <row r="3926" spans="2:2" ht="17.25">
      <c r="B3926" s="209"/>
    </row>
    <row r="3927" spans="2:2" ht="17.25">
      <c r="B3927" s="209"/>
    </row>
    <row r="3928" spans="2:2" ht="17.25">
      <c r="B3928" s="209"/>
    </row>
    <row r="3929" spans="2:2" ht="17.25">
      <c r="B3929" s="209"/>
    </row>
    <row r="3930" spans="2:2" ht="17.25">
      <c r="B3930" s="209"/>
    </row>
    <row r="3931" spans="2:2" ht="17.25">
      <c r="B3931" s="209"/>
    </row>
    <row r="3932" spans="2:2" ht="17.25">
      <c r="B3932" s="209"/>
    </row>
    <row r="3933" spans="2:2" ht="17.25">
      <c r="B3933" s="209"/>
    </row>
    <row r="3934" spans="2:2" ht="17.25">
      <c r="B3934" s="209"/>
    </row>
    <row r="3935" spans="2:2" ht="17.25">
      <c r="B3935" s="209"/>
    </row>
    <row r="3936" spans="2:2" ht="17.25">
      <c r="B3936" s="209"/>
    </row>
    <row r="3937" spans="2:2" ht="17.25">
      <c r="B3937" s="209"/>
    </row>
    <row r="3938" spans="2:2" ht="17.25">
      <c r="B3938" s="209"/>
    </row>
    <row r="3939" spans="2:2" ht="17.25">
      <c r="B3939" s="209"/>
    </row>
    <row r="3940" spans="2:2" ht="17.25">
      <c r="B3940" s="209"/>
    </row>
    <row r="3941" spans="2:2" ht="17.25">
      <c r="B3941" s="209"/>
    </row>
    <row r="3942" spans="2:2" ht="17.25">
      <c r="B3942" s="209"/>
    </row>
    <row r="3943" spans="2:2" ht="17.25">
      <c r="B3943" s="209"/>
    </row>
    <row r="3944" spans="2:2" ht="17.25">
      <c r="B3944" s="209"/>
    </row>
    <row r="3945" spans="2:2" ht="17.25">
      <c r="B3945" s="209"/>
    </row>
    <row r="3946" spans="2:2" ht="17.25">
      <c r="B3946" s="209"/>
    </row>
    <row r="3947" spans="2:2" ht="17.25">
      <c r="B3947" s="209"/>
    </row>
    <row r="3948" spans="2:2" ht="17.25">
      <c r="B3948" s="209"/>
    </row>
    <row r="3949" spans="2:2" ht="17.25">
      <c r="B3949" s="209"/>
    </row>
    <row r="3950" spans="2:2" ht="17.25">
      <c r="B3950" s="209"/>
    </row>
    <row r="3951" spans="2:2" ht="17.25">
      <c r="B3951" s="209"/>
    </row>
    <row r="3952" spans="2:2" ht="17.25">
      <c r="B3952" s="209"/>
    </row>
    <row r="3953" spans="2:6" ht="17.25">
      <c r="B3953" s="209"/>
    </row>
    <row r="3954" spans="2:6" ht="17.25">
      <c r="B3954" s="209"/>
    </row>
    <row r="3955" spans="2:6" ht="17.25">
      <c r="B3955" s="209"/>
    </row>
    <row r="3956" spans="2:6" ht="17.25">
      <c r="B3956" s="209"/>
    </row>
    <row r="3957" spans="2:6" ht="17.25">
      <c r="B3957" s="209"/>
    </row>
    <row r="3958" spans="2:6" ht="17.25">
      <c r="B3958" s="209"/>
    </row>
    <row r="3959" spans="2:6" ht="17.25">
      <c r="B3959" s="209"/>
    </row>
    <row r="3960" spans="2:6" ht="17.25">
      <c r="B3960" s="209"/>
    </row>
    <row r="3961" spans="2:6" ht="17.25">
      <c r="B3961" s="209"/>
    </row>
    <row r="3962" spans="2:6" ht="17.25">
      <c r="B3962" s="209"/>
    </row>
    <row r="3963" spans="2:6" ht="17.25">
      <c r="B3963" s="209"/>
    </row>
    <row r="3964" spans="2:6" ht="17.25">
      <c r="B3964" s="209"/>
    </row>
    <row r="3966" spans="2:6" ht="15.75">
      <c r="F3966" s="213"/>
    </row>
    <row r="3967" spans="2:6" ht="15.75">
      <c r="B3967" s="214"/>
      <c r="C3967" s="215"/>
    </row>
    <row r="3968" spans="2:6" ht="15.75">
      <c r="F3968" s="213"/>
    </row>
    <row r="3969" spans="6:6" ht="15.75">
      <c r="F3969" s="213"/>
    </row>
    <row r="3970" spans="6:6" ht="15.75">
      <c r="F3970" s="213"/>
    </row>
  </sheetData>
  <mergeCells count="4">
    <mergeCell ref="D2:F2"/>
    <mergeCell ref="A1:F1"/>
    <mergeCell ref="H4:I4"/>
    <mergeCell ref="J4:K4"/>
  </mergeCells>
  <pageMargins left="0.70866141732283472" right="0.70866141732283472" top="0.74803149606299213" bottom="0.55118110236220474" header="0.31496062992125984" footer="0.31496062992125984"/>
  <pageSetup paperSize="9" scale="63" orientation="portrait" r:id="rId1"/>
</worksheet>
</file>

<file path=xl/worksheets/sheet4.xml><?xml version="1.0" encoding="utf-8"?>
<worksheet xmlns="http://schemas.openxmlformats.org/spreadsheetml/2006/main" xmlns:r="http://schemas.openxmlformats.org/officeDocument/2006/relationships">
  <dimension ref="A1:K600"/>
  <sheetViews>
    <sheetView topLeftCell="A488" workbookViewId="0">
      <selection activeCell="A492" sqref="A492:F499"/>
    </sheetView>
  </sheetViews>
  <sheetFormatPr defaultRowHeight="15"/>
  <cols>
    <col min="3" max="3" width="28.7109375" customWidth="1"/>
  </cols>
  <sheetData>
    <row r="1" spans="1:6">
      <c r="A1" s="35"/>
      <c r="B1" s="35"/>
      <c r="C1" s="35" t="s">
        <v>111</v>
      </c>
      <c r="D1" s="35"/>
      <c r="E1" s="35"/>
      <c r="F1" s="35"/>
    </row>
    <row r="2" spans="1:6">
      <c r="A2" s="35"/>
      <c r="B2" s="35"/>
      <c r="C2" s="35" t="s">
        <v>112</v>
      </c>
      <c r="D2" s="35"/>
      <c r="E2" s="35"/>
      <c r="F2" s="35"/>
    </row>
    <row r="3" spans="1:6">
      <c r="A3" s="35" t="s">
        <v>113</v>
      </c>
      <c r="B3" s="35" t="s">
        <v>114</v>
      </c>
      <c r="C3" s="35" t="s">
        <v>115</v>
      </c>
      <c r="D3" s="35"/>
      <c r="E3" s="35" t="s">
        <v>116</v>
      </c>
      <c r="F3" s="35"/>
    </row>
    <row r="4" spans="1:6">
      <c r="A4" s="35" t="s">
        <v>117</v>
      </c>
      <c r="B4" s="35" t="s">
        <v>117</v>
      </c>
      <c r="C4" s="35" t="s">
        <v>117</v>
      </c>
      <c r="D4" s="35" t="s">
        <v>117</v>
      </c>
      <c r="E4" s="35" t="s">
        <v>117</v>
      </c>
      <c r="F4" s="35" t="s">
        <v>117</v>
      </c>
    </row>
    <row r="5" spans="1:6">
      <c r="A5" s="35" t="s">
        <v>7</v>
      </c>
      <c r="B5" s="35" t="s">
        <v>114</v>
      </c>
      <c r="C5" s="35" t="s">
        <v>118</v>
      </c>
      <c r="D5" s="35" t="s">
        <v>119</v>
      </c>
      <c r="E5" s="35" t="s">
        <v>120</v>
      </c>
      <c r="F5" s="35" t="s">
        <v>121</v>
      </c>
    </row>
    <row r="6" spans="1:6">
      <c r="A6" s="35" t="s">
        <v>117</v>
      </c>
      <c r="B6" s="35" t="s">
        <v>117</v>
      </c>
      <c r="C6" s="35" t="s">
        <v>117</v>
      </c>
      <c r="D6" s="35" t="s">
        <v>117</v>
      </c>
      <c r="E6" s="35" t="s">
        <v>117</v>
      </c>
      <c r="F6" s="35" t="s">
        <v>117</v>
      </c>
    </row>
    <row r="7" spans="1:6">
      <c r="A7" s="35"/>
      <c r="B7" s="35" t="s">
        <v>122</v>
      </c>
      <c r="C7" s="35" t="s">
        <v>123</v>
      </c>
      <c r="D7" s="35"/>
      <c r="E7" s="35"/>
      <c r="F7" s="35"/>
    </row>
    <row r="8" spans="1:6">
      <c r="A8" s="35"/>
      <c r="B8" s="35"/>
      <c r="C8" s="35" t="s">
        <v>117</v>
      </c>
      <c r="D8" s="35"/>
      <c r="E8" s="35"/>
      <c r="F8" s="35"/>
    </row>
    <row r="9" spans="1:6">
      <c r="A9" s="35">
        <v>0.96</v>
      </c>
      <c r="B9" s="35" t="s">
        <v>124</v>
      </c>
      <c r="C9" s="35" t="s">
        <v>125</v>
      </c>
      <c r="D9" s="35">
        <v>6362.37</v>
      </c>
      <c r="E9" s="35" t="s">
        <v>124</v>
      </c>
      <c r="F9" s="35">
        <v>6107.88</v>
      </c>
    </row>
    <row r="10" spans="1:6">
      <c r="A10" s="35">
        <v>1</v>
      </c>
      <c r="B10" s="35" t="s">
        <v>108</v>
      </c>
      <c r="C10" s="35" t="s">
        <v>126</v>
      </c>
      <c r="D10" s="35">
        <v>2126.38</v>
      </c>
      <c r="E10" s="35" t="s">
        <v>108</v>
      </c>
      <c r="F10" s="35">
        <v>2126.38</v>
      </c>
    </row>
    <row r="11" spans="1:6">
      <c r="A11" s="35">
        <v>1</v>
      </c>
      <c r="B11" s="35" t="s">
        <v>108</v>
      </c>
      <c r="C11" s="35" t="s">
        <v>127</v>
      </c>
      <c r="D11" s="35">
        <v>132</v>
      </c>
      <c r="E11" s="35" t="s">
        <v>108</v>
      </c>
      <c r="F11" s="35">
        <v>132</v>
      </c>
    </row>
    <row r="12" spans="1:6">
      <c r="A12" s="35"/>
      <c r="B12" s="35" t="s">
        <v>128</v>
      </c>
      <c r="C12" s="35" t="s">
        <v>129</v>
      </c>
      <c r="D12" s="35" t="s">
        <v>114</v>
      </c>
      <c r="E12" s="35" t="s">
        <v>128</v>
      </c>
      <c r="F12" s="35">
        <v>0</v>
      </c>
    </row>
    <row r="13" spans="1:6">
      <c r="A13" s="35"/>
      <c r="B13" s="35"/>
      <c r="C13" s="35"/>
      <c r="D13" s="35"/>
      <c r="E13" s="35"/>
      <c r="F13" s="35" t="s">
        <v>117</v>
      </c>
    </row>
    <row r="14" spans="1:6">
      <c r="A14" s="35"/>
      <c r="B14" s="35"/>
      <c r="C14" s="35" t="s">
        <v>130</v>
      </c>
      <c r="D14" s="35"/>
      <c r="E14" s="35"/>
      <c r="F14" s="35">
        <v>8366.26</v>
      </c>
    </row>
    <row r="15" spans="1:6">
      <c r="A15" s="35"/>
      <c r="B15" s="35"/>
      <c r="C15" s="35"/>
      <c r="D15" s="35"/>
      <c r="E15" s="35"/>
      <c r="F15" s="35" t="s">
        <v>117</v>
      </c>
    </row>
    <row r="16" spans="1:6">
      <c r="A16" s="35"/>
      <c r="B16" s="35" t="s">
        <v>122</v>
      </c>
      <c r="C16" s="35" t="s">
        <v>131</v>
      </c>
      <c r="D16" s="35"/>
      <c r="E16" s="35"/>
      <c r="F16" s="35"/>
    </row>
    <row r="17" spans="1:6">
      <c r="A17" s="35"/>
      <c r="B17" s="35"/>
      <c r="C17" s="35" t="s">
        <v>117</v>
      </c>
      <c r="D17" s="35"/>
      <c r="E17" s="35"/>
      <c r="F17" s="35"/>
    </row>
    <row r="18" spans="1:6">
      <c r="A18" s="35">
        <v>0.72</v>
      </c>
      <c r="B18" s="35" t="s">
        <v>124</v>
      </c>
      <c r="C18" s="35" t="s">
        <v>125</v>
      </c>
      <c r="D18" s="35">
        <v>6362.37</v>
      </c>
      <c r="E18" s="35" t="s">
        <v>124</v>
      </c>
      <c r="F18" s="35">
        <v>4580.91</v>
      </c>
    </row>
    <row r="19" spans="1:6">
      <c r="A19" s="35">
        <v>1</v>
      </c>
      <c r="B19" s="35" t="s">
        <v>108</v>
      </c>
      <c r="C19" s="35" t="s">
        <v>126</v>
      </c>
      <c r="D19" s="35">
        <v>2126.38</v>
      </c>
      <c r="E19" s="35" t="s">
        <v>108</v>
      </c>
      <c r="F19" s="35">
        <v>2126.38</v>
      </c>
    </row>
    <row r="20" spans="1:6">
      <c r="A20" s="35">
        <v>1</v>
      </c>
      <c r="B20" s="35" t="s">
        <v>108</v>
      </c>
      <c r="C20" s="35" t="s">
        <v>127</v>
      </c>
      <c r="D20" s="35">
        <v>132</v>
      </c>
      <c r="E20" s="35" t="s">
        <v>108</v>
      </c>
      <c r="F20" s="35">
        <v>132</v>
      </c>
    </row>
    <row r="21" spans="1:6">
      <c r="A21" s="35"/>
      <c r="B21" s="35" t="s">
        <v>128</v>
      </c>
      <c r="C21" s="35" t="s">
        <v>129</v>
      </c>
      <c r="D21" s="35" t="s">
        <v>114</v>
      </c>
      <c r="E21" s="35" t="s">
        <v>128</v>
      </c>
      <c r="F21" s="35">
        <v>0</v>
      </c>
    </row>
    <row r="22" spans="1:6">
      <c r="A22" s="35"/>
      <c r="B22" s="35"/>
      <c r="C22" s="35"/>
      <c r="D22" s="35"/>
      <c r="E22" s="35"/>
      <c r="F22" s="35" t="s">
        <v>117</v>
      </c>
    </row>
    <row r="23" spans="1:6">
      <c r="A23" s="35"/>
      <c r="B23" s="35"/>
      <c r="C23" s="35" t="s">
        <v>130</v>
      </c>
      <c r="D23" s="35"/>
      <c r="E23" s="35"/>
      <c r="F23" s="35">
        <v>6839.29</v>
      </c>
    </row>
    <row r="24" spans="1:6">
      <c r="A24" s="35"/>
      <c r="B24" s="35"/>
      <c r="C24" s="35"/>
      <c r="D24" s="35"/>
      <c r="E24" s="35"/>
      <c r="F24" s="35" t="s">
        <v>117</v>
      </c>
    </row>
    <row r="25" spans="1:6">
      <c r="A25" s="35"/>
      <c r="B25" s="35" t="s">
        <v>122</v>
      </c>
      <c r="C25" s="35" t="s">
        <v>132</v>
      </c>
      <c r="D25" s="35"/>
      <c r="E25" s="35"/>
      <c r="F25" s="35"/>
    </row>
    <row r="26" spans="1:6">
      <c r="A26" s="35"/>
      <c r="B26" s="35"/>
      <c r="C26" s="35" t="s">
        <v>117</v>
      </c>
      <c r="D26" s="35"/>
      <c r="E26" s="35"/>
      <c r="F26" s="35"/>
    </row>
    <row r="27" spans="1:6">
      <c r="A27" s="35">
        <v>0.48</v>
      </c>
      <c r="B27" s="35" t="s">
        <v>124</v>
      </c>
      <c r="C27" s="35" t="s">
        <v>125</v>
      </c>
      <c r="D27" s="35">
        <v>6362.37</v>
      </c>
      <c r="E27" s="35" t="s">
        <v>124</v>
      </c>
      <c r="F27" s="35">
        <v>3053.94</v>
      </c>
    </row>
    <row r="28" spans="1:6">
      <c r="A28" s="35">
        <v>1</v>
      </c>
      <c r="B28" s="35" t="s">
        <v>108</v>
      </c>
      <c r="C28" s="35" t="s">
        <v>126</v>
      </c>
      <c r="D28" s="35">
        <v>2126.38</v>
      </c>
      <c r="E28" s="35" t="s">
        <v>108</v>
      </c>
      <c r="F28" s="35">
        <v>2126.38</v>
      </c>
    </row>
    <row r="29" spans="1:6">
      <c r="A29" s="35">
        <v>1</v>
      </c>
      <c r="B29" s="35" t="s">
        <v>108</v>
      </c>
      <c r="C29" s="35" t="s">
        <v>127</v>
      </c>
      <c r="D29" s="35">
        <v>132</v>
      </c>
      <c r="E29" s="35" t="s">
        <v>108</v>
      </c>
      <c r="F29" s="35">
        <v>132</v>
      </c>
    </row>
    <row r="30" spans="1:6">
      <c r="A30" s="35"/>
      <c r="B30" s="35" t="s">
        <v>128</v>
      </c>
      <c r="C30" s="35" t="s">
        <v>129</v>
      </c>
      <c r="D30" s="35" t="s">
        <v>114</v>
      </c>
      <c r="E30" s="35" t="s">
        <v>128</v>
      </c>
      <c r="F30" s="35">
        <v>0</v>
      </c>
    </row>
    <row r="31" spans="1:6">
      <c r="A31" s="35"/>
      <c r="B31" s="35"/>
      <c r="C31" s="35"/>
      <c r="D31" s="35"/>
      <c r="E31" s="35"/>
      <c r="F31" s="35" t="s">
        <v>117</v>
      </c>
    </row>
    <row r="32" spans="1:6">
      <c r="A32" s="35"/>
      <c r="B32" s="35"/>
      <c r="C32" s="35" t="s">
        <v>130</v>
      </c>
      <c r="D32" s="35"/>
      <c r="E32" s="35"/>
      <c r="F32" s="35">
        <v>5312.32</v>
      </c>
    </row>
    <row r="33" spans="1:6">
      <c r="A33" s="35"/>
      <c r="B33" s="35"/>
      <c r="C33" s="35"/>
      <c r="D33" s="35"/>
      <c r="E33" s="35"/>
      <c r="F33" s="35" t="s">
        <v>117</v>
      </c>
    </row>
    <row r="34" spans="1:6">
      <c r="A34" s="35"/>
      <c r="B34" s="35" t="s">
        <v>122</v>
      </c>
      <c r="C34" s="35" t="s">
        <v>133</v>
      </c>
      <c r="D34" s="35"/>
      <c r="E34" s="35"/>
      <c r="F34" s="35"/>
    </row>
    <row r="35" spans="1:6">
      <c r="A35" s="35">
        <v>0.36</v>
      </c>
      <c r="B35" s="35" t="s">
        <v>124</v>
      </c>
      <c r="C35" s="35" t="s">
        <v>125</v>
      </c>
      <c r="D35" s="35">
        <v>6362.37</v>
      </c>
      <c r="E35" s="35" t="s">
        <v>124</v>
      </c>
      <c r="F35" s="35">
        <v>2290.4499999999998</v>
      </c>
    </row>
    <row r="36" spans="1:6">
      <c r="A36" s="35">
        <v>1</v>
      </c>
      <c r="B36" s="35" t="s">
        <v>108</v>
      </c>
      <c r="C36" s="35" t="s">
        <v>126</v>
      </c>
      <c r="D36" s="35">
        <v>2126.38</v>
      </c>
      <c r="E36" s="35" t="s">
        <v>108</v>
      </c>
      <c r="F36" s="35">
        <v>2126.38</v>
      </c>
    </row>
    <row r="37" spans="1:6">
      <c r="A37" s="35">
        <v>1</v>
      </c>
      <c r="B37" s="35" t="s">
        <v>108</v>
      </c>
      <c r="C37" s="35" t="s">
        <v>127</v>
      </c>
      <c r="D37" s="35">
        <v>132</v>
      </c>
      <c r="E37" s="35" t="s">
        <v>108</v>
      </c>
      <c r="F37" s="35">
        <v>132</v>
      </c>
    </row>
    <row r="38" spans="1:6">
      <c r="A38" s="35"/>
      <c r="B38" s="35" t="s">
        <v>128</v>
      </c>
      <c r="C38" s="35" t="s">
        <v>129</v>
      </c>
      <c r="D38" s="35" t="s">
        <v>114</v>
      </c>
      <c r="E38" s="35" t="s">
        <v>128</v>
      </c>
      <c r="F38" s="35">
        <v>0</v>
      </c>
    </row>
    <row r="39" spans="1:6">
      <c r="A39" s="35"/>
      <c r="B39" s="35"/>
      <c r="C39" s="35"/>
      <c r="D39" s="35"/>
      <c r="E39" s="35"/>
      <c r="F39" s="35" t="s">
        <v>117</v>
      </c>
    </row>
    <row r="40" spans="1:6">
      <c r="A40" s="35"/>
      <c r="B40" s="35"/>
      <c r="C40" s="35" t="s">
        <v>130</v>
      </c>
      <c r="D40" s="35"/>
      <c r="E40" s="35"/>
      <c r="F40" s="35">
        <v>4548.83</v>
      </c>
    </row>
    <row r="41" spans="1:6">
      <c r="A41" s="35"/>
      <c r="B41" s="35"/>
      <c r="C41" s="35"/>
      <c r="D41" s="35"/>
      <c r="E41" s="35"/>
      <c r="F41" s="35" t="s">
        <v>117</v>
      </c>
    </row>
    <row r="42" spans="1:6">
      <c r="A42" s="35"/>
      <c r="B42" s="35" t="s">
        <v>122</v>
      </c>
      <c r="C42" s="35" t="s">
        <v>134</v>
      </c>
      <c r="D42" s="35"/>
      <c r="E42" s="35"/>
      <c r="F42" s="35"/>
    </row>
    <row r="43" spans="1:6">
      <c r="A43" s="35"/>
      <c r="B43" s="35"/>
      <c r="C43" s="35" t="s">
        <v>117</v>
      </c>
      <c r="D43" s="35"/>
      <c r="E43" s="35"/>
      <c r="F43" s="35"/>
    </row>
    <row r="44" spans="1:6">
      <c r="A44" s="36">
        <v>0.28799999999999998</v>
      </c>
      <c r="B44" s="35" t="s">
        <v>124</v>
      </c>
      <c r="C44" s="35" t="s">
        <v>125</v>
      </c>
      <c r="D44" s="35">
        <v>6362.37</v>
      </c>
      <c r="E44" s="35" t="s">
        <v>124</v>
      </c>
      <c r="F44" s="35">
        <v>1832.36</v>
      </c>
    </row>
    <row r="45" spans="1:6">
      <c r="A45" s="35">
        <v>1</v>
      </c>
      <c r="B45" s="35" t="s">
        <v>108</v>
      </c>
      <c r="C45" s="35" t="s">
        <v>126</v>
      </c>
      <c r="D45" s="35">
        <v>2126.38</v>
      </c>
      <c r="E45" s="35" t="s">
        <v>108</v>
      </c>
      <c r="F45" s="35">
        <v>2126.38</v>
      </c>
    </row>
    <row r="46" spans="1:6">
      <c r="A46" s="35">
        <v>1</v>
      </c>
      <c r="B46" s="35" t="s">
        <v>108</v>
      </c>
      <c r="C46" s="35" t="s">
        <v>127</v>
      </c>
      <c r="D46" s="35">
        <v>132</v>
      </c>
      <c r="E46" s="35" t="s">
        <v>108</v>
      </c>
      <c r="F46" s="35">
        <v>132</v>
      </c>
    </row>
    <row r="47" spans="1:6">
      <c r="A47" s="35"/>
      <c r="B47" s="35" t="s">
        <v>128</v>
      </c>
      <c r="C47" s="35" t="s">
        <v>129</v>
      </c>
      <c r="D47" s="35" t="s">
        <v>114</v>
      </c>
      <c r="E47" s="35" t="s">
        <v>128</v>
      </c>
      <c r="F47" s="35">
        <v>0</v>
      </c>
    </row>
    <row r="48" spans="1:6">
      <c r="A48" s="35"/>
      <c r="B48" s="35"/>
      <c r="C48" s="35"/>
      <c r="D48" s="35"/>
      <c r="E48" s="35"/>
      <c r="F48" s="35" t="s">
        <v>117</v>
      </c>
    </row>
    <row r="49" spans="1:6">
      <c r="A49" s="35"/>
      <c r="B49" s="35"/>
      <c r="C49" s="35" t="s">
        <v>130</v>
      </c>
      <c r="D49" s="35"/>
      <c r="E49" s="35"/>
      <c r="F49" s="35">
        <v>4090.74</v>
      </c>
    </row>
    <row r="50" spans="1:6">
      <c r="A50" s="35"/>
      <c r="B50" s="35"/>
      <c r="C50" s="35"/>
      <c r="D50" s="35"/>
      <c r="E50" s="35"/>
      <c r="F50" s="35" t="s">
        <v>117</v>
      </c>
    </row>
    <row r="51" spans="1:6">
      <c r="A51" s="35"/>
      <c r="B51" s="35" t="s">
        <v>122</v>
      </c>
      <c r="C51" s="35" t="s">
        <v>135</v>
      </c>
      <c r="D51" s="35"/>
      <c r="E51" s="35"/>
      <c r="F51" s="35"/>
    </row>
    <row r="52" spans="1:6">
      <c r="A52" s="35"/>
      <c r="B52" s="35"/>
      <c r="C52" s="35" t="s">
        <v>117</v>
      </c>
      <c r="D52" s="35"/>
      <c r="E52" s="35"/>
      <c r="F52" s="35"/>
    </row>
    <row r="53" spans="1:6">
      <c r="A53" s="35">
        <v>0.24</v>
      </c>
      <c r="B53" s="35" t="s">
        <v>124</v>
      </c>
      <c r="C53" s="35" t="s">
        <v>125</v>
      </c>
      <c r="D53" s="35">
        <v>6362.37</v>
      </c>
      <c r="E53" s="35" t="s">
        <v>124</v>
      </c>
      <c r="F53" s="35">
        <v>1526.97</v>
      </c>
    </row>
    <row r="54" spans="1:6">
      <c r="A54" s="35">
        <v>1</v>
      </c>
      <c r="B54" s="35" t="s">
        <v>108</v>
      </c>
      <c r="C54" s="35" t="s">
        <v>126</v>
      </c>
      <c r="D54" s="35">
        <v>2126.38</v>
      </c>
      <c r="E54" s="35" t="s">
        <v>108</v>
      </c>
      <c r="F54" s="35">
        <v>2126.38</v>
      </c>
    </row>
    <row r="55" spans="1:6">
      <c r="A55" s="35">
        <v>1</v>
      </c>
      <c r="B55" s="35" t="s">
        <v>108</v>
      </c>
      <c r="C55" s="35" t="s">
        <v>127</v>
      </c>
      <c r="D55" s="35">
        <v>132</v>
      </c>
      <c r="E55" s="35" t="s">
        <v>108</v>
      </c>
      <c r="F55" s="35">
        <v>132</v>
      </c>
    </row>
    <row r="56" spans="1:6">
      <c r="A56" s="35"/>
      <c r="B56" s="35" t="s">
        <v>128</v>
      </c>
      <c r="C56" s="35" t="s">
        <v>129</v>
      </c>
      <c r="D56" s="35" t="s">
        <v>114</v>
      </c>
      <c r="E56" s="35" t="s">
        <v>128</v>
      </c>
      <c r="F56" s="35">
        <v>0</v>
      </c>
    </row>
    <row r="57" spans="1:6">
      <c r="A57" s="35"/>
      <c r="B57" s="35"/>
      <c r="C57" s="35"/>
      <c r="D57" s="35"/>
      <c r="E57" s="35"/>
      <c r="F57" s="35" t="s">
        <v>117</v>
      </c>
    </row>
    <row r="58" spans="1:6">
      <c r="A58" s="35"/>
      <c r="B58" s="35"/>
      <c r="C58" s="35" t="s">
        <v>130</v>
      </c>
      <c r="D58" s="35"/>
      <c r="E58" s="35"/>
      <c r="F58" s="35">
        <v>3785.35</v>
      </c>
    </row>
    <row r="59" spans="1:6">
      <c r="A59" s="35" t="s">
        <v>114</v>
      </c>
      <c r="B59" s="35"/>
      <c r="C59" s="35"/>
      <c r="D59" s="35"/>
      <c r="E59" s="35"/>
      <c r="F59" s="35"/>
    </row>
    <row r="60" spans="1:6">
      <c r="A60" s="35"/>
      <c r="B60" s="35"/>
      <c r="C60" s="35"/>
      <c r="D60" s="35"/>
      <c r="E60" s="35"/>
      <c r="F60" s="35" t="s">
        <v>117</v>
      </c>
    </row>
    <row r="61" spans="1:6">
      <c r="A61" s="35"/>
      <c r="B61" s="35" t="s">
        <v>122</v>
      </c>
      <c r="C61" s="35" t="s">
        <v>136</v>
      </c>
      <c r="D61" s="35"/>
      <c r="E61" s="35"/>
      <c r="F61" s="35"/>
    </row>
    <row r="62" spans="1:6">
      <c r="A62" s="35"/>
      <c r="B62" s="35"/>
      <c r="C62" s="35" t="s">
        <v>117</v>
      </c>
      <c r="D62" s="35"/>
      <c r="E62" s="35"/>
      <c r="F62" s="35"/>
    </row>
    <row r="63" spans="1:6">
      <c r="A63" s="36">
        <v>0.20599999999999999</v>
      </c>
      <c r="B63" s="35" t="s">
        <v>124</v>
      </c>
      <c r="C63" s="35" t="s">
        <v>125</v>
      </c>
      <c r="D63" s="35">
        <v>6362.37</v>
      </c>
      <c r="E63" s="35" t="s">
        <v>124</v>
      </c>
      <c r="F63" s="35">
        <v>1310.6500000000001</v>
      </c>
    </row>
    <row r="64" spans="1:6">
      <c r="A64" s="35">
        <v>1</v>
      </c>
      <c r="B64" s="35" t="s">
        <v>108</v>
      </c>
      <c r="C64" s="35" t="s">
        <v>126</v>
      </c>
      <c r="D64" s="35">
        <v>2126.38</v>
      </c>
      <c r="E64" s="35" t="s">
        <v>108</v>
      </c>
      <c r="F64" s="35">
        <v>2126.38</v>
      </c>
    </row>
    <row r="65" spans="1:6">
      <c r="A65" s="35">
        <v>1</v>
      </c>
      <c r="B65" s="35" t="s">
        <v>108</v>
      </c>
      <c r="C65" s="35" t="s">
        <v>127</v>
      </c>
      <c r="D65" s="35">
        <v>132</v>
      </c>
      <c r="E65" s="35" t="s">
        <v>108</v>
      </c>
      <c r="F65" s="35">
        <v>132</v>
      </c>
    </row>
    <row r="66" spans="1:6">
      <c r="A66" s="35"/>
      <c r="B66" s="35" t="s">
        <v>128</v>
      </c>
      <c r="C66" s="35" t="s">
        <v>129</v>
      </c>
      <c r="D66" s="35" t="s">
        <v>114</v>
      </c>
      <c r="E66" s="35" t="s">
        <v>128</v>
      </c>
      <c r="F66" s="35">
        <v>0</v>
      </c>
    </row>
    <row r="67" spans="1:6">
      <c r="A67" s="35"/>
      <c r="B67" s="35"/>
      <c r="C67" s="35"/>
      <c r="D67" s="35"/>
      <c r="E67" s="35"/>
      <c r="F67" s="35" t="s">
        <v>117</v>
      </c>
    </row>
    <row r="68" spans="1:6">
      <c r="A68" s="35"/>
      <c r="B68" s="35"/>
      <c r="C68" s="35" t="s">
        <v>130</v>
      </c>
      <c r="D68" s="35"/>
      <c r="E68" s="35"/>
      <c r="F68" s="35">
        <v>3569.03</v>
      </c>
    </row>
    <row r="69" spans="1:6">
      <c r="A69" s="35"/>
      <c r="B69" s="35"/>
      <c r="C69" s="35"/>
      <c r="D69" s="35"/>
      <c r="E69" s="35"/>
      <c r="F69" s="35" t="s">
        <v>117</v>
      </c>
    </row>
    <row r="70" spans="1:6">
      <c r="A70" s="35"/>
      <c r="B70" s="35" t="s">
        <v>122</v>
      </c>
      <c r="C70" s="35" t="s">
        <v>137</v>
      </c>
      <c r="D70" s="35"/>
      <c r="E70" s="35"/>
      <c r="F70" s="35"/>
    </row>
    <row r="71" spans="1:6">
      <c r="A71" s="35"/>
      <c r="B71" s="35"/>
      <c r="C71" s="35" t="s">
        <v>117</v>
      </c>
      <c r="D71" s="35"/>
      <c r="E71" s="35"/>
      <c r="F71" s="35"/>
    </row>
    <row r="72" spans="1:6">
      <c r="A72" s="35">
        <v>0.18</v>
      </c>
      <c r="B72" s="35" t="s">
        <v>124</v>
      </c>
      <c r="C72" s="35" t="s">
        <v>125</v>
      </c>
      <c r="D72" s="35">
        <v>6362.37</v>
      </c>
      <c r="E72" s="35" t="s">
        <v>124</v>
      </c>
      <c r="F72" s="35">
        <v>1145.23</v>
      </c>
    </row>
    <row r="73" spans="1:6">
      <c r="A73" s="35">
        <v>1</v>
      </c>
      <c r="B73" s="35" t="s">
        <v>108</v>
      </c>
      <c r="C73" s="35" t="s">
        <v>126</v>
      </c>
      <c r="D73" s="35">
        <v>2126.38</v>
      </c>
      <c r="E73" s="35" t="s">
        <v>108</v>
      </c>
      <c r="F73" s="35">
        <v>2126.38</v>
      </c>
    </row>
    <row r="74" spans="1:6">
      <c r="A74" s="35">
        <v>1</v>
      </c>
      <c r="B74" s="35" t="s">
        <v>108</v>
      </c>
      <c r="C74" s="35" t="s">
        <v>127</v>
      </c>
      <c r="D74" s="35">
        <v>132</v>
      </c>
      <c r="E74" s="35" t="s">
        <v>108</v>
      </c>
      <c r="F74" s="35">
        <v>132</v>
      </c>
    </row>
    <row r="75" spans="1:6">
      <c r="A75" s="35"/>
      <c r="B75" s="35" t="s">
        <v>128</v>
      </c>
      <c r="C75" s="35" t="s">
        <v>129</v>
      </c>
      <c r="D75" s="35" t="s">
        <v>114</v>
      </c>
      <c r="E75" s="35" t="s">
        <v>128</v>
      </c>
      <c r="F75" s="35">
        <v>0</v>
      </c>
    </row>
    <row r="76" spans="1:6">
      <c r="A76" s="35"/>
      <c r="B76" s="35"/>
      <c r="C76" s="35"/>
      <c r="D76" s="35"/>
      <c r="E76" s="35"/>
      <c r="F76" s="35" t="s">
        <v>117</v>
      </c>
    </row>
    <row r="77" spans="1:6">
      <c r="A77" s="35"/>
      <c r="B77" s="35"/>
      <c r="C77" s="35" t="s">
        <v>130</v>
      </c>
      <c r="D77" s="35"/>
      <c r="E77" s="35"/>
      <c r="F77" s="35">
        <v>3403.61</v>
      </c>
    </row>
    <row r="78" spans="1:6">
      <c r="A78" s="35"/>
      <c r="B78" s="35"/>
      <c r="C78" s="35"/>
      <c r="D78" s="35"/>
      <c r="E78" s="35"/>
      <c r="F78" s="35" t="s">
        <v>117</v>
      </c>
    </row>
    <row r="79" spans="1:6">
      <c r="A79" s="37">
        <v>1.1000000000000001</v>
      </c>
      <c r="B79" s="35" t="s">
        <v>114</v>
      </c>
      <c r="C79" s="35" t="s">
        <v>138</v>
      </c>
      <c r="D79" s="35"/>
      <c r="E79" s="35"/>
      <c r="F79" s="35"/>
    </row>
    <row r="80" spans="1:6">
      <c r="A80" s="37" t="s">
        <v>114</v>
      </c>
      <c r="B80" s="35"/>
      <c r="C80" s="35" t="s">
        <v>139</v>
      </c>
      <c r="D80" s="35"/>
      <c r="E80" s="35"/>
      <c r="F80" s="35"/>
    </row>
    <row r="81" spans="1:6">
      <c r="A81" s="35">
        <v>10</v>
      </c>
      <c r="B81" s="35" t="s">
        <v>108</v>
      </c>
      <c r="C81" s="35" t="s">
        <v>140</v>
      </c>
      <c r="D81" s="35">
        <v>127.5</v>
      </c>
      <c r="E81" s="35" t="s">
        <v>108</v>
      </c>
      <c r="F81" s="35">
        <v>1275</v>
      </c>
    </row>
    <row r="82" spans="1:6">
      <c r="A82" s="35">
        <v>10</v>
      </c>
      <c r="B82" s="35" t="s">
        <v>108</v>
      </c>
      <c r="C82" s="35" t="s">
        <v>141</v>
      </c>
      <c r="D82" s="35">
        <v>127.5</v>
      </c>
      <c r="E82" s="35" t="s">
        <v>108</v>
      </c>
      <c r="F82" s="35">
        <v>1275</v>
      </c>
    </row>
    <row r="83" spans="1:6">
      <c r="A83" s="35">
        <v>10</v>
      </c>
      <c r="B83" s="35" t="s">
        <v>108</v>
      </c>
      <c r="C83" s="35" t="s">
        <v>142</v>
      </c>
      <c r="D83" s="35">
        <v>14.78</v>
      </c>
      <c r="E83" s="35" t="s">
        <v>108</v>
      </c>
      <c r="F83" s="35">
        <v>147.80000000000001</v>
      </c>
    </row>
    <row r="84" spans="1:6">
      <c r="A84" s="35"/>
      <c r="B84" s="35" t="s">
        <v>128</v>
      </c>
      <c r="C84" s="35" t="s">
        <v>129</v>
      </c>
      <c r="D84" s="35"/>
      <c r="E84" s="35" t="s">
        <v>128</v>
      </c>
      <c r="F84" s="35">
        <v>0</v>
      </c>
    </row>
    <row r="85" spans="1:6">
      <c r="A85" s="35"/>
      <c r="B85" s="35"/>
      <c r="C85" s="35"/>
      <c r="D85" s="35"/>
      <c r="E85" s="35"/>
      <c r="F85" s="35" t="s">
        <v>117</v>
      </c>
    </row>
    <row r="86" spans="1:6">
      <c r="A86" s="35"/>
      <c r="B86" s="35"/>
      <c r="C86" s="35" t="s">
        <v>143</v>
      </c>
      <c r="D86" s="35"/>
      <c r="E86" s="35"/>
      <c r="F86" s="35">
        <v>2697.8</v>
      </c>
    </row>
    <row r="87" spans="1:6">
      <c r="A87" s="35"/>
      <c r="B87" s="35"/>
      <c r="C87" s="35"/>
      <c r="D87" s="35"/>
      <c r="E87" s="35"/>
      <c r="F87" s="35" t="s">
        <v>117</v>
      </c>
    </row>
    <row r="88" spans="1:6">
      <c r="A88" s="35"/>
      <c r="B88" s="35"/>
      <c r="C88" s="35" t="s">
        <v>144</v>
      </c>
      <c r="D88" s="35" t="s">
        <v>145</v>
      </c>
      <c r="E88" s="35"/>
      <c r="F88" s="35">
        <v>269.77999999999997</v>
      </c>
    </row>
    <row r="89" spans="1:6">
      <c r="A89" s="35"/>
      <c r="B89" s="35"/>
      <c r="C89" s="35"/>
      <c r="D89" s="35" t="s">
        <v>146</v>
      </c>
      <c r="E89" s="35"/>
      <c r="F89" s="35">
        <v>282.02</v>
      </c>
    </row>
    <row r="91" spans="1:6">
      <c r="A91" s="35"/>
      <c r="B91" s="35"/>
      <c r="C91" s="35"/>
      <c r="D91" s="35"/>
      <c r="E91" s="35"/>
      <c r="F91" s="35" t="s">
        <v>114</v>
      </c>
    </row>
    <row r="92" spans="1:6">
      <c r="A92" s="35" t="s">
        <v>147</v>
      </c>
      <c r="B92" s="35" t="s">
        <v>122</v>
      </c>
      <c r="C92" s="35" t="s">
        <v>148</v>
      </c>
      <c r="D92" s="35"/>
      <c r="E92" s="35"/>
      <c r="F92" s="35"/>
    </row>
    <row r="93" spans="1:6">
      <c r="A93" s="35"/>
      <c r="B93" s="35"/>
      <c r="C93" s="35" t="s">
        <v>149</v>
      </c>
      <c r="D93" s="35"/>
      <c r="E93" s="35"/>
      <c r="F93" s="35"/>
    </row>
    <row r="94" spans="1:6">
      <c r="A94" s="35"/>
      <c r="B94" s="35"/>
      <c r="C94" s="35" t="s">
        <v>117</v>
      </c>
      <c r="D94" s="35"/>
      <c r="E94" s="35"/>
      <c r="F94" s="35"/>
    </row>
    <row r="95" spans="1:6">
      <c r="A95" s="35">
        <v>9</v>
      </c>
      <c r="B95" s="35" t="s">
        <v>108</v>
      </c>
      <c r="C95" s="35" t="s">
        <v>150</v>
      </c>
      <c r="D95" s="35">
        <v>1432.28</v>
      </c>
      <c r="E95" s="35" t="s">
        <v>108</v>
      </c>
      <c r="F95" s="35">
        <v>12890.52</v>
      </c>
    </row>
    <row r="96" spans="1:6">
      <c r="A96" s="35">
        <v>4.5</v>
      </c>
      <c r="B96" s="35" t="s">
        <v>108</v>
      </c>
      <c r="C96" s="35" t="s">
        <v>134</v>
      </c>
      <c r="D96" s="35">
        <v>4090.74</v>
      </c>
      <c r="E96" s="35" t="s">
        <v>108</v>
      </c>
      <c r="F96" s="35">
        <v>18408.330000000002</v>
      </c>
    </row>
    <row r="97" spans="1:6">
      <c r="A97" s="35">
        <v>1.8</v>
      </c>
      <c r="B97" s="35" t="s">
        <v>151</v>
      </c>
      <c r="C97" s="35" t="s">
        <v>152</v>
      </c>
      <c r="D97" s="35">
        <v>1060.8</v>
      </c>
      <c r="E97" s="35" t="s">
        <v>151</v>
      </c>
      <c r="F97" s="35">
        <v>1909.44</v>
      </c>
    </row>
    <row r="98" spans="1:6">
      <c r="A98" s="35">
        <v>17.7</v>
      </c>
      <c r="B98" s="35" t="s">
        <v>151</v>
      </c>
      <c r="C98" s="35" t="s">
        <v>153</v>
      </c>
      <c r="D98" s="35">
        <v>741.6</v>
      </c>
      <c r="E98" s="35" t="s">
        <v>151</v>
      </c>
      <c r="F98" s="35">
        <v>13126.32</v>
      </c>
    </row>
    <row r="99" spans="1:6">
      <c r="A99" s="35">
        <v>14.1</v>
      </c>
      <c r="B99" s="35" t="s">
        <v>151</v>
      </c>
      <c r="C99" s="35" t="s">
        <v>154</v>
      </c>
      <c r="D99" s="35">
        <v>608.4</v>
      </c>
      <c r="E99" s="35" t="s">
        <v>151</v>
      </c>
      <c r="F99" s="35">
        <v>8578.44</v>
      </c>
    </row>
    <row r="100" spans="1:6">
      <c r="A100" s="35"/>
      <c r="B100" s="35" t="s">
        <v>128</v>
      </c>
      <c r="C100" s="35" t="s">
        <v>129</v>
      </c>
      <c r="D100" s="35"/>
      <c r="E100" s="35" t="s">
        <v>128</v>
      </c>
      <c r="F100" s="35">
        <v>0</v>
      </c>
    </row>
    <row r="101" spans="1:6">
      <c r="A101" s="35"/>
      <c r="B101" s="35"/>
      <c r="C101" s="35"/>
      <c r="D101" s="35"/>
      <c r="E101" s="35"/>
      <c r="F101" s="35" t="s">
        <v>117</v>
      </c>
    </row>
    <row r="102" spans="1:6">
      <c r="A102" s="35"/>
      <c r="B102" s="35"/>
      <c r="C102" s="35"/>
      <c r="D102" s="35"/>
      <c r="E102" s="35"/>
      <c r="F102" s="35">
        <v>54913.05</v>
      </c>
    </row>
    <row r="103" spans="1:6">
      <c r="A103" s="35"/>
      <c r="B103" s="35"/>
      <c r="C103" s="35" t="s">
        <v>143</v>
      </c>
      <c r="D103" s="35"/>
      <c r="E103" s="35"/>
      <c r="F103" s="35" t="s">
        <v>117</v>
      </c>
    </row>
    <row r="104" spans="1:6">
      <c r="A104" s="35"/>
      <c r="B104" s="35"/>
      <c r="C104" s="35"/>
      <c r="D104" s="35"/>
      <c r="E104" s="35"/>
      <c r="F104" s="35">
        <v>5491.31</v>
      </c>
    </row>
    <row r="105" spans="1:6">
      <c r="A105" s="35"/>
      <c r="B105" s="35"/>
      <c r="C105" s="35" t="s">
        <v>155</v>
      </c>
      <c r="D105" s="35"/>
      <c r="E105" s="35"/>
      <c r="F105" s="35" t="s">
        <v>156</v>
      </c>
    </row>
    <row r="106" spans="1:6">
      <c r="A106" s="35"/>
      <c r="B106" s="35"/>
      <c r="C106" s="35" t="s">
        <v>157</v>
      </c>
      <c r="D106" s="35"/>
      <c r="E106" s="35"/>
      <c r="F106" s="35"/>
    </row>
    <row r="107" spans="1:6">
      <c r="A107" s="37">
        <v>6.5</v>
      </c>
      <c r="B107" s="35" t="s">
        <v>122</v>
      </c>
      <c r="C107" s="35" t="s">
        <v>158</v>
      </c>
      <c r="D107" s="35"/>
      <c r="E107" s="35"/>
      <c r="F107" s="35"/>
    </row>
    <row r="108" spans="1:6">
      <c r="A108" s="35"/>
      <c r="B108" s="35"/>
      <c r="C108" s="35" t="s">
        <v>159</v>
      </c>
      <c r="D108" s="35"/>
      <c r="E108" s="35"/>
      <c r="F108" s="35"/>
    </row>
    <row r="109" spans="1:6">
      <c r="A109" s="35"/>
      <c r="B109" s="35"/>
      <c r="C109" s="35" t="s">
        <v>117</v>
      </c>
      <c r="D109" s="35"/>
      <c r="E109" s="35"/>
      <c r="F109" s="35"/>
    </row>
    <row r="110" spans="1:6">
      <c r="A110" s="35">
        <v>1300</v>
      </c>
      <c r="B110" s="35" t="s">
        <v>160</v>
      </c>
      <c r="C110" s="35" t="s">
        <v>159</v>
      </c>
      <c r="D110" s="35">
        <v>7320.21</v>
      </c>
      <c r="E110" s="35" t="s">
        <v>161</v>
      </c>
      <c r="F110" s="35">
        <v>9516.27</v>
      </c>
    </row>
    <row r="111" spans="1:6">
      <c r="A111" s="36">
        <v>0.70799999999999996</v>
      </c>
      <c r="B111" s="35" t="s">
        <v>108</v>
      </c>
      <c r="C111" s="35" t="s">
        <v>134</v>
      </c>
      <c r="D111" s="35">
        <v>4090.74</v>
      </c>
      <c r="E111" s="35" t="s">
        <v>108</v>
      </c>
      <c r="F111" s="35">
        <v>2896.24</v>
      </c>
    </row>
    <row r="112" spans="1:6">
      <c r="A112" s="35">
        <v>1</v>
      </c>
      <c r="B112" s="35" t="s">
        <v>151</v>
      </c>
      <c r="C112" s="35" t="s">
        <v>162</v>
      </c>
      <c r="D112" s="35">
        <v>1136.4000000000001</v>
      </c>
      <c r="E112" s="35" t="s">
        <v>151</v>
      </c>
      <c r="F112" s="35">
        <v>1136.4000000000001</v>
      </c>
    </row>
    <row r="113" spans="1:6">
      <c r="A113" s="35">
        <v>3</v>
      </c>
      <c r="B113" s="35" t="s">
        <v>151</v>
      </c>
      <c r="C113" s="35" t="s">
        <v>152</v>
      </c>
      <c r="D113" s="35">
        <v>1060.8</v>
      </c>
      <c r="E113" s="35" t="s">
        <v>151</v>
      </c>
      <c r="F113" s="35">
        <v>3182.4</v>
      </c>
    </row>
    <row r="114" spans="1:6">
      <c r="A114" s="35">
        <v>2</v>
      </c>
      <c r="B114" s="35" t="s">
        <v>151</v>
      </c>
      <c r="C114" s="35" t="s">
        <v>153</v>
      </c>
      <c r="D114" s="35">
        <v>741.6</v>
      </c>
      <c r="E114" s="35" t="s">
        <v>151</v>
      </c>
      <c r="F114" s="35">
        <v>1483.2</v>
      </c>
    </row>
    <row r="115" spans="1:6">
      <c r="A115" s="35">
        <v>6</v>
      </c>
      <c r="B115" s="35" t="s">
        <v>151</v>
      </c>
      <c r="C115" s="35" t="s">
        <v>154</v>
      </c>
      <c r="D115" s="35">
        <v>608.4</v>
      </c>
      <c r="E115" s="35" t="s">
        <v>151</v>
      </c>
      <c r="F115" s="35">
        <v>3650.4</v>
      </c>
    </row>
    <row r="116" spans="1:6">
      <c r="A116" s="35"/>
      <c r="B116" s="35" t="s">
        <v>128</v>
      </c>
      <c r="C116" s="35" t="s">
        <v>129</v>
      </c>
      <c r="D116" s="35"/>
      <c r="E116" s="35" t="s">
        <v>128</v>
      </c>
      <c r="F116" s="35">
        <v>5</v>
      </c>
    </row>
    <row r="117" spans="1:6">
      <c r="A117" s="35"/>
      <c r="B117" s="35"/>
      <c r="C117" s="35"/>
      <c r="D117" s="35"/>
      <c r="E117" s="35"/>
      <c r="F117" s="35" t="s">
        <v>117</v>
      </c>
    </row>
    <row r="118" spans="1:6">
      <c r="A118" s="35"/>
      <c r="B118" s="35"/>
      <c r="C118" s="35" t="s">
        <v>163</v>
      </c>
      <c r="D118" s="35"/>
      <c r="E118" s="35"/>
      <c r="F118" s="35">
        <v>21869.91</v>
      </c>
    </row>
    <row r="119" spans="1:6">
      <c r="A119" s="35"/>
      <c r="B119" s="35"/>
      <c r="C119" s="35"/>
      <c r="D119" s="35"/>
      <c r="E119" s="35"/>
      <c r="F119" s="35" t="s">
        <v>117</v>
      </c>
    </row>
    <row r="120" spans="1:6">
      <c r="A120" s="35"/>
      <c r="B120" s="35"/>
      <c r="C120" s="35" t="s">
        <v>155</v>
      </c>
      <c r="D120" s="35"/>
      <c r="E120" s="35"/>
      <c r="F120" s="35">
        <v>7723.3</v>
      </c>
    </row>
    <row r="121" spans="1:6">
      <c r="A121" s="35"/>
      <c r="B121" s="35"/>
      <c r="C121" s="35"/>
      <c r="D121" s="35"/>
      <c r="E121" s="35"/>
      <c r="F121" s="35" t="s">
        <v>156</v>
      </c>
    </row>
    <row r="122" spans="1:6">
      <c r="A122" s="35"/>
      <c r="B122" s="35"/>
      <c r="C122" s="35" t="s">
        <v>164</v>
      </c>
      <c r="D122" s="35" t="s">
        <v>145</v>
      </c>
      <c r="E122" s="35"/>
      <c r="F122" s="35">
        <v>159.38</v>
      </c>
    </row>
    <row r="123" spans="1:6">
      <c r="A123" s="35" t="s">
        <v>165</v>
      </c>
      <c r="B123" s="35" t="s">
        <v>122</v>
      </c>
      <c r="C123" s="35" t="s">
        <v>166</v>
      </c>
      <c r="D123" s="35"/>
      <c r="E123" s="35"/>
      <c r="F123" s="35"/>
    </row>
    <row r="124" spans="1:6">
      <c r="A124" s="35"/>
      <c r="B124" s="35"/>
      <c r="C124" s="35" t="s">
        <v>167</v>
      </c>
      <c r="D124" s="35"/>
      <c r="E124" s="35"/>
      <c r="F124" s="35"/>
    </row>
    <row r="125" spans="1:6">
      <c r="A125" s="35"/>
      <c r="B125" s="35"/>
      <c r="C125" s="35" t="s">
        <v>117</v>
      </c>
      <c r="D125" s="35"/>
      <c r="E125" s="35"/>
      <c r="F125" s="35"/>
    </row>
    <row r="126" spans="1:6">
      <c r="A126" s="35">
        <v>1</v>
      </c>
      <c r="B126" s="35" t="s">
        <v>108</v>
      </c>
      <c r="C126" s="35" t="s">
        <v>168</v>
      </c>
      <c r="D126" s="35">
        <v>2126.38</v>
      </c>
      <c r="E126" s="35" t="s">
        <v>108</v>
      </c>
      <c r="F126" s="35">
        <v>2126.38</v>
      </c>
    </row>
    <row r="127" spans="1:6">
      <c r="A127" s="35">
        <v>1</v>
      </c>
      <c r="B127" s="35" t="s">
        <v>108</v>
      </c>
      <c r="C127" s="35" t="s">
        <v>169</v>
      </c>
      <c r="D127" s="35">
        <v>38.94</v>
      </c>
      <c r="E127" s="35" t="s">
        <v>108</v>
      </c>
      <c r="F127" s="35">
        <v>38.94</v>
      </c>
    </row>
    <row r="128" spans="1:6">
      <c r="A128" s="35"/>
      <c r="B128" s="35" t="s">
        <v>128</v>
      </c>
      <c r="C128" s="35" t="s">
        <v>129</v>
      </c>
      <c r="D128" s="35" t="s">
        <v>114</v>
      </c>
      <c r="E128" s="35" t="s">
        <v>128</v>
      </c>
      <c r="F128" s="35">
        <v>0</v>
      </c>
    </row>
    <row r="129" spans="1:6">
      <c r="A129" s="35"/>
      <c r="B129" s="35"/>
      <c r="C129" s="35"/>
      <c r="D129" s="35"/>
      <c r="E129" s="35"/>
      <c r="F129" s="35" t="s">
        <v>117</v>
      </c>
    </row>
    <row r="130" spans="1:6">
      <c r="A130" s="35"/>
      <c r="B130" s="35"/>
      <c r="C130" s="35" t="s">
        <v>170</v>
      </c>
      <c r="D130" s="35"/>
      <c r="E130" s="35"/>
      <c r="F130" s="35">
        <v>2165.3200000000002</v>
      </c>
    </row>
    <row r="132" spans="1:6">
      <c r="A132" s="38">
        <v>9</v>
      </c>
      <c r="B132" s="35" t="s">
        <v>122</v>
      </c>
      <c r="C132" s="35" t="s">
        <v>171</v>
      </c>
      <c r="D132" s="35"/>
      <c r="E132" s="35"/>
      <c r="F132" s="35"/>
    </row>
    <row r="133" spans="1:6">
      <c r="A133" s="35"/>
      <c r="B133" s="35"/>
      <c r="C133" s="35" t="s">
        <v>159</v>
      </c>
      <c r="D133" s="35"/>
      <c r="E133" s="35"/>
      <c r="F133" s="35"/>
    </row>
    <row r="134" spans="1:6">
      <c r="A134" s="35"/>
      <c r="B134" s="35"/>
      <c r="C134" s="35" t="s">
        <v>117</v>
      </c>
      <c r="D134" s="35"/>
      <c r="E134" s="35"/>
      <c r="F134" s="35"/>
    </row>
    <row r="135" spans="1:6">
      <c r="A135" s="35">
        <v>1300</v>
      </c>
      <c r="B135" s="35" t="s">
        <v>160</v>
      </c>
      <c r="C135" s="35" t="s">
        <v>159</v>
      </c>
      <c r="D135" s="35">
        <v>7320.21</v>
      </c>
      <c r="E135" s="35" t="s">
        <v>161</v>
      </c>
      <c r="F135" s="35">
        <v>9516.27</v>
      </c>
    </row>
    <row r="136" spans="1:6">
      <c r="A136" s="36">
        <v>0.70799999999999996</v>
      </c>
      <c r="B136" s="35" t="s">
        <v>108</v>
      </c>
      <c r="C136" s="35" t="s">
        <v>135</v>
      </c>
      <c r="D136" s="35">
        <v>3785.35</v>
      </c>
      <c r="E136" s="35" t="s">
        <v>108</v>
      </c>
      <c r="F136" s="35">
        <v>2680.03</v>
      </c>
    </row>
    <row r="137" spans="1:6">
      <c r="A137" s="35">
        <v>1</v>
      </c>
      <c r="B137" s="35" t="s">
        <v>151</v>
      </c>
      <c r="C137" s="35" t="s">
        <v>162</v>
      </c>
      <c r="D137" s="35">
        <v>1136.4000000000001</v>
      </c>
      <c r="E137" s="35" t="s">
        <v>151</v>
      </c>
      <c r="F137" s="35">
        <v>1136.4000000000001</v>
      </c>
    </row>
    <row r="138" spans="1:6">
      <c r="A138" s="35">
        <v>3</v>
      </c>
      <c r="B138" s="35" t="s">
        <v>151</v>
      </c>
      <c r="C138" s="35" t="s">
        <v>152</v>
      </c>
      <c r="D138" s="35">
        <v>1060.8</v>
      </c>
      <c r="E138" s="35" t="s">
        <v>151</v>
      </c>
      <c r="F138" s="35">
        <v>3182.4</v>
      </c>
    </row>
    <row r="139" spans="1:6">
      <c r="A139" s="35">
        <v>2</v>
      </c>
      <c r="B139" s="35" t="s">
        <v>151</v>
      </c>
      <c r="C139" s="35" t="s">
        <v>153</v>
      </c>
      <c r="D139" s="35">
        <v>741.6</v>
      </c>
      <c r="E139" s="35" t="s">
        <v>151</v>
      </c>
      <c r="F139" s="35">
        <v>1483.2</v>
      </c>
    </row>
    <row r="140" spans="1:6">
      <c r="A140" s="35">
        <v>6</v>
      </c>
      <c r="B140" s="35" t="s">
        <v>151</v>
      </c>
      <c r="C140" s="35" t="s">
        <v>154</v>
      </c>
      <c r="D140" s="35">
        <v>608.4</v>
      </c>
      <c r="E140" s="35" t="s">
        <v>151</v>
      </c>
      <c r="F140" s="35">
        <v>3650.4</v>
      </c>
    </row>
    <row r="141" spans="1:6">
      <c r="A141" s="35"/>
      <c r="B141" s="35" t="s">
        <v>128</v>
      </c>
      <c r="C141" s="35" t="s">
        <v>129</v>
      </c>
      <c r="D141" s="35"/>
      <c r="E141" s="35" t="s">
        <v>128</v>
      </c>
      <c r="F141" s="35">
        <v>5</v>
      </c>
    </row>
    <row r="142" spans="1:6">
      <c r="A142" s="35"/>
      <c r="B142" s="35"/>
      <c r="C142" s="35"/>
      <c r="D142" s="35"/>
      <c r="E142" s="35"/>
      <c r="F142" s="35" t="s">
        <v>117</v>
      </c>
    </row>
    <row r="143" spans="1:6">
      <c r="A143" s="35"/>
      <c r="B143" s="35"/>
      <c r="C143" s="35" t="s">
        <v>143</v>
      </c>
      <c r="D143" s="35"/>
      <c r="E143" s="35"/>
      <c r="F143" s="35">
        <v>21653.7</v>
      </c>
    </row>
    <row r="144" spans="1:6">
      <c r="A144" s="35"/>
      <c r="B144" s="35"/>
      <c r="C144" s="35"/>
      <c r="D144" s="35"/>
      <c r="E144" s="35"/>
      <c r="F144" s="35" t="s">
        <v>117</v>
      </c>
    </row>
    <row r="145" spans="1:6">
      <c r="A145" s="35"/>
      <c r="B145" s="35"/>
      <c r="C145" s="35" t="s">
        <v>155</v>
      </c>
      <c r="D145" s="35"/>
      <c r="E145" s="35"/>
      <c r="F145" s="35">
        <v>7646.94</v>
      </c>
    </row>
    <row r="146" spans="1:6">
      <c r="A146" s="35"/>
      <c r="B146" s="35"/>
      <c r="C146" s="35"/>
      <c r="D146" s="35"/>
      <c r="E146" s="35"/>
      <c r="F146" s="35" t="s">
        <v>156</v>
      </c>
    </row>
    <row r="147" spans="1:6">
      <c r="A147" s="35"/>
      <c r="B147" s="35"/>
      <c r="C147" s="35" t="s">
        <v>172</v>
      </c>
      <c r="D147" s="35"/>
      <c r="E147" s="35"/>
      <c r="F147" s="35">
        <v>7736.7</v>
      </c>
    </row>
    <row r="149" spans="1:6">
      <c r="A149" s="35"/>
      <c r="B149" s="35" t="s">
        <v>122</v>
      </c>
      <c r="C149" s="35" t="s">
        <v>175</v>
      </c>
      <c r="D149" s="35"/>
      <c r="E149" s="35"/>
      <c r="F149" s="35"/>
    </row>
    <row r="150" spans="1:6">
      <c r="A150" s="35"/>
      <c r="B150" s="35"/>
      <c r="C150" s="35" t="s">
        <v>117</v>
      </c>
      <c r="D150" s="35"/>
      <c r="E150" s="35"/>
      <c r="F150" s="35"/>
    </row>
    <row r="151" spans="1:6">
      <c r="A151" s="35">
        <v>0.22</v>
      </c>
      <c r="B151" s="35" t="s">
        <v>108</v>
      </c>
      <c r="C151" s="35" t="s">
        <v>134</v>
      </c>
      <c r="D151" s="35">
        <v>4090.74</v>
      </c>
      <c r="E151" s="35" t="s">
        <v>108</v>
      </c>
      <c r="F151" s="35">
        <v>899.96</v>
      </c>
    </row>
    <row r="152" spans="1:6">
      <c r="A152" s="35">
        <v>2.2000000000000002</v>
      </c>
      <c r="B152" s="35" t="s">
        <v>151</v>
      </c>
      <c r="C152" s="35" t="s">
        <v>162</v>
      </c>
      <c r="D152" s="35">
        <v>1136.4000000000001</v>
      </c>
      <c r="E152" s="35" t="s">
        <v>151</v>
      </c>
      <c r="F152" s="35">
        <v>2500.08</v>
      </c>
    </row>
    <row r="153" spans="1:6">
      <c r="A153" s="35">
        <v>0.5</v>
      </c>
      <c r="B153" s="35" t="s">
        <v>151</v>
      </c>
      <c r="C153" s="35" t="s">
        <v>153</v>
      </c>
      <c r="D153" s="35">
        <v>741.6</v>
      </c>
      <c r="E153" s="35" t="s">
        <v>151</v>
      </c>
      <c r="F153" s="35">
        <v>370.8</v>
      </c>
    </row>
    <row r="154" spans="1:6">
      <c r="A154" s="35">
        <v>3.2</v>
      </c>
      <c r="B154" s="35" t="s">
        <v>151</v>
      </c>
      <c r="C154" s="35" t="s">
        <v>154</v>
      </c>
      <c r="D154" s="35">
        <v>608.4</v>
      </c>
      <c r="E154" s="35" t="s">
        <v>151</v>
      </c>
      <c r="F154" s="35">
        <v>1946.88</v>
      </c>
    </row>
    <row r="155" spans="1:6">
      <c r="A155" s="35"/>
      <c r="B155" s="35" t="s">
        <v>128</v>
      </c>
      <c r="C155" s="35" t="s">
        <v>129</v>
      </c>
      <c r="D155" s="35" t="s">
        <v>114</v>
      </c>
      <c r="E155" s="35" t="s">
        <v>128</v>
      </c>
      <c r="F155" s="35">
        <v>0</v>
      </c>
    </row>
    <row r="156" spans="1:6">
      <c r="A156" s="35"/>
      <c r="B156" s="35"/>
      <c r="C156" s="35"/>
      <c r="D156" s="35"/>
      <c r="E156" s="35"/>
      <c r="F156" s="35" t="s">
        <v>117</v>
      </c>
    </row>
    <row r="157" spans="1:6">
      <c r="A157" s="35"/>
      <c r="B157" s="35"/>
      <c r="C157" s="35" t="s">
        <v>176</v>
      </c>
      <c r="D157" s="35"/>
      <c r="E157" s="35"/>
      <c r="F157" s="35">
        <v>5717.72</v>
      </c>
    </row>
    <row r="158" spans="1:6">
      <c r="A158" s="35"/>
      <c r="B158" s="35"/>
      <c r="C158" s="35"/>
      <c r="D158" s="35"/>
      <c r="E158" s="35"/>
      <c r="F158" s="35" t="s">
        <v>117</v>
      </c>
    </row>
    <row r="159" spans="1:6">
      <c r="A159" s="35"/>
      <c r="B159" s="35"/>
      <c r="C159" s="35" t="s">
        <v>177</v>
      </c>
      <c r="D159" s="35"/>
      <c r="E159" s="35"/>
      <c r="F159" s="35">
        <v>571.77</v>
      </c>
    </row>
    <row r="161" spans="1:6">
      <c r="A161" s="35" t="s">
        <v>178</v>
      </c>
      <c r="B161" s="35" t="s">
        <v>122</v>
      </c>
      <c r="C161" s="35" t="s">
        <v>179</v>
      </c>
      <c r="D161" s="35"/>
      <c r="E161" s="35"/>
      <c r="F161" s="35"/>
    </row>
    <row r="162" spans="1:6">
      <c r="A162" s="35"/>
      <c r="B162" s="35"/>
      <c r="C162" s="35" t="s">
        <v>180</v>
      </c>
      <c r="D162" s="35"/>
      <c r="E162" s="35"/>
      <c r="F162" s="35"/>
    </row>
    <row r="163" spans="1:6">
      <c r="A163" s="35"/>
      <c r="B163" s="35"/>
      <c r="C163" s="35" t="s">
        <v>181</v>
      </c>
      <c r="D163" s="35"/>
      <c r="E163" s="35"/>
      <c r="F163" s="35"/>
    </row>
    <row r="164" spans="1:6">
      <c r="A164" s="35"/>
      <c r="B164" s="35"/>
      <c r="C164" s="35" t="s">
        <v>182</v>
      </c>
      <c r="D164" s="35"/>
      <c r="E164" s="35"/>
      <c r="F164" s="35"/>
    </row>
    <row r="165" spans="1:6">
      <c r="A165" s="35"/>
      <c r="B165" s="35"/>
      <c r="C165" s="35" t="s">
        <v>117</v>
      </c>
      <c r="D165" s="35"/>
      <c r="E165" s="35"/>
      <c r="F165" s="35"/>
    </row>
    <row r="166" spans="1:6">
      <c r="A166" s="35">
        <v>1</v>
      </c>
      <c r="B166" s="35" t="s">
        <v>151</v>
      </c>
      <c r="C166" s="35" t="s">
        <v>183</v>
      </c>
      <c r="D166" s="35">
        <v>1201</v>
      </c>
      <c r="E166" s="35" t="s">
        <v>151</v>
      </c>
      <c r="F166" s="35">
        <v>1201</v>
      </c>
    </row>
    <row r="167" spans="1:6">
      <c r="A167" s="35">
        <v>0.65</v>
      </c>
      <c r="B167" s="35" t="s">
        <v>108</v>
      </c>
      <c r="C167" s="35" t="s">
        <v>184</v>
      </c>
      <c r="D167" s="35">
        <v>255</v>
      </c>
      <c r="E167" s="35" t="s">
        <v>108</v>
      </c>
      <c r="F167" s="35">
        <v>165.75</v>
      </c>
    </row>
    <row r="168" spans="1:6">
      <c r="A168" s="35">
        <v>0.56999999999999995</v>
      </c>
      <c r="B168" s="35" t="s">
        <v>108</v>
      </c>
      <c r="C168" s="35" t="s">
        <v>185</v>
      </c>
      <c r="D168" s="35">
        <v>44.34</v>
      </c>
      <c r="E168" s="35" t="s">
        <v>108</v>
      </c>
      <c r="F168" s="35">
        <v>25.27</v>
      </c>
    </row>
    <row r="169" spans="1:6">
      <c r="A169" s="36">
        <v>8.1000000000000003E-2</v>
      </c>
      <c r="B169" s="35" t="s">
        <v>108</v>
      </c>
      <c r="C169" s="35" t="s">
        <v>186</v>
      </c>
      <c r="D169" s="35">
        <v>4846.79</v>
      </c>
      <c r="E169" s="35" t="s">
        <v>108</v>
      </c>
      <c r="F169" s="35">
        <v>392.59</v>
      </c>
    </row>
    <row r="170" spans="1:6">
      <c r="A170" s="35">
        <v>1</v>
      </c>
      <c r="B170" s="35" t="s">
        <v>151</v>
      </c>
      <c r="C170" s="35" t="s">
        <v>187</v>
      </c>
      <c r="D170" s="35">
        <v>985.2</v>
      </c>
      <c r="E170" s="35" t="s">
        <v>151</v>
      </c>
      <c r="F170" s="35">
        <v>985.2</v>
      </c>
    </row>
    <row r="171" spans="1:6">
      <c r="A171" s="35">
        <v>0.5</v>
      </c>
      <c r="B171" s="35" t="s">
        <v>151</v>
      </c>
      <c r="C171" s="35" t="s">
        <v>152</v>
      </c>
      <c r="D171" s="35">
        <v>1060.8</v>
      </c>
      <c r="E171" s="35" t="s">
        <v>151</v>
      </c>
      <c r="F171" s="35">
        <v>530.4</v>
      </c>
    </row>
    <row r="172" spans="1:6">
      <c r="A172" s="35">
        <v>0.5</v>
      </c>
      <c r="B172" s="35" t="s">
        <v>151</v>
      </c>
      <c r="C172" s="35" t="s">
        <v>153</v>
      </c>
      <c r="D172" s="35">
        <v>741.6</v>
      </c>
      <c r="E172" s="35" t="s">
        <v>151</v>
      </c>
      <c r="F172" s="35">
        <v>370.8</v>
      </c>
    </row>
    <row r="173" spans="1:6">
      <c r="A173" s="35"/>
      <c r="B173" s="35" t="s">
        <v>128</v>
      </c>
      <c r="C173" s="35" t="s">
        <v>129</v>
      </c>
      <c r="D173" s="35" t="s">
        <v>114</v>
      </c>
      <c r="E173" s="35" t="s">
        <v>128</v>
      </c>
      <c r="F173" s="35">
        <v>1.25</v>
      </c>
    </row>
    <row r="174" spans="1:6">
      <c r="A174" s="35"/>
      <c r="B174" s="35"/>
      <c r="C174" s="35"/>
      <c r="D174" s="35"/>
      <c r="E174" s="35"/>
      <c r="F174" s="35" t="s">
        <v>117</v>
      </c>
    </row>
    <row r="175" spans="1:6">
      <c r="A175" s="35"/>
      <c r="B175" s="35"/>
      <c r="C175" s="35" t="s">
        <v>188</v>
      </c>
      <c r="D175" s="35"/>
      <c r="E175" s="35"/>
      <c r="F175" s="35">
        <v>3672.26</v>
      </c>
    </row>
    <row r="176" spans="1:6">
      <c r="A176" s="35"/>
      <c r="B176" s="35"/>
      <c r="C176" s="35"/>
      <c r="D176" s="35"/>
      <c r="E176" s="35"/>
      <c r="F176" s="35" t="s">
        <v>156</v>
      </c>
    </row>
    <row r="177" spans="1:6">
      <c r="A177" s="35"/>
      <c r="B177" s="35"/>
      <c r="C177" s="35" t="s">
        <v>189</v>
      </c>
      <c r="D177" s="35"/>
      <c r="E177" s="35"/>
      <c r="F177" s="35"/>
    </row>
    <row r="178" spans="1:6">
      <c r="A178" s="35"/>
      <c r="B178" s="35"/>
      <c r="C178" s="35" t="s">
        <v>190</v>
      </c>
      <c r="D178" s="35"/>
      <c r="E178" s="35"/>
      <c r="F178" s="35"/>
    </row>
    <row r="179" spans="1:6">
      <c r="A179" s="35"/>
      <c r="B179" s="35"/>
      <c r="C179" s="35" t="s">
        <v>191</v>
      </c>
      <c r="D179" s="35"/>
      <c r="E179" s="35"/>
      <c r="F179" s="35"/>
    </row>
    <row r="180" spans="1:6">
      <c r="A180" s="35">
        <v>0.1</v>
      </c>
      <c r="B180" s="35" t="s">
        <v>192</v>
      </c>
      <c r="C180" s="35" t="s">
        <v>193</v>
      </c>
      <c r="D180" s="35">
        <v>1003.2</v>
      </c>
      <c r="E180" s="35" t="s">
        <v>194</v>
      </c>
      <c r="F180" s="35">
        <v>100.32</v>
      </c>
    </row>
    <row r="181" spans="1:6">
      <c r="A181" s="35">
        <v>0.1</v>
      </c>
      <c r="B181" s="35" t="s">
        <v>195</v>
      </c>
      <c r="C181" s="35" t="s">
        <v>196</v>
      </c>
      <c r="D181" s="35">
        <v>741.6</v>
      </c>
      <c r="E181" s="35" t="s">
        <v>194</v>
      </c>
      <c r="F181" s="35">
        <v>74.16</v>
      </c>
    </row>
    <row r="182" spans="1:6">
      <c r="A182" s="35">
        <v>10</v>
      </c>
      <c r="B182" s="35" t="s">
        <v>197</v>
      </c>
      <c r="C182" s="35" t="s">
        <v>198</v>
      </c>
      <c r="D182" s="35">
        <v>18.45</v>
      </c>
      <c r="E182" s="35" t="s">
        <v>199</v>
      </c>
      <c r="F182" s="35">
        <v>1.85</v>
      </c>
    </row>
    <row r="183" spans="1:6">
      <c r="A183" s="35">
        <v>0.25</v>
      </c>
      <c r="B183" s="35" t="s">
        <v>192</v>
      </c>
      <c r="C183" s="35" t="s">
        <v>200</v>
      </c>
      <c r="D183" s="35">
        <v>3.6</v>
      </c>
      <c r="E183" s="35" t="s">
        <v>194</v>
      </c>
      <c r="F183" s="35">
        <v>1</v>
      </c>
    </row>
    <row r="184" spans="1:6">
      <c r="A184" s="35"/>
      <c r="B184" s="35"/>
      <c r="C184" s="35"/>
      <c r="D184" s="35" t="s">
        <v>201</v>
      </c>
      <c r="E184" s="35"/>
      <c r="F184" s="35">
        <v>177.33</v>
      </c>
    </row>
    <row r="185" spans="1:6">
      <c r="A185" s="35"/>
      <c r="B185" s="35"/>
      <c r="C185" s="35"/>
      <c r="D185" s="35"/>
      <c r="E185" s="35"/>
      <c r="F185" s="35"/>
    </row>
    <row r="186" spans="1:6">
      <c r="A186" s="35"/>
      <c r="B186" s="35"/>
      <c r="C186" s="35" t="s">
        <v>202</v>
      </c>
      <c r="D186" s="35" t="s">
        <v>203</v>
      </c>
      <c r="E186" s="35" t="s">
        <v>203</v>
      </c>
      <c r="F186" s="35" t="s">
        <v>204</v>
      </c>
    </row>
    <row r="187" spans="1:6">
      <c r="A187" s="35"/>
      <c r="B187" s="35"/>
      <c r="C187" s="35"/>
      <c r="D187" s="35">
        <v>331</v>
      </c>
      <c r="E187" s="35">
        <v>331</v>
      </c>
      <c r="F187" s="35">
        <v>283</v>
      </c>
    </row>
    <row r="188" spans="1:6">
      <c r="A188" s="35"/>
      <c r="B188" s="35"/>
      <c r="C188" s="35" t="s">
        <v>205</v>
      </c>
      <c r="D188" s="35">
        <v>177.33</v>
      </c>
      <c r="E188" s="35">
        <v>177.33</v>
      </c>
      <c r="F188" s="35">
        <v>177.33</v>
      </c>
    </row>
    <row r="189" spans="1:6">
      <c r="A189" s="35"/>
      <c r="B189" s="35"/>
      <c r="C189" s="35" t="s">
        <v>206</v>
      </c>
      <c r="D189" s="35">
        <v>508.33</v>
      </c>
      <c r="E189" s="35">
        <v>508.33</v>
      </c>
      <c r="F189" s="35">
        <v>460.33</v>
      </c>
    </row>
    <row r="190" spans="1:6">
      <c r="A190" s="35"/>
      <c r="B190" s="35"/>
      <c r="C190" s="35"/>
      <c r="D190" s="35">
        <v>509</v>
      </c>
      <c r="E190" s="35">
        <v>509</v>
      </c>
      <c r="F190" s="35">
        <v>461</v>
      </c>
    </row>
    <row r="191" spans="1:6">
      <c r="A191" s="35"/>
      <c r="B191" s="35"/>
      <c r="C191" s="35"/>
      <c r="D191" s="35"/>
      <c r="E191" s="35"/>
      <c r="F191" s="35"/>
    </row>
    <row r="192" spans="1:6">
      <c r="A192" s="35" t="s">
        <v>207</v>
      </c>
      <c r="B192" s="35" t="s">
        <v>122</v>
      </c>
      <c r="C192" s="35" t="s">
        <v>208</v>
      </c>
      <c r="D192" s="35"/>
      <c r="E192" s="35"/>
      <c r="F192" s="35"/>
    </row>
    <row r="193" spans="1:6">
      <c r="A193" s="35"/>
      <c r="B193" s="35"/>
      <c r="C193" s="35" t="s">
        <v>209</v>
      </c>
      <c r="D193" s="35"/>
      <c r="E193" s="35"/>
      <c r="F193" s="35"/>
    </row>
    <row r="194" spans="1:6">
      <c r="A194" s="35"/>
      <c r="B194" s="35"/>
      <c r="C194" s="35" t="s">
        <v>117</v>
      </c>
      <c r="D194" s="35"/>
      <c r="E194" s="35"/>
      <c r="F194" s="35"/>
    </row>
    <row r="195" spans="1:6">
      <c r="A195" s="35">
        <v>1</v>
      </c>
      <c r="B195" s="35" t="s">
        <v>151</v>
      </c>
      <c r="C195" s="35" t="s">
        <v>210</v>
      </c>
      <c r="D195" s="35">
        <v>156</v>
      </c>
      <c r="E195" s="35" t="s">
        <v>151</v>
      </c>
      <c r="F195" s="35">
        <v>156</v>
      </c>
    </row>
    <row r="196" spans="1:6">
      <c r="A196" s="35"/>
      <c r="B196" s="35" t="s">
        <v>128</v>
      </c>
      <c r="C196" s="35" t="s">
        <v>211</v>
      </c>
      <c r="D196" s="35"/>
      <c r="E196" s="35" t="s">
        <v>128</v>
      </c>
      <c r="F196" s="35">
        <v>4</v>
      </c>
    </row>
    <row r="197" spans="1:6">
      <c r="A197" s="35"/>
      <c r="B197" s="35"/>
      <c r="C197" s="35"/>
      <c r="D197" s="35"/>
      <c r="E197" s="35" t="s">
        <v>114</v>
      </c>
      <c r="F197" s="35" t="s">
        <v>117</v>
      </c>
    </row>
    <row r="198" spans="1:6">
      <c r="A198" s="35"/>
      <c r="B198" s="35"/>
      <c r="C198" s="35" t="s">
        <v>188</v>
      </c>
      <c r="D198" s="35"/>
      <c r="E198" s="35"/>
      <c r="F198" s="35">
        <v>160</v>
      </c>
    </row>
    <row r="200" spans="1:6">
      <c r="A200" s="35">
        <v>39</v>
      </c>
      <c r="B200" s="35"/>
      <c r="C200" s="35" t="s">
        <v>212</v>
      </c>
      <c r="D200" s="35">
        <v>70.150000000000006</v>
      </c>
      <c r="E200" s="35" t="s">
        <v>213</v>
      </c>
      <c r="F200" s="35">
        <v>70.150000000000006</v>
      </c>
    </row>
    <row r="202" spans="1:6">
      <c r="A202" s="35" t="s">
        <v>214</v>
      </c>
      <c r="B202" s="35"/>
      <c r="C202" s="35" t="s">
        <v>215</v>
      </c>
      <c r="D202" s="35"/>
      <c r="E202" s="35"/>
      <c r="F202" s="35">
        <v>10.050000000000001</v>
      </c>
    </row>
    <row r="203" spans="1:6">
      <c r="A203" s="35"/>
      <c r="B203" s="35"/>
      <c r="C203" s="35" t="s">
        <v>216</v>
      </c>
      <c r="D203" s="35"/>
      <c r="E203" s="35"/>
      <c r="F203" s="35">
        <v>20100</v>
      </c>
    </row>
    <row r="204" spans="1:6">
      <c r="A204" s="35"/>
      <c r="B204" s="35"/>
      <c r="C204" s="35"/>
      <c r="D204" s="35"/>
      <c r="E204" s="35"/>
      <c r="F204" s="35"/>
    </row>
    <row r="206" spans="1:6">
      <c r="A206" s="37">
        <v>29.5</v>
      </c>
      <c r="B206" s="35" t="s">
        <v>122</v>
      </c>
      <c r="C206" s="35" t="s">
        <v>217</v>
      </c>
      <c r="D206" s="35"/>
      <c r="E206" s="35"/>
      <c r="F206" s="35"/>
    </row>
    <row r="207" spans="1:6">
      <c r="A207" s="35"/>
      <c r="B207" s="35"/>
      <c r="C207" s="35" t="s">
        <v>218</v>
      </c>
      <c r="D207" s="35"/>
      <c r="E207" s="35"/>
      <c r="F207" s="35"/>
    </row>
    <row r="208" spans="1:6">
      <c r="A208" s="35"/>
      <c r="B208" s="35"/>
      <c r="C208" s="35" t="s">
        <v>219</v>
      </c>
      <c r="D208" s="35"/>
      <c r="E208" s="35"/>
      <c r="F208" s="35"/>
    </row>
    <row r="209" spans="1:6">
      <c r="A209" s="35"/>
      <c r="B209" s="35"/>
      <c r="C209" s="35" t="s">
        <v>117</v>
      </c>
      <c r="D209" s="35" t="s">
        <v>117</v>
      </c>
      <c r="E209" s="35"/>
      <c r="F209" s="35"/>
    </row>
    <row r="210" spans="1:6">
      <c r="A210" s="35">
        <v>10</v>
      </c>
      <c r="B210" s="35" t="s">
        <v>107</v>
      </c>
      <c r="C210" s="35" t="s">
        <v>220</v>
      </c>
      <c r="D210" s="35">
        <v>377.86</v>
      </c>
      <c r="E210" s="35" t="s">
        <v>107</v>
      </c>
      <c r="F210" s="35">
        <v>3778.6</v>
      </c>
    </row>
    <row r="211" spans="1:6">
      <c r="A211" s="35">
        <v>0.21</v>
      </c>
      <c r="B211" s="35" t="s">
        <v>108</v>
      </c>
      <c r="C211" s="35" t="s">
        <v>221</v>
      </c>
      <c r="D211" s="35">
        <v>5312.32</v>
      </c>
      <c r="E211" s="35" t="s">
        <v>108</v>
      </c>
      <c r="F211" s="35">
        <v>1115.5899999999999</v>
      </c>
    </row>
    <row r="212" spans="1:6">
      <c r="A212" s="35"/>
      <c r="B212" s="35"/>
      <c r="C212" s="35" t="s">
        <v>222</v>
      </c>
      <c r="D212" s="35" t="s">
        <v>114</v>
      </c>
      <c r="E212" s="35"/>
      <c r="F212" s="35" t="s">
        <v>114</v>
      </c>
    </row>
    <row r="213" spans="1:6">
      <c r="A213" s="35">
        <v>1.1000000000000001</v>
      </c>
      <c r="B213" s="35" t="s">
        <v>223</v>
      </c>
      <c r="C213" s="35" t="s">
        <v>162</v>
      </c>
      <c r="D213" s="35">
        <v>1136.4000000000001</v>
      </c>
      <c r="E213" s="35" t="s">
        <v>223</v>
      </c>
      <c r="F213" s="35">
        <v>1250.04</v>
      </c>
    </row>
    <row r="214" spans="1:6">
      <c r="A214" s="35">
        <v>1.1000000000000001</v>
      </c>
      <c r="B214" s="35" t="s">
        <v>223</v>
      </c>
      <c r="C214" s="35" t="s">
        <v>152</v>
      </c>
      <c r="D214" s="35">
        <v>1060.8</v>
      </c>
      <c r="E214" s="35" t="s">
        <v>223</v>
      </c>
      <c r="F214" s="35">
        <v>1166.8800000000001</v>
      </c>
    </row>
    <row r="215" spans="1:6">
      <c r="A215" s="35">
        <v>2.2000000000000002</v>
      </c>
      <c r="B215" s="35" t="s">
        <v>223</v>
      </c>
      <c r="C215" s="35" t="s">
        <v>153</v>
      </c>
      <c r="D215" s="35">
        <v>741.6</v>
      </c>
      <c r="E215" s="35" t="s">
        <v>223</v>
      </c>
      <c r="F215" s="35">
        <v>1631.52</v>
      </c>
    </row>
    <row r="216" spans="1:6">
      <c r="A216" s="35">
        <v>2.2000000000000002</v>
      </c>
      <c r="B216" s="35" t="s">
        <v>223</v>
      </c>
      <c r="C216" s="35" t="s">
        <v>154</v>
      </c>
      <c r="D216" s="35">
        <v>608.4</v>
      </c>
      <c r="E216" s="35" t="s">
        <v>223</v>
      </c>
      <c r="F216" s="35">
        <v>1338.48</v>
      </c>
    </row>
    <row r="217" spans="1:6">
      <c r="A217" s="36">
        <v>20</v>
      </c>
      <c r="B217" s="35" t="s">
        <v>213</v>
      </c>
      <c r="C217" s="35" t="s">
        <v>125</v>
      </c>
      <c r="D217" s="35">
        <v>6362.37</v>
      </c>
      <c r="E217" s="35" t="s">
        <v>124</v>
      </c>
      <c r="F217" s="35">
        <v>127.25</v>
      </c>
    </row>
    <row r="218" spans="1:6">
      <c r="A218" s="36">
        <v>2</v>
      </c>
      <c r="B218" s="35" t="s">
        <v>213</v>
      </c>
      <c r="C218" s="35" t="s">
        <v>224</v>
      </c>
      <c r="D218" s="35">
        <v>36.1</v>
      </c>
      <c r="E218" s="35" t="s">
        <v>213</v>
      </c>
      <c r="F218" s="35">
        <v>72.2</v>
      </c>
    </row>
    <row r="219" spans="1:6">
      <c r="A219" s="35">
        <v>1.6</v>
      </c>
      <c r="B219" s="35" t="s">
        <v>223</v>
      </c>
      <c r="C219" s="35" t="s">
        <v>152</v>
      </c>
      <c r="D219" s="35">
        <v>1060.8</v>
      </c>
      <c r="E219" s="35" t="s">
        <v>223</v>
      </c>
      <c r="F219" s="35">
        <v>1697.28</v>
      </c>
    </row>
    <row r="220" spans="1:6">
      <c r="A220" s="35">
        <v>0.5</v>
      </c>
      <c r="B220" s="35" t="s">
        <v>223</v>
      </c>
      <c r="C220" s="35" t="s">
        <v>153</v>
      </c>
      <c r="D220" s="35">
        <v>741.6</v>
      </c>
      <c r="E220" s="35" t="s">
        <v>223</v>
      </c>
      <c r="F220" s="35">
        <v>370.8</v>
      </c>
    </row>
    <row r="221" spans="1:6">
      <c r="A221" s="35">
        <v>1.1000000000000001</v>
      </c>
      <c r="B221" s="35" t="s">
        <v>223</v>
      </c>
      <c r="C221" s="35" t="s">
        <v>154</v>
      </c>
      <c r="D221" s="35">
        <v>608.4</v>
      </c>
      <c r="E221" s="35" t="s">
        <v>223</v>
      </c>
      <c r="F221" s="35">
        <v>669.24</v>
      </c>
    </row>
    <row r="222" spans="1:6">
      <c r="A222" s="35"/>
      <c r="B222" s="35" t="s">
        <v>128</v>
      </c>
      <c r="C222" s="35" t="s">
        <v>129</v>
      </c>
      <c r="D222" s="35"/>
      <c r="E222" s="35" t="s">
        <v>128</v>
      </c>
      <c r="F222" s="35">
        <v>0</v>
      </c>
    </row>
    <row r="223" spans="1:6">
      <c r="A223" s="35"/>
      <c r="B223" s="35"/>
      <c r="C223" s="35"/>
      <c r="D223" s="35"/>
      <c r="E223" s="35"/>
      <c r="F223" s="35" t="s">
        <v>117</v>
      </c>
    </row>
    <row r="224" spans="1:6">
      <c r="A224" s="35"/>
      <c r="B224" s="35"/>
      <c r="C224" s="35" t="s">
        <v>176</v>
      </c>
      <c r="D224" s="35"/>
      <c r="E224" s="35"/>
      <c r="F224" s="35">
        <v>13217.88</v>
      </c>
    </row>
    <row r="225" spans="1:6">
      <c r="A225" s="35"/>
      <c r="B225" s="35"/>
      <c r="C225" s="35"/>
      <c r="D225" s="35"/>
      <c r="E225" s="35"/>
      <c r="F225" s="35" t="s">
        <v>117</v>
      </c>
    </row>
    <row r="226" spans="1:6">
      <c r="A226" s="35"/>
      <c r="B226" s="35"/>
      <c r="C226" s="35" t="s">
        <v>177</v>
      </c>
      <c r="D226" s="35"/>
      <c r="E226" s="35"/>
      <c r="F226" s="35">
        <v>1321.79</v>
      </c>
    </row>
    <row r="227" spans="1:6">
      <c r="A227" s="35"/>
      <c r="B227" s="35"/>
      <c r="C227" s="35"/>
      <c r="D227" s="35"/>
      <c r="E227" s="35"/>
      <c r="F227" s="35" t="s">
        <v>156</v>
      </c>
    </row>
    <row r="228" spans="1:6">
      <c r="A228" s="37">
        <v>29.4</v>
      </c>
      <c r="B228" s="35" t="s">
        <v>122</v>
      </c>
      <c r="C228" s="35" t="s">
        <v>225</v>
      </c>
      <c r="D228" s="35"/>
      <c r="E228" s="35"/>
      <c r="F228" s="35"/>
    </row>
    <row r="229" spans="1:6">
      <c r="A229" s="35"/>
      <c r="B229" s="35"/>
      <c r="C229" s="35" t="s">
        <v>226</v>
      </c>
      <c r="D229" s="35"/>
      <c r="E229" s="35"/>
      <c r="F229" s="35"/>
    </row>
    <row r="230" spans="1:6">
      <c r="A230" s="35"/>
      <c r="B230" s="35"/>
      <c r="C230" s="35" t="s">
        <v>117</v>
      </c>
      <c r="D230" s="35"/>
      <c r="E230" s="35"/>
      <c r="F230" s="35"/>
    </row>
    <row r="231" spans="1:6">
      <c r="A231" s="35">
        <v>1.86</v>
      </c>
      <c r="B231" s="35" t="s">
        <v>107</v>
      </c>
      <c r="C231" s="35" t="s">
        <v>227</v>
      </c>
      <c r="D231" s="35">
        <v>415</v>
      </c>
      <c r="E231" s="35" t="s">
        <v>107</v>
      </c>
      <c r="F231" s="35">
        <v>771.9</v>
      </c>
    </row>
    <row r="232" spans="1:6">
      <c r="A232" s="35">
        <v>0.4</v>
      </c>
      <c r="B232" s="35" t="s">
        <v>213</v>
      </c>
      <c r="C232" s="35" t="s">
        <v>228</v>
      </c>
      <c r="D232" s="35">
        <v>36.1</v>
      </c>
      <c r="E232" s="35" t="s">
        <v>213</v>
      </c>
      <c r="F232" s="35">
        <v>14.44</v>
      </c>
    </row>
    <row r="233" spans="1:6">
      <c r="A233" s="35">
        <v>0.02</v>
      </c>
      <c r="B233" s="35" t="s">
        <v>108</v>
      </c>
      <c r="C233" s="35" t="s">
        <v>229</v>
      </c>
      <c r="D233" s="35">
        <v>6839.29</v>
      </c>
      <c r="E233" s="35" t="s">
        <v>108</v>
      </c>
      <c r="F233" s="35">
        <v>136.79</v>
      </c>
    </row>
    <row r="234" spans="1:6">
      <c r="A234" s="35">
        <v>1</v>
      </c>
      <c r="B234" s="35" t="s">
        <v>223</v>
      </c>
      <c r="C234" s="35" t="s">
        <v>162</v>
      </c>
      <c r="D234" s="35">
        <v>1136.4000000000001</v>
      </c>
      <c r="E234" s="35" t="s">
        <v>223</v>
      </c>
      <c r="F234" s="35">
        <v>1136.4000000000001</v>
      </c>
    </row>
    <row r="235" spans="1:6">
      <c r="A235" s="35">
        <v>1</v>
      </c>
      <c r="B235" s="35" t="s">
        <v>223</v>
      </c>
      <c r="C235" s="35" t="s">
        <v>230</v>
      </c>
      <c r="D235" s="35">
        <v>741.6</v>
      </c>
      <c r="E235" s="35" t="s">
        <v>223</v>
      </c>
      <c r="F235" s="35">
        <v>741.6</v>
      </c>
    </row>
    <row r="236" spans="1:6">
      <c r="A236" s="35"/>
      <c r="B236" s="35" t="s">
        <v>128</v>
      </c>
      <c r="C236" s="35" t="s">
        <v>129</v>
      </c>
      <c r="D236" s="35"/>
      <c r="E236" s="35" t="s">
        <v>128</v>
      </c>
      <c r="F236" s="35"/>
    </row>
    <row r="237" spans="1:6">
      <c r="A237" s="35"/>
      <c r="B237" s="35"/>
      <c r="C237" s="35"/>
      <c r="D237" s="35"/>
      <c r="E237" s="35"/>
      <c r="F237" s="35" t="s">
        <v>117</v>
      </c>
    </row>
    <row r="238" spans="1:6">
      <c r="A238" s="35"/>
      <c r="B238" s="35"/>
      <c r="C238" s="35" t="s">
        <v>231</v>
      </c>
      <c r="D238" s="35"/>
      <c r="E238" s="35"/>
      <c r="F238" s="35">
        <v>2801.13</v>
      </c>
    </row>
    <row r="239" spans="1:6">
      <c r="A239" s="35"/>
      <c r="B239" s="35"/>
      <c r="C239" s="35"/>
      <c r="D239" s="35"/>
      <c r="E239" s="35"/>
      <c r="F239" s="35" t="s">
        <v>117</v>
      </c>
    </row>
    <row r="240" spans="1:6">
      <c r="A240" s="35"/>
      <c r="B240" s="35"/>
      <c r="C240" s="35" t="s">
        <v>177</v>
      </c>
      <c r="D240" s="35"/>
      <c r="E240" s="35"/>
      <c r="F240" s="35">
        <v>1505.98</v>
      </c>
    </row>
    <row r="241" spans="1:6">
      <c r="A241" s="35"/>
      <c r="B241" s="35"/>
      <c r="C241" s="35"/>
      <c r="D241" s="35"/>
      <c r="E241" s="35"/>
      <c r="F241" s="35" t="s">
        <v>156</v>
      </c>
    </row>
    <row r="242" spans="1:6">
      <c r="A242" s="35" t="s">
        <v>232</v>
      </c>
      <c r="B242" s="35" t="s">
        <v>122</v>
      </c>
      <c r="C242" s="35" t="s">
        <v>233</v>
      </c>
      <c r="D242" s="35"/>
      <c r="E242" s="35"/>
      <c r="F242" s="35"/>
    </row>
    <row r="243" spans="1:6">
      <c r="A243" s="35"/>
      <c r="B243" s="35"/>
      <c r="C243" s="35" t="s">
        <v>234</v>
      </c>
      <c r="D243" s="35"/>
      <c r="E243" s="35"/>
      <c r="F243" s="35"/>
    </row>
    <row r="244" spans="1:6">
      <c r="A244" s="35"/>
      <c r="B244" s="35"/>
      <c r="C244" s="35" t="s">
        <v>117</v>
      </c>
      <c r="D244" s="35"/>
      <c r="E244" s="35"/>
      <c r="F244" s="35"/>
    </row>
    <row r="245" spans="1:6">
      <c r="A245" s="35"/>
      <c r="B245" s="35" t="s">
        <v>235</v>
      </c>
      <c r="C245" s="35" t="s">
        <v>236</v>
      </c>
      <c r="D245" s="35"/>
      <c r="E245" s="35"/>
      <c r="F245" s="35"/>
    </row>
    <row r="246" spans="1:6">
      <c r="A246" s="35"/>
      <c r="B246" s="35"/>
      <c r="C246" s="35" t="s">
        <v>237</v>
      </c>
      <c r="D246" s="35"/>
      <c r="E246" s="35"/>
      <c r="F246" s="35"/>
    </row>
    <row r="247" spans="1:6">
      <c r="A247" s="35"/>
      <c r="B247" s="35"/>
      <c r="C247" s="35" t="s">
        <v>238</v>
      </c>
      <c r="D247" s="35"/>
      <c r="E247" s="35"/>
      <c r="F247" s="35"/>
    </row>
    <row r="248" spans="1:6">
      <c r="A248" s="35"/>
      <c r="B248" s="35"/>
      <c r="C248" s="35" t="s">
        <v>239</v>
      </c>
      <c r="D248" s="35"/>
      <c r="E248" s="35"/>
      <c r="F248" s="35"/>
    </row>
    <row r="249" spans="1:6">
      <c r="A249" s="35"/>
      <c r="B249" s="35"/>
      <c r="C249" s="35" t="s">
        <v>240</v>
      </c>
      <c r="D249" s="35"/>
      <c r="E249" s="35"/>
      <c r="F249" s="35"/>
    </row>
    <row r="250" spans="1:6">
      <c r="A250" s="35"/>
      <c r="B250" s="35"/>
      <c r="C250" s="35" t="s">
        <v>241</v>
      </c>
      <c r="D250" s="35"/>
      <c r="E250" s="35"/>
      <c r="F250" s="35"/>
    </row>
    <row r="251" spans="1:6">
      <c r="A251" s="35"/>
      <c r="B251" s="35"/>
      <c r="C251" s="35" t="s">
        <v>242</v>
      </c>
      <c r="D251" s="35"/>
      <c r="E251" s="35"/>
      <c r="F251" s="35"/>
    </row>
    <row r="252" spans="1:6">
      <c r="A252" s="35"/>
      <c r="B252" s="35"/>
      <c r="C252" s="35" t="s">
        <v>117</v>
      </c>
      <c r="D252" s="35"/>
      <c r="E252" s="35"/>
      <c r="F252" s="35"/>
    </row>
    <row r="253" spans="1:6">
      <c r="A253" s="35">
        <v>3</v>
      </c>
      <c r="B253" s="35" t="s">
        <v>110</v>
      </c>
      <c r="C253" s="35" t="s">
        <v>243</v>
      </c>
      <c r="D253" s="35">
        <v>193.05</v>
      </c>
      <c r="E253" s="35" t="s">
        <v>110</v>
      </c>
      <c r="F253" s="35">
        <v>579.15</v>
      </c>
    </row>
    <row r="254" spans="1:6">
      <c r="A254" s="35">
        <v>1</v>
      </c>
      <c r="B254" s="35" t="s">
        <v>223</v>
      </c>
      <c r="C254" s="35" t="s">
        <v>244</v>
      </c>
      <c r="D254" s="35">
        <v>76</v>
      </c>
      <c r="E254" s="35" t="s">
        <v>245</v>
      </c>
      <c r="F254" s="35">
        <v>76</v>
      </c>
    </row>
    <row r="255" spans="1:6">
      <c r="A255" s="35">
        <v>1</v>
      </c>
      <c r="B255" s="35" t="s">
        <v>223</v>
      </c>
      <c r="C255" s="35" t="s">
        <v>246</v>
      </c>
      <c r="D255" s="35">
        <v>82.3</v>
      </c>
      <c r="E255" s="35" t="s">
        <v>245</v>
      </c>
      <c r="F255" s="35">
        <v>82.3</v>
      </c>
    </row>
    <row r="256" spans="1:6">
      <c r="A256" s="35">
        <v>1</v>
      </c>
      <c r="B256" s="35" t="s">
        <v>223</v>
      </c>
      <c r="C256" s="35" t="s">
        <v>247</v>
      </c>
      <c r="D256" s="35">
        <v>187.8</v>
      </c>
      <c r="E256" s="35" t="s">
        <v>245</v>
      </c>
      <c r="F256" s="35">
        <v>187.8</v>
      </c>
    </row>
    <row r="257" spans="1:6">
      <c r="A257" s="35">
        <v>0.5</v>
      </c>
      <c r="B257" s="35" t="s">
        <v>151</v>
      </c>
      <c r="C257" s="35" t="s">
        <v>187</v>
      </c>
      <c r="D257" s="35">
        <v>985.2</v>
      </c>
      <c r="E257" s="35" t="s">
        <v>245</v>
      </c>
      <c r="F257" s="35">
        <v>492.6</v>
      </c>
    </row>
    <row r="258" spans="1:6">
      <c r="A258" s="35">
        <v>0.5</v>
      </c>
      <c r="B258" s="35" t="s">
        <v>151</v>
      </c>
      <c r="C258" s="35" t="s">
        <v>152</v>
      </c>
      <c r="D258" s="35">
        <v>1060.8</v>
      </c>
      <c r="E258" s="35" t="s">
        <v>245</v>
      </c>
      <c r="F258" s="35">
        <v>530.4</v>
      </c>
    </row>
    <row r="259" spans="1:6">
      <c r="A259" s="35">
        <v>0.5</v>
      </c>
      <c r="B259" s="35" t="s">
        <v>151</v>
      </c>
      <c r="C259" s="35" t="s">
        <v>153</v>
      </c>
      <c r="D259" s="35">
        <v>741.6</v>
      </c>
      <c r="E259" s="35" t="s">
        <v>245</v>
      </c>
      <c r="F259" s="35">
        <v>370.8</v>
      </c>
    </row>
    <row r="260" spans="1:6">
      <c r="A260" s="35"/>
      <c r="B260" s="35" t="s">
        <v>128</v>
      </c>
      <c r="C260" s="35" t="s">
        <v>248</v>
      </c>
      <c r="D260" s="35">
        <v>2.79</v>
      </c>
      <c r="E260" s="35" t="s">
        <v>128</v>
      </c>
      <c r="F260" s="35">
        <v>2.79</v>
      </c>
    </row>
    <row r="261" spans="1:6">
      <c r="A261" s="35"/>
      <c r="B261" s="35"/>
      <c r="C261" s="35" t="s">
        <v>249</v>
      </c>
      <c r="D261" s="35"/>
      <c r="E261" s="35"/>
      <c r="F261" s="35"/>
    </row>
    <row r="262" spans="1:6">
      <c r="A262" s="35"/>
      <c r="B262" s="35"/>
      <c r="C262" s="35" t="s">
        <v>250</v>
      </c>
      <c r="D262" s="35"/>
      <c r="E262" s="35"/>
      <c r="F262" s="35"/>
    </row>
    <row r="263" spans="1:6">
      <c r="A263" s="35"/>
      <c r="B263" s="35"/>
      <c r="C263" s="35" t="s">
        <v>251</v>
      </c>
      <c r="D263" s="35"/>
      <c r="E263" s="35" t="s">
        <v>128</v>
      </c>
      <c r="F263" s="35">
        <v>0.12</v>
      </c>
    </row>
    <row r="264" spans="1:6">
      <c r="A264" s="35"/>
      <c r="B264" s="35"/>
      <c r="C264" s="35"/>
      <c r="D264" s="35"/>
      <c r="E264" s="35"/>
      <c r="F264" s="35" t="s">
        <v>117</v>
      </c>
    </row>
    <row r="265" spans="1:6">
      <c r="A265" s="35"/>
      <c r="B265" s="35"/>
      <c r="C265" s="35" t="s">
        <v>252</v>
      </c>
      <c r="D265" s="35"/>
      <c r="E265" s="35"/>
      <c r="F265" s="35">
        <v>2321.96</v>
      </c>
    </row>
    <row r="266" spans="1:6">
      <c r="A266" s="35"/>
      <c r="B266" s="35"/>
      <c r="C266" s="35"/>
      <c r="D266" s="35"/>
      <c r="E266" s="35"/>
      <c r="F266" s="35" t="s">
        <v>117</v>
      </c>
    </row>
    <row r="267" spans="1:6">
      <c r="A267" s="35"/>
      <c r="B267" s="35"/>
      <c r="C267" s="35" t="s">
        <v>253</v>
      </c>
      <c r="D267" s="35"/>
      <c r="E267" s="35"/>
      <c r="F267" s="35">
        <v>773.99</v>
      </c>
    </row>
    <row r="269" spans="1:6">
      <c r="A269" s="35"/>
      <c r="B269" s="35"/>
      <c r="C269" s="35" t="s">
        <v>255</v>
      </c>
      <c r="D269" s="35"/>
      <c r="E269" s="35"/>
      <c r="F269" s="35"/>
    </row>
    <row r="270" spans="1:6">
      <c r="A270" s="35"/>
      <c r="B270" s="35"/>
      <c r="C270" s="35" t="s">
        <v>256</v>
      </c>
      <c r="D270" s="35"/>
      <c r="E270" s="35"/>
      <c r="F270" s="35"/>
    </row>
    <row r="271" spans="1:6">
      <c r="A271" s="35"/>
      <c r="B271" s="35"/>
      <c r="C271" s="35" t="s">
        <v>257</v>
      </c>
      <c r="D271" s="35"/>
      <c r="E271" s="35"/>
      <c r="F271" s="35"/>
    </row>
    <row r="272" spans="1:6">
      <c r="A272" s="35"/>
      <c r="B272" s="35"/>
      <c r="C272" s="35"/>
      <c r="D272" s="35"/>
      <c r="E272" s="35"/>
      <c r="F272" s="35"/>
    </row>
    <row r="273" spans="1:6">
      <c r="A273" s="35">
        <v>1.33</v>
      </c>
      <c r="B273" s="35" t="s">
        <v>258</v>
      </c>
      <c r="C273" s="35" t="s">
        <v>259</v>
      </c>
      <c r="D273" s="35">
        <v>238.9</v>
      </c>
      <c r="E273" s="35" t="s">
        <v>258</v>
      </c>
      <c r="F273" s="35">
        <v>317.74</v>
      </c>
    </row>
    <row r="274" spans="1:6">
      <c r="A274" s="35">
        <v>0.7</v>
      </c>
      <c r="B274" s="35" t="s">
        <v>260</v>
      </c>
      <c r="C274" s="35" t="s">
        <v>261</v>
      </c>
      <c r="D274" s="35">
        <v>907.2</v>
      </c>
      <c r="E274" s="35" t="s">
        <v>260</v>
      </c>
      <c r="F274" s="35">
        <v>635.04</v>
      </c>
    </row>
    <row r="275" spans="1:6">
      <c r="A275" s="35">
        <v>10</v>
      </c>
      <c r="B275" s="35" t="s">
        <v>262</v>
      </c>
      <c r="C275" s="35" t="s">
        <v>263</v>
      </c>
      <c r="D275" s="35">
        <v>11.22</v>
      </c>
      <c r="E275" s="35" t="s">
        <v>262</v>
      </c>
      <c r="F275" s="35">
        <v>112.2</v>
      </c>
    </row>
    <row r="276" spans="1:6">
      <c r="A276" s="35"/>
      <c r="B276" s="35"/>
      <c r="C276" s="35" t="s">
        <v>264</v>
      </c>
      <c r="D276" s="35" t="s">
        <v>265</v>
      </c>
      <c r="E276" s="35"/>
      <c r="F276" s="35">
        <v>3.43</v>
      </c>
    </row>
    <row r="277" spans="1:6">
      <c r="A277" s="35"/>
      <c r="B277" s="35"/>
      <c r="C277" s="35" t="s">
        <v>176</v>
      </c>
      <c r="D277" s="35"/>
      <c r="E277" s="35"/>
      <c r="F277" s="35">
        <v>1068.4100000000001</v>
      </c>
    </row>
    <row r="278" spans="1:6">
      <c r="A278" s="35"/>
      <c r="B278" s="35"/>
      <c r="C278" s="35"/>
      <c r="D278" s="35"/>
      <c r="E278" s="35"/>
      <c r="F278" s="35"/>
    </row>
    <row r="279" spans="1:6">
      <c r="A279" s="35"/>
      <c r="B279" s="35"/>
      <c r="C279" s="35" t="s">
        <v>177</v>
      </c>
      <c r="D279" s="35"/>
      <c r="E279" s="35"/>
      <c r="F279" s="35">
        <v>106.84</v>
      </c>
    </row>
    <row r="281" spans="1:6">
      <c r="A281" s="35"/>
      <c r="B281" s="35"/>
      <c r="C281" s="35" t="s">
        <v>266</v>
      </c>
      <c r="D281" s="35"/>
      <c r="E281" s="35"/>
      <c r="F281" s="35"/>
    </row>
    <row r="282" spans="1:6">
      <c r="A282" s="35"/>
      <c r="B282" s="35"/>
      <c r="C282" s="35" t="s">
        <v>267</v>
      </c>
      <c r="D282" s="35"/>
      <c r="E282" s="35"/>
      <c r="F282" s="35"/>
    </row>
    <row r="283" spans="1:6">
      <c r="A283" s="35"/>
      <c r="B283" s="35"/>
      <c r="C283" s="35" t="s">
        <v>268</v>
      </c>
      <c r="D283" s="35"/>
      <c r="E283" s="35"/>
      <c r="F283" s="35"/>
    </row>
    <row r="284" spans="1:6">
      <c r="A284" s="35"/>
      <c r="B284" s="35"/>
      <c r="C284" s="35" t="s">
        <v>117</v>
      </c>
      <c r="D284" s="35"/>
      <c r="E284" s="35"/>
      <c r="F284" s="35"/>
    </row>
    <row r="285" spans="1:6">
      <c r="A285" s="35">
        <v>1.8</v>
      </c>
      <c r="B285" s="35" t="s">
        <v>213</v>
      </c>
      <c r="C285" s="35" t="s">
        <v>269</v>
      </c>
      <c r="D285" s="35">
        <v>22.6</v>
      </c>
      <c r="E285" s="35" t="s">
        <v>213</v>
      </c>
      <c r="F285" s="35">
        <v>40.68</v>
      </c>
    </row>
    <row r="286" spans="1:6">
      <c r="A286" s="35">
        <v>0.25</v>
      </c>
      <c r="B286" s="35" t="s">
        <v>151</v>
      </c>
      <c r="C286" s="35" t="s">
        <v>270</v>
      </c>
      <c r="D286" s="35">
        <v>907.2</v>
      </c>
      <c r="E286" s="35" t="s">
        <v>151</v>
      </c>
      <c r="F286" s="35">
        <v>226.8</v>
      </c>
    </row>
    <row r="287" spans="1:6">
      <c r="A287" s="35">
        <v>0.25</v>
      </c>
      <c r="B287" s="35" t="s">
        <v>151</v>
      </c>
      <c r="C287" s="35" t="s">
        <v>271</v>
      </c>
      <c r="D287" s="35">
        <v>741.6</v>
      </c>
      <c r="E287" s="35" t="s">
        <v>151</v>
      </c>
      <c r="F287" s="35">
        <v>185.4</v>
      </c>
    </row>
    <row r="288" spans="1:6">
      <c r="A288" s="35">
        <v>0.4</v>
      </c>
      <c r="B288" s="35" t="s">
        <v>151</v>
      </c>
      <c r="C288" s="35" t="s">
        <v>154</v>
      </c>
      <c r="D288" s="35">
        <v>608.4</v>
      </c>
      <c r="E288" s="35" t="s">
        <v>151</v>
      </c>
      <c r="F288" s="35">
        <v>243.36</v>
      </c>
    </row>
    <row r="289" spans="1:6">
      <c r="A289" s="35"/>
      <c r="B289" s="35"/>
      <c r="C289" s="35"/>
      <c r="D289" s="35" t="s">
        <v>114</v>
      </c>
      <c r="E289" s="35"/>
      <c r="F289" s="35">
        <v>696.24</v>
      </c>
    </row>
    <row r="290" spans="1:6">
      <c r="A290" s="35"/>
      <c r="B290" s="35"/>
      <c r="C290" s="35"/>
      <c r="D290" s="35"/>
      <c r="E290" s="35"/>
      <c r="F290" s="35">
        <v>69.62</v>
      </c>
    </row>
    <row r="291" spans="1:6">
      <c r="A291" s="35"/>
      <c r="B291" s="35"/>
      <c r="C291" s="35" t="s">
        <v>273</v>
      </c>
      <c r="D291" s="35"/>
      <c r="E291" s="35"/>
      <c r="F291" s="35"/>
    </row>
    <row r="292" spans="1:6">
      <c r="A292" s="35"/>
      <c r="B292" s="35"/>
      <c r="C292" s="35"/>
      <c r="D292" s="35"/>
      <c r="E292" s="35"/>
      <c r="F292" s="35"/>
    </row>
    <row r="293" spans="1:6">
      <c r="A293" s="35">
        <v>1.4</v>
      </c>
      <c r="B293" s="35" t="s">
        <v>274</v>
      </c>
      <c r="C293" s="35" t="s">
        <v>275</v>
      </c>
      <c r="D293" s="35">
        <v>295.60000000000002</v>
      </c>
      <c r="E293" s="35" t="s">
        <v>274</v>
      </c>
      <c r="F293" s="35">
        <v>413.84</v>
      </c>
    </row>
    <row r="294" spans="1:6">
      <c r="A294" s="35">
        <v>1.5</v>
      </c>
      <c r="B294" s="35" t="s">
        <v>223</v>
      </c>
      <c r="C294" s="35" t="s">
        <v>276</v>
      </c>
      <c r="D294" s="35">
        <v>907.2</v>
      </c>
      <c r="E294" s="35" t="s">
        <v>223</v>
      </c>
      <c r="F294" s="35">
        <v>1360.8</v>
      </c>
    </row>
    <row r="295" spans="1:6">
      <c r="A295" s="35">
        <v>10</v>
      </c>
      <c r="B295" s="35" t="s">
        <v>262</v>
      </c>
      <c r="C295" s="35" t="s">
        <v>277</v>
      </c>
      <c r="D295" s="35">
        <v>4.8</v>
      </c>
      <c r="E295" s="35" t="s">
        <v>262</v>
      </c>
      <c r="F295" s="35">
        <v>48</v>
      </c>
    </row>
    <row r="296" spans="1:6">
      <c r="A296" s="35"/>
      <c r="B296" s="35"/>
      <c r="C296" s="35" t="s">
        <v>264</v>
      </c>
      <c r="D296" s="35" t="s">
        <v>278</v>
      </c>
      <c r="E296" s="35"/>
      <c r="F296" s="35">
        <v>4.33</v>
      </c>
    </row>
    <row r="297" spans="1:6">
      <c r="A297" s="35"/>
      <c r="B297" s="35"/>
      <c r="C297" s="35" t="s">
        <v>176</v>
      </c>
      <c r="D297" s="35"/>
      <c r="E297" s="35"/>
      <c r="F297" s="35">
        <v>1826.97</v>
      </c>
    </row>
    <row r="298" spans="1:6">
      <c r="A298" s="35"/>
      <c r="B298" s="35"/>
      <c r="C298" s="35" t="s">
        <v>177</v>
      </c>
      <c r="D298" s="35"/>
      <c r="E298" s="35"/>
      <c r="F298" s="35">
        <v>182.7</v>
      </c>
    </row>
    <row r="300" spans="1:6">
      <c r="A300" s="35"/>
      <c r="B300" s="35" t="s">
        <v>122</v>
      </c>
      <c r="C300" s="35" t="s">
        <v>279</v>
      </c>
      <c r="D300" s="35"/>
      <c r="E300" s="35"/>
      <c r="F300" s="35"/>
    </row>
    <row r="301" spans="1:6">
      <c r="A301" s="35"/>
      <c r="B301" s="35"/>
      <c r="C301" s="35" t="s">
        <v>280</v>
      </c>
      <c r="D301" s="35"/>
      <c r="E301" s="35"/>
      <c r="F301" s="35"/>
    </row>
    <row r="302" spans="1:6">
      <c r="A302" s="35"/>
      <c r="B302" s="35"/>
      <c r="C302" s="35" t="s">
        <v>281</v>
      </c>
      <c r="D302" s="35"/>
      <c r="E302" s="35"/>
      <c r="F302" s="35"/>
    </row>
    <row r="303" spans="1:6">
      <c r="A303" s="35"/>
      <c r="B303" s="35"/>
      <c r="C303" s="35" t="s">
        <v>117</v>
      </c>
      <c r="D303" s="35"/>
      <c r="E303" s="35"/>
      <c r="F303" s="35"/>
    </row>
    <row r="304" spans="1:6">
      <c r="A304" s="35">
        <v>1.34</v>
      </c>
      <c r="B304" s="35" t="s">
        <v>213</v>
      </c>
      <c r="C304" s="35" t="s">
        <v>282</v>
      </c>
      <c r="D304" s="35">
        <v>73.8</v>
      </c>
      <c r="E304" s="35" t="s">
        <v>213</v>
      </c>
      <c r="F304" s="35">
        <v>98.89</v>
      </c>
    </row>
    <row r="305" spans="1:6">
      <c r="A305" s="35">
        <v>0.5</v>
      </c>
      <c r="B305" s="35" t="s">
        <v>223</v>
      </c>
      <c r="C305" s="35" t="s">
        <v>261</v>
      </c>
      <c r="D305" s="35">
        <v>907.2</v>
      </c>
      <c r="E305" s="35" t="s">
        <v>223</v>
      </c>
      <c r="F305" s="35">
        <v>453.6</v>
      </c>
    </row>
    <row r="306" spans="1:6">
      <c r="A306" s="35">
        <v>0.5</v>
      </c>
      <c r="B306" s="35" t="s">
        <v>223</v>
      </c>
      <c r="C306" s="35" t="s">
        <v>153</v>
      </c>
      <c r="D306" s="35">
        <v>741.6</v>
      </c>
      <c r="E306" s="35" t="s">
        <v>223</v>
      </c>
      <c r="F306" s="35">
        <v>370.8</v>
      </c>
    </row>
    <row r="307" spans="1:6">
      <c r="A307" s="35">
        <v>0.8</v>
      </c>
      <c r="B307" s="35" t="s">
        <v>223</v>
      </c>
      <c r="C307" s="35" t="s">
        <v>154</v>
      </c>
      <c r="D307" s="35">
        <v>608.4</v>
      </c>
      <c r="E307" s="35" t="s">
        <v>223</v>
      </c>
      <c r="F307" s="35">
        <v>486.72</v>
      </c>
    </row>
    <row r="308" spans="1:6">
      <c r="A308" s="35"/>
      <c r="B308" s="35" t="s">
        <v>128</v>
      </c>
      <c r="C308" s="35" t="s">
        <v>283</v>
      </c>
      <c r="D308" s="35" t="s">
        <v>114</v>
      </c>
      <c r="E308" s="35" t="s">
        <v>128</v>
      </c>
      <c r="F308" s="35">
        <v>2.6</v>
      </c>
    </row>
    <row r="309" spans="1:6">
      <c r="A309" s="35"/>
      <c r="B309" s="35"/>
      <c r="C309" s="35"/>
      <c r="D309" s="35"/>
      <c r="E309" s="35"/>
      <c r="F309" s="35" t="s">
        <v>117</v>
      </c>
    </row>
    <row r="310" spans="1:6">
      <c r="A310" s="35"/>
      <c r="B310" s="35"/>
      <c r="C310" s="35" t="s">
        <v>176</v>
      </c>
      <c r="D310" s="35"/>
      <c r="E310" s="35"/>
      <c r="F310" s="35">
        <v>1412.61</v>
      </c>
    </row>
    <row r="311" spans="1:6">
      <c r="A311" s="35"/>
      <c r="B311" s="35"/>
      <c r="C311" s="35"/>
      <c r="D311" s="35"/>
      <c r="E311" s="35"/>
      <c r="F311" s="35" t="s">
        <v>117</v>
      </c>
    </row>
    <row r="312" spans="1:6">
      <c r="A312" s="35"/>
      <c r="B312" s="35"/>
      <c r="C312" s="35" t="s">
        <v>177</v>
      </c>
      <c r="D312" s="35"/>
      <c r="E312" s="35"/>
      <c r="F312" s="35">
        <v>141.26</v>
      </c>
    </row>
    <row r="315" spans="1:6">
      <c r="A315" s="38">
        <v>41</v>
      </c>
      <c r="B315" s="35" t="s">
        <v>122</v>
      </c>
      <c r="C315" s="35" t="s">
        <v>284</v>
      </c>
      <c r="D315" s="35"/>
      <c r="E315" s="35"/>
      <c r="F315" s="35"/>
    </row>
    <row r="316" spans="1:6">
      <c r="A316" s="35"/>
      <c r="B316" s="35"/>
      <c r="C316" s="35" t="s">
        <v>285</v>
      </c>
      <c r="D316" s="35"/>
      <c r="E316" s="35"/>
      <c r="F316" s="35"/>
    </row>
    <row r="317" spans="1:6">
      <c r="A317" s="35"/>
      <c r="B317" s="35"/>
      <c r="C317" s="35" t="s">
        <v>257</v>
      </c>
      <c r="D317" s="35"/>
      <c r="E317" s="35"/>
      <c r="F317" s="35"/>
    </row>
    <row r="318" spans="1:6">
      <c r="A318" s="35"/>
      <c r="B318" s="35"/>
      <c r="C318" s="35" t="s">
        <v>117</v>
      </c>
      <c r="D318" s="35"/>
      <c r="E318" s="35"/>
      <c r="F318" s="35"/>
    </row>
    <row r="319" spans="1:6">
      <c r="A319" s="35">
        <v>2.2200000000000002</v>
      </c>
      <c r="B319" s="35" t="s">
        <v>274</v>
      </c>
      <c r="C319" s="35" t="s">
        <v>259</v>
      </c>
      <c r="D319" s="35">
        <v>227.6</v>
      </c>
      <c r="E319" s="35" t="s">
        <v>274</v>
      </c>
      <c r="F319" s="35">
        <v>505.27</v>
      </c>
    </row>
    <row r="320" spans="1:6">
      <c r="A320" s="35">
        <v>1.1000000000000001</v>
      </c>
      <c r="B320" s="35" t="s">
        <v>223</v>
      </c>
      <c r="C320" s="35" t="s">
        <v>261</v>
      </c>
      <c r="D320" s="35">
        <v>907.2</v>
      </c>
      <c r="E320" s="35" t="s">
        <v>223</v>
      </c>
      <c r="F320" s="35">
        <v>997.92</v>
      </c>
    </row>
    <row r="321" spans="1:6">
      <c r="A321" s="35"/>
      <c r="B321" s="35" t="s">
        <v>128</v>
      </c>
      <c r="C321" s="35" t="s">
        <v>283</v>
      </c>
      <c r="D321" s="35" t="s">
        <v>114</v>
      </c>
      <c r="E321" s="35" t="s">
        <v>128</v>
      </c>
      <c r="F321" s="35">
        <v>1.5</v>
      </c>
    </row>
    <row r="322" spans="1:6">
      <c r="A322" s="35"/>
      <c r="B322" s="35"/>
      <c r="C322" s="35"/>
      <c r="D322" s="35"/>
      <c r="E322" s="35"/>
      <c r="F322" s="35" t="s">
        <v>117</v>
      </c>
    </row>
    <row r="323" spans="1:6">
      <c r="A323" s="35"/>
      <c r="B323" s="35"/>
      <c r="C323" s="35" t="s">
        <v>176</v>
      </c>
      <c r="D323" s="35"/>
      <c r="E323" s="35"/>
      <c r="F323" s="35">
        <v>1504.69</v>
      </c>
    </row>
    <row r="324" spans="1:6">
      <c r="A324" s="35"/>
      <c r="B324" s="35"/>
      <c r="C324" s="35"/>
      <c r="D324" s="35"/>
      <c r="E324" s="35"/>
      <c r="F324" s="35" t="s">
        <v>117</v>
      </c>
    </row>
    <row r="325" spans="1:6">
      <c r="A325" s="35"/>
      <c r="B325" s="35"/>
      <c r="C325" s="35" t="s">
        <v>177</v>
      </c>
      <c r="D325" s="35"/>
      <c r="E325" s="35"/>
      <c r="F325" s="35">
        <v>150.47</v>
      </c>
    </row>
    <row r="327" spans="1:6">
      <c r="A327" s="35"/>
      <c r="B327" s="35"/>
      <c r="C327" s="35" t="s">
        <v>286</v>
      </c>
      <c r="D327" s="35"/>
      <c r="E327" s="35"/>
      <c r="F327" s="35"/>
    </row>
    <row r="328" spans="1:6">
      <c r="A328" s="35"/>
      <c r="B328" s="35"/>
      <c r="C328" s="35"/>
      <c r="D328" s="35"/>
      <c r="E328" s="35"/>
      <c r="F328" s="35"/>
    </row>
    <row r="329" spans="1:6">
      <c r="A329" s="35"/>
      <c r="B329" s="35"/>
      <c r="C329" s="35" t="s">
        <v>287</v>
      </c>
      <c r="D329" s="35"/>
      <c r="E329" s="35"/>
      <c r="F329" s="35"/>
    </row>
    <row r="330" spans="1:6">
      <c r="A330" s="35"/>
      <c r="B330" s="35"/>
      <c r="C330" s="35"/>
      <c r="D330" s="35"/>
      <c r="E330" s="35"/>
      <c r="F330" s="35"/>
    </row>
    <row r="331" spans="1:6">
      <c r="A331" s="35"/>
      <c r="B331" s="35"/>
      <c r="C331" s="35" t="s">
        <v>13</v>
      </c>
      <c r="D331" s="35"/>
      <c r="E331" s="35"/>
      <c r="F331" s="35"/>
    </row>
    <row r="332" spans="1:6">
      <c r="A332" s="35">
        <v>90</v>
      </c>
      <c r="B332" s="35" t="s">
        <v>31</v>
      </c>
      <c r="C332" s="35" t="s">
        <v>288</v>
      </c>
      <c r="D332" s="35">
        <v>16.55</v>
      </c>
      <c r="E332" s="35" t="s">
        <v>289</v>
      </c>
      <c r="F332" s="35">
        <v>1489.5</v>
      </c>
    </row>
    <row r="333" spans="1:6">
      <c r="A333" s="35">
        <v>45</v>
      </c>
      <c r="B333" s="35" t="s">
        <v>31</v>
      </c>
      <c r="C333" s="35" t="s">
        <v>290</v>
      </c>
      <c r="D333" s="35">
        <v>20</v>
      </c>
      <c r="E333" s="35" t="s">
        <v>291</v>
      </c>
      <c r="F333" s="35">
        <v>900</v>
      </c>
    </row>
    <row r="334" spans="1:6">
      <c r="A334" s="35">
        <v>20</v>
      </c>
      <c r="B334" s="35" t="s">
        <v>292</v>
      </c>
      <c r="C334" s="35" t="s">
        <v>293</v>
      </c>
      <c r="D334" s="35">
        <v>3.15</v>
      </c>
      <c r="E334" s="35" t="s">
        <v>292</v>
      </c>
      <c r="F334" s="35">
        <v>63</v>
      </c>
    </row>
    <row r="335" spans="1:6">
      <c r="A335" s="35">
        <v>150</v>
      </c>
      <c r="B335" s="35" t="s">
        <v>292</v>
      </c>
      <c r="C335" s="35" t="s">
        <v>294</v>
      </c>
      <c r="D335" s="35">
        <v>287</v>
      </c>
      <c r="E335" s="35" t="s">
        <v>295</v>
      </c>
      <c r="F335" s="35">
        <v>43.05</v>
      </c>
    </row>
    <row r="336" spans="1:6">
      <c r="A336" s="35">
        <v>10</v>
      </c>
      <c r="B336" s="35" t="s">
        <v>292</v>
      </c>
      <c r="C336" s="35" t="s">
        <v>296</v>
      </c>
      <c r="D336" s="35">
        <v>1.34</v>
      </c>
      <c r="E336" s="35" t="s">
        <v>292</v>
      </c>
      <c r="F336" s="35">
        <v>13.4</v>
      </c>
    </row>
    <row r="337" spans="1:6">
      <c r="A337" s="35">
        <v>10</v>
      </c>
      <c r="B337" s="35" t="s">
        <v>292</v>
      </c>
      <c r="C337" s="35" t="s">
        <v>297</v>
      </c>
      <c r="D337" s="35">
        <v>43.25</v>
      </c>
      <c r="E337" s="35" t="s">
        <v>298</v>
      </c>
      <c r="F337" s="35">
        <v>36.04</v>
      </c>
    </row>
    <row r="338" spans="1:6">
      <c r="A338" s="36">
        <v>1.4999999999999999E-2</v>
      </c>
      <c r="B338" s="35" t="s">
        <v>262</v>
      </c>
      <c r="C338" s="35" t="s">
        <v>299</v>
      </c>
      <c r="D338" s="35">
        <v>661</v>
      </c>
      <c r="E338" s="35" t="s">
        <v>262</v>
      </c>
      <c r="F338" s="35">
        <v>9.92</v>
      </c>
    </row>
    <row r="339" spans="1:6">
      <c r="A339" s="35">
        <v>10</v>
      </c>
      <c r="B339" s="35" t="s">
        <v>292</v>
      </c>
      <c r="C339" s="35" t="s">
        <v>300</v>
      </c>
      <c r="D339" s="35">
        <v>16.21</v>
      </c>
      <c r="E339" s="35" t="s">
        <v>292</v>
      </c>
      <c r="F339" s="35">
        <v>162.1</v>
      </c>
    </row>
    <row r="340" spans="1:6">
      <c r="A340" s="35">
        <v>10</v>
      </c>
      <c r="B340" s="35" t="s">
        <v>292</v>
      </c>
      <c r="C340" s="35" t="s">
        <v>301</v>
      </c>
      <c r="D340" s="35">
        <v>13.8</v>
      </c>
      <c r="E340" s="35" t="s">
        <v>292</v>
      </c>
      <c r="F340" s="35">
        <v>138</v>
      </c>
    </row>
    <row r="341" spans="1:6">
      <c r="A341" s="35">
        <v>1</v>
      </c>
      <c r="B341" s="35" t="s">
        <v>302</v>
      </c>
      <c r="C341" s="35" t="s">
        <v>303</v>
      </c>
      <c r="D341" s="35">
        <v>69.400000000000006</v>
      </c>
      <c r="E341" s="35" t="s">
        <v>302</v>
      </c>
      <c r="F341" s="35">
        <v>69.400000000000006</v>
      </c>
    </row>
    <row r="342" spans="1:6">
      <c r="A342" s="35">
        <v>72</v>
      </c>
      <c r="B342" s="35" t="s">
        <v>292</v>
      </c>
      <c r="C342" s="35" t="s">
        <v>304</v>
      </c>
      <c r="D342" s="35">
        <v>47.7</v>
      </c>
      <c r="E342" s="35" t="s">
        <v>302</v>
      </c>
      <c r="F342" s="35">
        <v>23.85</v>
      </c>
    </row>
    <row r="343" spans="1:6">
      <c r="A343" s="39">
        <v>0.16666666666666666</v>
      </c>
      <c r="B343" s="35" t="s">
        <v>305</v>
      </c>
      <c r="C343" s="35" t="s">
        <v>306</v>
      </c>
      <c r="D343" s="35">
        <v>318.12</v>
      </c>
      <c r="E343" s="35" t="s">
        <v>305</v>
      </c>
      <c r="F343" s="35">
        <v>53.02</v>
      </c>
    </row>
    <row r="344" spans="1:6">
      <c r="A344" s="35">
        <v>10</v>
      </c>
      <c r="B344" s="35" t="s">
        <v>292</v>
      </c>
      <c r="C344" s="35" t="s">
        <v>307</v>
      </c>
      <c r="D344" s="35">
        <v>13.8</v>
      </c>
      <c r="E344" s="35" t="s">
        <v>292</v>
      </c>
      <c r="F344" s="35">
        <v>138</v>
      </c>
    </row>
    <row r="345" spans="1:6">
      <c r="A345" s="35">
        <v>1</v>
      </c>
      <c r="B345" s="35" t="s">
        <v>292</v>
      </c>
      <c r="C345" s="35" t="s">
        <v>308</v>
      </c>
      <c r="D345" s="35">
        <v>16.5</v>
      </c>
      <c r="E345" s="35" t="s">
        <v>292</v>
      </c>
      <c r="F345" s="35">
        <v>16.5</v>
      </c>
    </row>
    <row r="346" spans="1:6">
      <c r="A346" s="35">
        <v>0.1</v>
      </c>
      <c r="B346" s="35" t="s">
        <v>262</v>
      </c>
      <c r="C346" s="35" t="s">
        <v>309</v>
      </c>
      <c r="D346" s="35">
        <v>661</v>
      </c>
      <c r="E346" s="35" t="s">
        <v>262</v>
      </c>
      <c r="F346" s="35">
        <v>66.099999999999994</v>
      </c>
    </row>
    <row r="347" spans="1:6">
      <c r="A347" s="35">
        <v>45</v>
      </c>
      <c r="B347" s="35" t="s">
        <v>31</v>
      </c>
      <c r="C347" s="35" t="s">
        <v>310</v>
      </c>
      <c r="D347" s="35">
        <v>16.55</v>
      </c>
      <c r="E347" s="35" t="s">
        <v>311</v>
      </c>
      <c r="F347" s="35">
        <v>744.75</v>
      </c>
    </row>
    <row r="348" spans="1:6">
      <c r="A348" s="39">
        <v>0.5</v>
      </c>
      <c r="B348" s="35" t="s">
        <v>312</v>
      </c>
      <c r="C348" s="35" t="s">
        <v>313</v>
      </c>
      <c r="D348" s="35">
        <v>227.6</v>
      </c>
      <c r="E348" s="35" t="s">
        <v>312</v>
      </c>
      <c r="F348" s="35">
        <v>113.8</v>
      </c>
    </row>
    <row r="349" spans="1:6">
      <c r="A349" s="35">
        <v>10</v>
      </c>
      <c r="B349" s="35" t="s">
        <v>314</v>
      </c>
      <c r="C349" s="35" t="s">
        <v>315</v>
      </c>
      <c r="D349" s="35"/>
      <c r="E349" s="35" t="s">
        <v>265</v>
      </c>
      <c r="F349" s="35">
        <v>4828</v>
      </c>
    </row>
    <row r="350" spans="1:6">
      <c r="A350" s="35" t="s">
        <v>265</v>
      </c>
      <c r="B350" s="35"/>
      <c r="C350" s="35" t="s">
        <v>316</v>
      </c>
      <c r="D350" s="35"/>
      <c r="E350" s="35" t="s">
        <v>265</v>
      </c>
      <c r="F350" s="35">
        <v>44.26</v>
      </c>
    </row>
    <row r="351" spans="1:6">
      <c r="A351" s="35"/>
      <c r="B351" s="35"/>
      <c r="C351" s="35" t="s">
        <v>317</v>
      </c>
      <c r="D351" s="35"/>
      <c r="E351" s="35"/>
      <c r="F351" s="35">
        <v>8952.69</v>
      </c>
    </row>
    <row r="352" spans="1:6">
      <c r="A352" s="35"/>
      <c r="B352" s="35"/>
      <c r="C352" s="35" t="s">
        <v>318</v>
      </c>
      <c r="D352" s="35"/>
      <c r="E352" s="35"/>
      <c r="F352" s="35">
        <v>895.27</v>
      </c>
    </row>
    <row r="353" spans="1:6">
      <c r="A353" s="35"/>
      <c r="B353" s="35"/>
      <c r="C353" s="35"/>
      <c r="D353" s="35"/>
      <c r="E353" s="35"/>
      <c r="F353" s="35"/>
    </row>
    <row r="354" spans="1:6">
      <c r="A354" s="35"/>
      <c r="B354" s="35"/>
      <c r="C354" s="35"/>
      <c r="D354" s="35"/>
      <c r="E354" s="35"/>
      <c r="F354" s="35"/>
    </row>
    <row r="355" spans="1:6">
      <c r="A355" s="35"/>
      <c r="B355" s="35"/>
      <c r="C355" s="35"/>
      <c r="D355" s="35"/>
      <c r="E355" s="35"/>
      <c r="F355" s="35"/>
    </row>
    <row r="356" spans="1:6">
      <c r="A356" s="35"/>
      <c r="B356" s="35"/>
      <c r="C356" s="35"/>
      <c r="D356" s="35"/>
      <c r="E356" s="35"/>
      <c r="F356" s="35"/>
    </row>
    <row r="357" spans="1:6">
      <c r="A357" s="35"/>
      <c r="B357" s="35" t="s">
        <v>319</v>
      </c>
      <c r="C357" s="35"/>
      <c r="D357" s="35"/>
      <c r="E357" s="35"/>
      <c r="F357" s="35"/>
    </row>
    <row r="358" spans="1:6">
      <c r="A358" s="35"/>
      <c r="B358" s="35"/>
      <c r="C358" s="35"/>
      <c r="D358" s="35"/>
      <c r="E358" s="35"/>
      <c r="F358" s="35"/>
    </row>
    <row r="359" spans="1:6">
      <c r="A359" s="35"/>
      <c r="B359" s="35" t="s">
        <v>320</v>
      </c>
      <c r="C359" s="35"/>
      <c r="D359" s="35"/>
      <c r="E359" s="35"/>
      <c r="F359" s="35"/>
    </row>
    <row r="360" spans="1:6">
      <c r="A360" s="35"/>
      <c r="B360" s="35"/>
      <c r="C360" s="35"/>
      <c r="D360" s="35"/>
      <c r="E360" s="35"/>
      <c r="F360" s="35"/>
    </row>
    <row r="361" spans="1:6">
      <c r="A361" s="35">
        <v>1</v>
      </c>
      <c r="B361" s="35" t="s">
        <v>292</v>
      </c>
      <c r="C361" s="35" t="s">
        <v>321</v>
      </c>
      <c r="D361" s="35">
        <v>898</v>
      </c>
      <c r="E361" s="35" t="s">
        <v>292</v>
      </c>
      <c r="F361" s="35">
        <v>898</v>
      </c>
    </row>
    <row r="362" spans="1:6">
      <c r="A362" s="35">
        <v>2</v>
      </c>
      <c r="B362" s="35" t="s">
        <v>292</v>
      </c>
      <c r="C362" s="35" t="s">
        <v>322</v>
      </c>
      <c r="D362" s="35">
        <v>783</v>
      </c>
      <c r="E362" s="35" t="s">
        <v>292</v>
      </c>
      <c r="F362" s="35">
        <v>1566</v>
      </c>
    </row>
    <row r="363" spans="1:6">
      <c r="A363" s="35">
        <v>3</v>
      </c>
      <c r="B363" s="35" t="s">
        <v>292</v>
      </c>
      <c r="C363" s="35" t="s">
        <v>323</v>
      </c>
      <c r="D363" s="35">
        <v>778</v>
      </c>
      <c r="E363" s="35" t="s">
        <v>292</v>
      </c>
      <c r="F363" s="35">
        <v>2334</v>
      </c>
    </row>
    <row r="364" spans="1:6">
      <c r="A364" s="35">
        <v>4</v>
      </c>
      <c r="B364" s="35" t="s">
        <v>292</v>
      </c>
      <c r="C364" s="35" t="s">
        <v>324</v>
      </c>
      <c r="D364" s="35">
        <v>611</v>
      </c>
      <c r="E364" s="35" t="s">
        <v>292</v>
      </c>
      <c r="F364" s="35">
        <v>2444</v>
      </c>
    </row>
    <row r="365" spans="1:6">
      <c r="A365" s="35"/>
      <c r="B365" s="35"/>
      <c r="C365" s="35"/>
      <c r="D365" s="35"/>
      <c r="E365" s="35"/>
      <c r="F365" s="35"/>
    </row>
    <row r="366" spans="1:6">
      <c r="A366" s="35"/>
      <c r="B366" s="35"/>
      <c r="C366" s="35"/>
      <c r="D366" s="35"/>
      <c r="E366" s="35"/>
      <c r="F366" s="35">
        <v>7242</v>
      </c>
    </row>
    <row r="367" spans="1:6">
      <c r="A367" s="35"/>
      <c r="B367" s="35"/>
      <c r="C367" s="35"/>
      <c r="D367" s="35"/>
      <c r="E367" s="35"/>
      <c r="F367" s="35"/>
    </row>
    <row r="368" spans="1:6">
      <c r="A368" s="35"/>
      <c r="B368" s="35"/>
      <c r="C368" s="35" t="s">
        <v>325</v>
      </c>
      <c r="D368" s="35"/>
      <c r="E368" s="35"/>
      <c r="F368" s="35">
        <v>4828</v>
      </c>
    </row>
    <row r="369" spans="1:6">
      <c r="A369" s="35"/>
      <c r="B369" s="35"/>
      <c r="C369" s="35"/>
      <c r="D369" s="35"/>
      <c r="E369" s="35"/>
      <c r="F369" s="35"/>
    </row>
    <row r="370" spans="1:6">
      <c r="A370" s="35"/>
      <c r="B370" s="35"/>
      <c r="C370" s="35" t="s">
        <v>326</v>
      </c>
      <c r="D370" s="35"/>
      <c r="E370" s="35"/>
      <c r="F370" s="35"/>
    </row>
    <row r="371" spans="1:6">
      <c r="A371" s="35"/>
      <c r="B371" s="35"/>
      <c r="C371" s="35"/>
      <c r="D371" s="35"/>
      <c r="E371" s="35"/>
      <c r="F371" s="35"/>
    </row>
    <row r="372" spans="1:6">
      <c r="A372" s="35"/>
      <c r="B372" s="35"/>
      <c r="C372" s="35" t="s">
        <v>327</v>
      </c>
      <c r="D372" s="35"/>
      <c r="E372" s="35"/>
      <c r="F372" s="35"/>
    </row>
    <row r="373" spans="1:6">
      <c r="A373" s="35"/>
      <c r="B373" s="35"/>
      <c r="C373" s="35" t="s">
        <v>328</v>
      </c>
      <c r="D373" s="35"/>
      <c r="E373" s="35"/>
      <c r="F373" s="35">
        <v>8908.43</v>
      </c>
    </row>
    <row r="374" spans="1:6">
      <c r="A374" s="35"/>
      <c r="B374" s="35"/>
      <c r="C374" s="35" t="s">
        <v>329</v>
      </c>
      <c r="D374" s="35"/>
      <c r="E374" s="35"/>
      <c r="F374" s="35">
        <v>138</v>
      </c>
    </row>
    <row r="375" spans="1:6">
      <c r="A375" s="35"/>
      <c r="B375" s="35"/>
      <c r="C375" s="35" t="s">
        <v>330</v>
      </c>
      <c r="D375" s="35"/>
      <c r="E375" s="35"/>
      <c r="F375" s="35">
        <v>166.5</v>
      </c>
    </row>
    <row r="376" spans="1:6">
      <c r="A376" s="35"/>
      <c r="B376" s="35"/>
      <c r="C376" s="35" t="s">
        <v>331</v>
      </c>
      <c r="D376" s="35"/>
      <c r="E376" s="35"/>
      <c r="F376" s="35">
        <v>35.76</v>
      </c>
    </row>
    <row r="377" spans="1:6">
      <c r="A377" s="35"/>
      <c r="B377" s="35"/>
      <c r="C377" s="35" t="s">
        <v>332</v>
      </c>
      <c r="D377" s="35"/>
      <c r="E377" s="35"/>
      <c r="F377" s="35">
        <v>8972.69</v>
      </c>
    </row>
    <row r="378" spans="1:6">
      <c r="A378" s="35"/>
      <c r="B378" s="35"/>
      <c r="C378" s="35" t="s">
        <v>333</v>
      </c>
      <c r="D378" s="35"/>
      <c r="E378" s="35"/>
      <c r="F378" s="35">
        <v>897.27</v>
      </c>
    </row>
    <row r="380" spans="1:6">
      <c r="B380" s="35"/>
      <c r="C380" s="35" t="s">
        <v>334</v>
      </c>
      <c r="D380" s="35"/>
      <c r="E380" s="35"/>
      <c r="F380" s="35"/>
    </row>
    <row r="381" spans="1:6">
      <c r="B381" s="35"/>
      <c r="C381" s="35"/>
      <c r="D381" s="35"/>
      <c r="E381" s="35"/>
      <c r="F381" s="35"/>
    </row>
    <row r="382" spans="1:6">
      <c r="B382" s="35"/>
      <c r="C382" s="35"/>
      <c r="D382" s="35"/>
      <c r="E382" s="35"/>
      <c r="F382" s="35"/>
    </row>
    <row r="383" spans="1:6">
      <c r="B383" s="35"/>
      <c r="C383" s="35"/>
      <c r="D383" s="35"/>
      <c r="E383" s="35"/>
      <c r="F383" s="35"/>
    </row>
    <row r="384" spans="1:6">
      <c r="B384" s="35"/>
      <c r="C384" s="35"/>
      <c r="D384" s="35"/>
      <c r="E384" s="35"/>
      <c r="F384" s="35"/>
    </row>
    <row r="385" spans="1:6" ht="285">
      <c r="B385" s="35"/>
      <c r="C385" s="40" t="s">
        <v>335</v>
      </c>
      <c r="D385" s="35"/>
      <c r="E385" s="35"/>
      <c r="F385" s="35"/>
    </row>
    <row r="386" spans="1:6">
      <c r="B386" s="35"/>
      <c r="C386" s="35"/>
      <c r="D386" s="35"/>
      <c r="E386" s="35"/>
      <c r="F386" s="35"/>
    </row>
    <row r="387" spans="1:6">
      <c r="B387" s="35"/>
      <c r="C387" s="35"/>
      <c r="D387" s="35"/>
      <c r="E387" s="35"/>
      <c r="F387" s="35"/>
    </row>
    <row r="388" spans="1:6">
      <c r="B388" s="35"/>
      <c r="C388" s="35"/>
      <c r="D388" s="35"/>
      <c r="E388" s="35"/>
      <c r="F388" s="35"/>
    </row>
    <row r="389" spans="1:6">
      <c r="B389" s="35"/>
      <c r="C389" s="35" t="s">
        <v>328</v>
      </c>
      <c r="D389" s="35"/>
      <c r="E389" s="35"/>
      <c r="F389" s="35">
        <v>8908.43</v>
      </c>
    </row>
    <row r="390" spans="1:6">
      <c r="B390" s="35"/>
      <c r="C390" s="35" t="s">
        <v>336</v>
      </c>
      <c r="D390" s="35"/>
      <c r="E390" s="35"/>
      <c r="F390" s="35">
        <v>138</v>
      </c>
    </row>
    <row r="391" spans="1:6">
      <c r="B391" s="35"/>
      <c r="C391" s="35" t="s">
        <v>337</v>
      </c>
      <c r="D391" s="35"/>
      <c r="E391" s="35"/>
      <c r="F391" s="35">
        <v>66.099999999999994</v>
      </c>
    </row>
    <row r="392" spans="1:6">
      <c r="B392" s="35"/>
      <c r="C392" s="35" t="s">
        <v>338</v>
      </c>
      <c r="D392" s="35"/>
      <c r="E392" s="35"/>
      <c r="F392" s="35">
        <v>699</v>
      </c>
    </row>
    <row r="393" spans="1:6">
      <c r="B393" s="35"/>
      <c r="C393" s="35" t="s">
        <v>339</v>
      </c>
      <c r="D393" s="35"/>
      <c r="E393" s="35"/>
      <c r="F393" s="35">
        <v>396.6</v>
      </c>
    </row>
    <row r="394" spans="1:6">
      <c r="B394" s="35"/>
      <c r="C394" s="35" t="s">
        <v>340</v>
      </c>
      <c r="D394" s="35"/>
      <c r="E394" s="35"/>
      <c r="F394" s="35">
        <v>22.76</v>
      </c>
    </row>
    <row r="395" spans="1:6" ht="133.5" customHeight="1">
      <c r="B395" s="35"/>
      <c r="C395" s="35" t="s">
        <v>332</v>
      </c>
      <c r="D395" s="35"/>
      <c r="E395" s="35"/>
      <c r="F395" s="35">
        <v>9822.69</v>
      </c>
    </row>
    <row r="396" spans="1:6">
      <c r="B396" s="35"/>
      <c r="C396" s="35" t="s">
        <v>333</v>
      </c>
      <c r="D396" s="35"/>
      <c r="E396" s="35"/>
      <c r="F396" s="35">
        <v>982.27</v>
      </c>
    </row>
    <row r="398" spans="1:6">
      <c r="A398" s="35"/>
      <c r="B398" s="35"/>
      <c r="C398" s="35" t="s">
        <v>341</v>
      </c>
      <c r="D398" s="35"/>
      <c r="E398" s="35"/>
      <c r="F398" s="35"/>
    </row>
    <row r="399" spans="1:6">
      <c r="A399" s="35"/>
      <c r="B399" s="35"/>
      <c r="C399" s="35"/>
      <c r="D399" s="35"/>
      <c r="E399" s="35"/>
      <c r="F399" s="35"/>
    </row>
    <row r="400" spans="1:6" ht="300">
      <c r="A400" s="35"/>
      <c r="B400" s="35"/>
      <c r="C400" s="40" t="s">
        <v>16</v>
      </c>
      <c r="D400" s="35"/>
      <c r="E400" s="35"/>
      <c r="F400" s="35"/>
    </row>
    <row r="401" spans="1:6">
      <c r="A401" s="35">
        <v>90</v>
      </c>
      <c r="B401" s="35" t="s">
        <v>31</v>
      </c>
      <c r="C401" s="35" t="s">
        <v>288</v>
      </c>
      <c r="D401" s="35">
        <v>16.55</v>
      </c>
      <c r="E401" s="35" t="s">
        <v>31</v>
      </c>
      <c r="F401" s="35">
        <v>1489.5</v>
      </c>
    </row>
    <row r="402" spans="1:6">
      <c r="A402" s="35">
        <v>45</v>
      </c>
      <c r="B402" s="35" t="s">
        <v>31</v>
      </c>
      <c r="C402" s="35" t="s">
        <v>290</v>
      </c>
      <c r="D402" s="35">
        <v>20</v>
      </c>
      <c r="E402" s="35" t="s">
        <v>31</v>
      </c>
      <c r="F402" s="35">
        <v>900</v>
      </c>
    </row>
    <row r="403" spans="1:6">
      <c r="A403" s="35">
        <v>20</v>
      </c>
      <c r="B403" s="35" t="s">
        <v>292</v>
      </c>
      <c r="C403" s="35" t="s">
        <v>293</v>
      </c>
      <c r="D403" s="35">
        <v>3.15</v>
      </c>
      <c r="E403" s="35" t="s">
        <v>298</v>
      </c>
      <c r="F403" s="35">
        <v>63</v>
      </c>
    </row>
    <row r="404" spans="1:6">
      <c r="A404" s="35">
        <v>10</v>
      </c>
      <c r="B404" s="35" t="s">
        <v>292</v>
      </c>
      <c r="C404" s="35" t="s">
        <v>296</v>
      </c>
      <c r="D404" s="35">
        <v>1.34</v>
      </c>
      <c r="E404" s="35" t="s">
        <v>298</v>
      </c>
      <c r="F404" s="35">
        <v>13.4</v>
      </c>
    </row>
    <row r="405" spans="1:6">
      <c r="A405" s="35">
        <v>1</v>
      </c>
      <c r="B405" s="35" t="s">
        <v>292</v>
      </c>
      <c r="C405" s="35" t="s">
        <v>342</v>
      </c>
      <c r="D405" s="35">
        <v>70.7</v>
      </c>
      <c r="E405" s="35" t="s">
        <v>292</v>
      </c>
      <c r="F405" s="35">
        <v>70.7</v>
      </c>
    </row>
    <row r="406" spans="1:6">
      <c r="A406" s="36">
        <v>1.4999999999999999E-2</v>
      </c>
      <c r="B406" s="35" t="s">
        <v>262</v>
      </c>
      <c r="C406" s="35" t="s">
        <v>343</v>
      </c>
      <c r="D406" s="35">
        <v>661</v>
      </c>
      <c r="E406" s="35" t="s">
        <v>262</v>
      </c>
      <c r="F406" s="35">
        <v>9.92</v>
      </c>
    </row>
    <row r="407" spans="1:6">
      <c r="A407" s="35">
        <v>15</v>
      </c>
      <c r="B407" s="35" t="s">
        <v>292</v>
      </c>
      <c r="C407" s="35" t="s">
        <v>344</v>
      </c>
      <c r="D407" s="35">
        <v>40.31</v>
      </c>
      <c r="E407" s="35" t="s">
        <v>292</v>
      </c>
      <c r="F407" s="35">
        <v>604.65</v>
      </c>
    </row>
    <row r="408" spans="1:6">
      <c r="A408" s="35">
        <v>15</v>
      </c>
      <c r="B408" s="35" t="s">
        <v>292</v>
      </c>
      <c r="C408" s="35" t="s">
        <v>342</v>
      </c>
      <c r="D408" s="35">
        <v>70.7</v>
      </c>
      <c r="E408" s="35" t="s">
        <v>292</v>
      </c>
      <c r="F408" s="35">
        <v>1060.5</v>
      </c>
    </row>
    <row r="409" spans="1:6">
      <c r="A409" s="36">
        <v>0.22500000000000001</v>
      </c>
      <c r="B409" s="35" t="s">
        <v>262</v>
      </c>
      <c r="C409" s="35" t="s">
        <v>343</v>
      </c>
      <c r="D409" s="35">
        <v>661</v>
      </c>
      <c r="E409" s="35" t="s">
        <v>345</v>
      </c>
      <c r="F409" s="35">
        <v>148.72999999999999</v>
      </c>
    </row>
    <row r="410" spans="1:6">
      <c r="A410" s="35">
        <v>1.25</v>
      </c>
      <c r="B410" s="35" t="s">
        <v>305</v>
      </c>
      <c r="C410" s="35" t="s">
        <v>306</v>
      </c>
      <c r="D410" s="35">
        <v>318.12</v>
      </c>
      <c r="E410" s="35" t="s">
        <v>305</v>
      </c>
      <c r="F410" s="35">
        <v>397.65</v>
      </c>
    </row>
    <row r="411" spans="1:6">
      <c r="A411" s="35">
        <v>45</v>
      </c>
      <c r="B411" s="35" t="s">
        <v>262</v>
      </c>
      <c r="C411" s="35" t="s">
        <v>310</v>
      </c>
      <c r="D411" s="35">
        <v>16.55</v>
      </c>
      <c r="E411" s="35" t="s">
        <v>31</v>
      </c>
      <c r="F411" s="35">
        <v>744.75</v>
      </c>
    </row>
    <row r="412" spans="1:6">
      <c r="A412" s="35"/>
      <c r="B412" s="35"/>
      <c r="C412" s="35" t="s">
        <v>315</v>
      </c>
      <c r="D412" s="35"/>
      <c r="E412" s="35"/>
      <c r="F412" s="35">
        <v>4828</v>
      </c>
    </row>
    <row r="413" spans="1:6">
      <c r="A413" s="35"/>
      <c r="B413" s="35"/>
      <c r="C413" s="35" t="s">
        <v>331</v>
      </c>
      <c r="D413" s="35"/>
      <c r="E413" s="35"/>
      <c r="F413" s="35">
        <v>39.35</v>
      </c>
    </row>
    <row r="414" spans="1:6">
      <c r="A414" s="35"/>
      <c r="B414" s="35"/>
      <c r="C414" s="35" t="s">
        <v>346</v>
      </c>
      <c r="D414" s="35"/>
      <c r="E414" s="35"/>
      <c r="F414" s="35">
        <v>10370.15</v>
      </c>
    </row>
    <row r="415" spans="1:6">
      <c r="A415" s="35"/>
      <c r="B415" s="35"/>
      <c r="C415" s="35" t="s">
        <v>347</v>
      </c>
      <c r="D415" s="35"/>
      <c r="E415" s="35"/>
      <c r="F415" s="35">
        <v>691.34</v>
      </c>
    </row>
    <row r="416" spans="1:6">
      <c r="A416" s="35"/>
      <c r="B416" s="35"/>
      <c r="C416" s="35" t="s">
        <v>315</v>
      </c>
      <c r="D416" s="35"/>
      <c r="E416" s="35"/>
      <c r="F416" s="35"/>
    </row>
    <row r="417" spans="1:6">
      <c r="A417" s="35">
        <v>1</v>
      </c>
      <c r="B417" s="35" t="s">
        <v>292</v>
      </c>
      <c r="C417" s="35" t="s">
        <v>321</v>
      </c>
      <c r="D417" s="35">
        <v>898</v>
      </c>
      <c r="E417" s="35" t="s">
        <v>292</v>
      </c>
      <c r="F417" s="35">
        <v>898</v>
      </c>
    </row>
    <row r="418" spans="1:6">
      <c r="A418" s="35">
        <v>2</v>
      </c>
      <c r="B418" s="35" t="s">
        <v>292</v>
      </c>
      <c r="C418" s="35" t="s">
        <v>322</v>
      </c>
      <c r="D418" s="35">
        <v>783</v>
      </c>
      <c r="E418" s="35" t="s">
        <v>292</v>
      </c>
      <c r="F418" s="35">
        <v>1566</v>
      </c>
    </row>
    <row r="419" spans="1:6">
      <c r="A419" s="35">
        <v>3</v>
      </c>
      <c r="B419" s="35" t="s">
        <v>292</v>
      </c>
      <c r="C419" s="35" t="s">
        <v>323</v>
      </c>
      <c r="D419" s="35">
        <v>778</v>
      </c>
      <c r="E419" s="35" t="s">
        <v>292</v>
      </c>
      <c r="F419" s="35">
        <v>2334</v>
      </c>
    </row>
    <row r="420" spans="1:6">
      <c r="A420" s="35">
        <v>4</v>
      </c>
      <c r="B420" s="35" t="s">
        <v>292</v>
      </c>
      <c r="C420" s="35" t="s">
        <v>324</v>
      </c>
      <c r="D420" s="35">
        <v>611</v>
      </c>
      <c r="E420" s="35" t="s">
        <v>292</v>
      </c>
      <c r="F420" s="35">
        <v>2444</v>
      </c>
    </row>
    <row r="421" spans="1:6">
      <c r="A421" s="35"/>
      <c r="B421" s="35"/>
      <c r="C421" s="35"/>
      <c r="D421" s="35"/>
      <c r="E421" s="35"/>
      <c r="F421" s="35">
        <v>7242</v>
      </c>
    </row>
    <row r="422" spans="1:6">
      <c r="A422" s="35"/>
      <c r="B422" s="35"/>
      <c r="C422" s="35"/>
      <c r="D422" s="35"/>
      <c r="E422" s="35"/>
      <c r="F422" s="35"/>
    </row>
    <row r="423" spans="1:6">
      <c r="A423" s="35"/>
      <c r="B423" s="35"/>
      <c r="C423" s="35"/>
      <c r="D423" s="35"/>
      <c r="E423" s="35"/>
      <c r="F423" s="35"/>
    </row>
    <row r="424" spans="1:6">
      <c r="A424" s="35"/>
      <c r="B424" s="35"/>
      <c r="C424" s="35" t="s">
        <v>348</v>
      </c>
      <c r="D424" s="35"/>
      <c r="E424" s="35"/>
      <c r="F424" s="35"/>
    </row>
    <row r="425" spans="1:6">
      <c r="A425" s="35"/>
      <c r="B425" s="35"/>
      <c r="C425" s="35"/>
      <c r="D425" s="35"/>
      <c r="E425" s="35"/>
      <c r="F425" s="35"/>
    </row>
    <row r="426" spans="1:6">
      <c r="A426" s="35"/>
      <c r="B426" s="35"/>
      <c r="C426" s="35" t="s">
        <v>349</v>
      </c>
      <c r="D426" s="35"/>
      <c r="E426" s="35"/>
      <c r="F426" s="35"/>
    </row>
    <row r="427" spans="1:6">
      <c r="A427" s="35"/>
      <c r="B427" s="35"/>
      <c r="C427" s="35"/>
      <c r="D427" s="35"/>
      <c r="E427" s="35"/>
      <c r="F427" s="35"/>
    </row>
    <row r="428" spans="1:6">
      <c r="A428" s="35">
        <v>180</v>
      </c>
      <c r="B428" s="35" t="s">
        <v>31</v>
      </c>
      <c r="C428" s="35" t="s">
        <v>288</v>
      </c>
      <c r="D428" s="35">
        <v>16.55</v>
      </c>
      <c r="E428" s="35" t="s">
        <v>31</v>
      </c>
      <c r="F428" s="35">
        <v>2979</v>
      </c>
    </row>
    <row r="429" spans="1:6">
      <c r="A429" s="35">
        <v>90</v>
      </c>
      <c r="B429" s="35" t="s">
        <v>31</v>
      </c>
      <c r="C429" s="35" t="s">
        <v>290</v>
      </c>
      <c r="D429" s="35">
        <v>20</v>
      </c>
      <c r="E429" s="35" t="s">
        <v>31</v>
      </c>
      <c r="F429" s="35">
        <v>1800</v>
      </c>
    </row>
    <row r="430" spans="1:6">
      <c r="A430" s="35">
        <v>1</v>
      </c>
      <c r="B430" s="35" t="s">
        <v>350</v>
      </c>
      <c r="C430" s="35" t="s">
        <v>351</v>
      </c>
      <c r="D430" s="35">
        <v>39</v>
      </c>
      <c r="E430" s="35" t="s">
        <v>350</v>
      </c>
      <c r="F430" s="35">
        <v>39</v>
      </c>
    </row>
    <row r="431" spans="1:6">
      <c r="A431" s="35">
        <v>300</v>
      </c>
      <c r="B431" s="35" t="s">
        <v>192</v>
      </c>
      <c r="C431" s="35" t="s">
        <v>352</v>
      </c>
      <c r="D431" s="35">
        <v>287</v>
      </c>
      <c r="E431" s="35" t="s">
        <v>353</v>
      </c>
      <c r="F431" s="35">
        <v>86.1</v>
      </c>
    </row>
    <row r="432" spans="1:6">
      <c r="A432" s="35">
        <v>2</v>
      </c>
      <c r="B432" s="35" t="s">
        <v>302</v>
      </c>
      <c r="C432" s="35" t="s">
        <v>354</v>
      </c>
      <c r="D432" s="35">
        <v>69.400000000000006</v>
      </c>
      <c r="E432" s="35" t="s">
        <v>350</v>
      </c>
      <c r="F432" s="35">
        <v>138.80000000000001</v>
      </c>
    </row>
    <row r="433" spans="1:6">
      <c r="A433" s="35">
        <v>0.33</v>
      </c>
      <c r="B433" s="35" t="s">
        <v>305</v>
      </c>
      <c r="C433" s="35" t="s">
        <v>306</v>
      </c>
      <c r="D433" s="35">
        <v>318.12</v>
      </c>
      <c r="E433" s="35" t="s">
        <v>305</v>
      </c>
      <c r="F433" s="35">
        <v>104.98</v>
      </c>
    </row>
    <row r="434" spans="1:6">
      <c r="A434" s="35">
        <v>90</v>
      </c>
      <c r="B434" s="35" t="s">
        <v>31</v>
      </c>
      <c r="C434" s="35" t="s">
        <v>310</v>
      </c>
      <c r="D434" s="35">
        <v>16.55</v>
      </c>
      <c r="E434" s="35" t="s">
        <v>289</v>
      </c>
      <c r="F434" s="35">
        <v>1489.5</v>
      </c>
    </row>
    <row r="435" spans="1:6">
      <c r="A435" s="35" t="s">
        <v>355</v>
      </c>
      <c r="B435" s="35"/>
      <c r="C435" s="35" t="s">
        <v>315</v>
      </c>
      <c r="D435" s="35">
        <v>7242</v>
      </c>
      <c r="E435" s="35"/>
      <c r="F435" s="35">
        <v>4828</v>
      </c>
    </row>
    <row r="436" spans="1:6">
      <c r="A436" s="35"/>
      <c r="B436" s="35"/>
      <c r="C436" s="35"/>
      <c r="D436" s="35"/>
      <c r="E436" s="35"/>
      <c r="F436" s="35">
        <v>11465.38</v>
      </c>
    </row>
    <row r="437" spans="1:6">
      <c r="A437" s="35"/>
      <c r="B437" s="35"/>
      <c r="C437" s="35" t="s">
        <v>331</v>
      </c>
      <c r="D437" s="35"/>
      <c r="E437" s="35"/>
      <c r="F437" s="35">
        <v>77.94</v>
      </c>
    </row>
    <row r="438" spans="1:6">
      <c r="A438" s="35"/>
      <c r="B438" s="35"/>
      <c r="C438" s="35" t="s">
        <v>356</v>
      </c>
      <c r="D438" s="35"/>
      <c r="E438" s="35"/>
      <c r="F438" s="35">
        <v>11543.32</v>
      </c>
    </row>
    <row r="439" spans="1:6">
      <c r="A439" s="35"/>
      <c r="B439" s="35"/>
      <c r="C439" s="35" t="s">
        <v>357</v>
      </c>
      <c r="D439" s="35"/>
      <c r="E439" s="35"/>
      <c r="F439" s="35">
        <v>128.26</v>
      </c>
    </row>
    <row r="440" spans="1:6">
      <c r="A440" s="35"/>
      <c r="B440" s="35"/>
      <c r="C440" s="35"/>
      <c r="D440" s="35"/>
      <c r="E440" s="35"/>
      <c r="F440" s="35"/>
    </row>
    <row r="441" spans="1:6">
      <c r="A441" s="35"/>
      <c r="B441" s="35"/>
      <c r="C441" s="35" t="s">
        <v>358</v>
      </c>
      <c r="D441" s="35"/>
      <c r="E441" s="35"/>
      <c r="F441" s="35"/>
    </row>
    <row r="442" spans="1:6">
      <c r="A442" s="35"/>
      <c r="B442" s="35"/>
      <c r="C442" s="35"/>
      <c r="D442" s="35"/>
      <c r="E442" s="35"/>
      <c r="F442" s="35"/>
    </row>
    <row r="443" spans="1:6">
      <c r="A443" s="35"/>
      <c r="B443" s="35"/>
      <c r="C443" s="35" t="s">
        <v>359</v>
      </c>
      <c r="D443" s="35"/>
      <c r="E443" s="35"/>
      <c r="F443" s="35"/>
    </row>
    <row r="444" spans="1:6">
      <c r="A444" s="35"/>
      <c r="B444" s="35"/>
      <c r="C444" s="35"/>
      <c r="D444" s="35"/>
      <c r="E444" s="35"/>
      <c r="F444" s="35"/>
    </row>
    <row r="445" spans="1:6">
      <c r="A445" s="35"/>
      <c r="B445" s="35"/>
      <c r="C445" s="35" t="s">
        <v>360</v>
      </c>
      <c r="D445" s="35"/>
      <c r="E445" s="35"/>
      <c r="F445" s="35">
        <v>11543.32</v>
      </c>
    </row>
    <row r="446" spans="1:6">
      <c r="A446" s="35">
        <v>180</v>
      </c>
      <c r="B446" s="35" t="s">
        <v>31</v>
      </c>
      <c r="C446" s="35" t="s">
        <v>361</v>
      </c>
      <c r="D446" s="35">
        <v>25.75</v>
      </c>
      <c r="E446" s="35" t="s">
        <v>31</v>
      </c>
      <c r="F446" s="35">
        <v>4635</v>
      </c>
    </row>
    <row r="447" spans="1:6">
      <c r="A447" s="35">
        <v>180</v>
      </c>
      <c r="B447" s="35" t="s">
        <v>31</v>
      </c>
      <c r="C447" s="35" t="s">
        <v>362</v>
      </c>
      <c r="D447" s="35">
        <v>16.55</v>
      </c>
      <c r="E447" s="35" t="s">
        <v>289</v>
      </c>
      <c r="F447" s="35">
        <v>2979</v>
      </c>
    </row>
    <row r="448" spans="1:6">
      <c r="A448" s="35"/>
      <c r="B448" s="35"/>
      <c r="C448" s="35" t="s">
        <v>331</v>
      </c>
      <c r="D448" s="35"/>
      <c r="E448" s="35"/>
      <c r="F448" s="35"/>
    </row>
    <row r="449" spans="1:6">
      <c r="A449" s="35"/>
      <c r="B449" s="35"/>
      <c r="C449" s="35" t="s">
        <v>363</v>
      </c>
      <c r="D449" s="35"/>
      <c r="E449" s="35"/>
      <c r="F449" s="35">
        <v>13199.32</v>
      </c>
    </row>
    <row r="451" spans="1:6">
      <c r="B451" s="35" t="s">
        <v>364</v>
      </c>
      <c r="C451" s="35"/>
      <c r="D451" s="35" t="s">
        <v>194</v>
      </c>
      <c r="E451" s="35">
        <v>1552.7</v>
      </c>
    </row>
    <row r="453" spans="1:6">
      <c r="A453" s="38">
        <v>74</v>
      </c>
      <c r="B453" s="35"/>
      <c r="C453" s="35" t="s">
        <v>365</v>
      </c>
      <c r="D453" s="35"/>
      <c r="E453" s="35"/>
      <c r="F453" s="35">
        <v>571</v>
      </c>
    </row>
    <row r="456" spans="1:6">
      <c r="A456" s="35"/>
      <c r="B456" s="35"/>
      <c r="C456" s="35" t="s">
        <v>366</v>
      </c>
      <c r="D456" s="35"/>
      <c r="E456" s="35" t="s">
        <v>367</v>
      </c>
      <c r="F456" s="35"/>
    </row>
    <row r="457" spans="1:6">
      <c r="A457" s="35"/>
      <c r="B457" s="35"/>
      <c r="C457" s="35"/>
      <c r="D457" s="35"/>
      <c r="E457" s="35"/>
      <c r="F457" s="35"/>
    </row>
    <row r="458" spans="1:6">
      <c r="A458" s="35"/>
      <c r="B458" s="35"/>
      <c r="C458" s="35"/>
      <c r="D458" s="35"/>
      <c r="E458" s="35"/>
      <c r="F458" s="35"/>
    </row>
    <row r="459" spans="1:6">
      <c r="A459" s="35">
        <v>10</v>
      </c>
      <c r="B459" s="35" t="s">
        <v>107</v>
      </c>
      <c r="C459" s="35" t="s">
        <v>368</v>
      </c>
      <c r="D459" s="35">
        <v>421.3</v>
      </c>
      <c r="E459" s="35" t="s">
        <v>107</v>
      </c>
      <c r="F459" s="35">
        <v>4213</v>
      </c>
    </row>
    <row r="460" spans="1:6">
      <c r="A460" s="35">
        <v>0.21</v>
      </c>
      <c r="B460" s="35" t="s">
        <v>108</v>
      </c>
      <c r="C460" s="35" t="s">
        <v>221</v>
      </c>
      <c r="D460" s="35">
        <v>5312.32</v>
      </c>
      <c r="E460" s="35" t="s">
        <v>108</v>
      </c>
      <c r="F460" s="35">
        <v>1115.5899999999999</v>
      </c>
    </row>
    <row r="461" spans="1:6">
      <c r="A461" s="35">
        <v>1.1000000000000001</v>
      </c>
      <c r="B461" s="35" t="s">
        <v>223</v>
      </c>
      <c r="C461" s="35" t="s">
        <v>162</v>
      </c>
      <c r="D461" s="35">
        <v>1136.4000000000001</v>
      </c>
      <c r="E461" s="35" t="s">
        <v>223</v>
      </c>
      <c r="F461" s="35">
        <v>1250.04</v>
      </c>
    </row>
    <row r="462" spans="1:6">
      <c r="A462" s="35">
        <v>1.1000000000000001</v>
      </c>
      <c r="B462" s="35" t="s">
        <v>223</v>
      </c>
      <c r="C462" s="35" t="s">
        <v>152</v>
      </c>
      <c r="D462" s="35">
        <v>1060.8</v>
      </c>
      <c r="E462" s="35" t="s">
        <v>223</v>
      </c>
      <c r="F462" s="35">
        <v>1166.8800000000001</v>
      </c>
    </row>
    <row r="463" spans="1:6">
      <c r="A463" s="35">
        <v>2.2000000000000002</v>
      </c>
      <c r="B463" s="35" t="s">
        <v>223</v>
      </c>
      <c r="C463" s="35" t="s">
        <v>153</v>
      </c>
      <c r="D463" s="35">
        <v>741.6</v>
      </c>
      <c r="E463" s="35" t="s">
        <v>223</v>
      </c>
      <c r="F463" s="35">
        <v>1631.52</v>
      </c>
    </row>
    <row r="464" spans="1:6">
      <c r="A464" s="35">
        <v>2.2000000000000002</v>
      </c>
      <c r="B464" s="35" t="s">
        <v>223</v>
      </c>
      <c r="C464" s="35" t="s">
        <v>154</v>
      </c>
      <c r="D464" s="35">
        <v>608.4</v>
      </c>
      <c r="E464" s="35" t="s">
        <v>223</v>
      </c>
      <c r="F464" s="35">
        <v>1338.48</v>
      </c>
    </row>
    <row r="465" spans="1:6">
      <c r="A465" s="36">
        <v>20</v>
      </c>
      <c r="B465" s="35" t="s">
        <v>213</v>
      </c>
      <c r="C465" s="35" t="s">
        <v>125</v>
      </c>
      <c r="D465" s="35">
        <v>6362.37</v>
      </c>
      <c r="E465" s="35" t="s">
        <v>124</v>
      </c>
      <c r="F465" s="35">
        <v>127.25</v>
      </c>
    </row>
    <row r="466" spans="1:6">
      <c r="A466" s="36">
        <v>2</v>
      </c>
      <c r="B466" s="35" t="s">
        <v>213</v>
      </c>
      <c r="C466" s="35" t="s">
        <v>369</v>
      </c>
      <c r="D466" s="35">
        <v>36.1</v>
      </c>
      <c r="E466" s="35" t="s">
        <v>213</v>
      </c>
      <c r="F466" s="35">
        <v>72.2</v>
      </c>
    </row>
    <row r="467" spans="1:6">
      <c r="A467" s="35">
        <v>1.6</v>
      </c>
      <c r="B467" s="35" t="s">
        <v>223</v>
      </c>
      <c r="C467" s="35" t="s">
        <v>152</v>
      </c>
      <c r="D467" s="35">
        <v>1060.8</v>
      </c>
      <c r="E467" s="35" t="s">
        <v>223</v>
      </c>
      <c r="F467" s="35">
        <v>1697.28</v>
      </c>
    </row>
    <row r="468" spans="1:6">
      <c r="A468" s="35">
        <v>0.5</v>
      </c>
      <c r="B468" s="35" t="s">
        <v>223</v>
      </c>
      <c r="C468" s="35" t="s">
        <v>153</v>
      </c>
      <c r="D468" s="35">
        <v>741.6</v>
      </c>
      <c r="E468" s="35" t="s">
        <v>223</v>
      </c>
      <c r="F468" s="35">
        <v>370.8</v>
      </c>
    </row>
    <row r="469" spans="1:6">
      <c r="A469" s="35">
        <v>1.1000000000000001</v>
      </c>
      <c r="B469" s="35" t="s">
        <v>223</v>
      </c>
      <c r="C469" s="35" t="s">
        <v>154</v>
      </c>
      <c r="D469" s="35">
        <v>608.4</v>
      </c>
      <c r="E469" s="35" t="s">
        <v>223</v>
      </c>
      <c r="F469" s="35">
        <v>669.24</v>
      </c>
    </row>
    <row r="470" spans="1:6">
      <c r="A470" s="35"/>
      <c r="B470" s="35" t="s">
        <v>128</v>
      </c>
      <c r="C470" s="35" t="s">
        <v>129</v>
      </c>
      <c r="D470" s="35"/>
      <c r="E470" s="35" t="s">
        <v>128</v>
      </c>
      <c r="F470" s="35">
        <v>0</v>
      </c>
    </row>
    <row r="471" spans="1:6">
      <c r="A471" s="35">
        <v>465</v>
      </c>
      <c r="B471" s="35"/>
      <c r="C471" s="35"/>
      <c r="D471" s="35"/>
      <c r="E471" s="35"/>
      <c r="F471" s="35"/>
    </row>
    <row r="472" spans="1:6">
      <c r="A472" s="35"/>
      <c r="B472" s="35"/>
      <c r="C472" s="35" t="s">
        <v>176</v>
      </c>
      <c r="D472" s="35"/>
      <c r="E472" s="35"/>
      <c r="F472" s="35">
        <v>13652.28</v>
      </c>
    </row>
    <row r="473" spans="1:6">
      <c r="A473" s="35"/>
      <c r="B473" s="35"/>
      <c r="C473" s="35"/>
      <c r="D473" s="35"/>
      <c r="E473" s="35"/>
      <c r="F473" s="35" t="s">
        <v>117</v>
      </c>
    </row>
    <row r="474" spans="1:6">
      <c r="A474" s="35"/>
      <c r="B474" s="35"/>
      <c r="C474" s="35" t="s">
        <v>177</v>
      </c>
      <c r="D474" s="35"/>
      <c r="E474" s="35"/>
      <c r="F474" s="35">
        <v>1365.23</v>
      </c>
    </row>
    <row r="476" spans="1:6">
      <c r="A476" s="35"/>
      <c r="B476" s="35"/>
      <c r="C476" s="35" t="s">
        <v>370</v>
      </c>
      <c r="D476" s="35"/>
      <c r="E476" s="35"/>
      <c r="F476" s="35"/>
    </row>
    <row r="477" spans="1:6">
      <c r="A477" s="35"/>
      <c r="B477" s="35"/>
      <c r="C477" s="35"/>
      <c r="D477" s="35"/>
      <c r="E477" s="35"/>
      <c r="F477" s="35"/>
    </row>
    <row r="478" spans="1:6">
      <c r="A478" s="35"/>
      <c r="B478" s="35"/>
      <c r="C478" s="35" t="s">
        <v>371</v>
      </c>
      <c r="D478" s="35"/>
      <c r="E478" s="35"/>
      <c r="F478" s="35"/>
    </row>
    <row r="479" spans="1:6">
      <c r="A479" s="35"/>
      <c r="B479" s="35"/>
      <c r="C479" s="35"/>
      <c r="D479" s="35"/>
      <c r="E479" s="35"/>
      <c r="F479" s="35"/>
    </row>
    <row r="480" spans="1:6">
      <c r="A480" s="35"/>
      <c r="B480" s="35"/>
      <c r="C480" s="35" t="s">
        <v>372</v>
      </c>
      <c r="D480" s="35"/>
      <c r="E480" s="35"/>
      <c r="F480" s="35"/>
    </row>
    <row r="481" spans="1:11">
      <c r="A481" s="35"/>
      <c r="B481" s="35"/>
      <c r="C481" s="35"/>
      <c r="D481" s="35"/>
      <c r="E481" s="35"/>
      <c r="F481" s="35"/>
    </row>
    <row r="482" spans="1:11">
      <c r="A482" s="35">
        <v>360</v>
      </c>
      <c r="B482" s="35" t="s">
        <v>31</v>
      </c>
      <c r="C482" s="35" t="s">
        <v>373</v>
      </c>
      <c r="D482" s="35">
        <v>40.950000000000003</v>
      </c>
      <c r="E482" s="35" t="s">
        <v>31</v>
      </c>
      <c r="F482" s="35">
        <v>14742</v>
      </c>
    </row>
    <row r="483" spans="1:11">
      <c r="A483" s="35">
        <v>4</v>
      </c>
      <c r="B483" s="35" t="s">
        <v>213</v>
      </c>
      <c r="C483" s="35" t="s">
        <v>374</v>
      </c>
      <c r="D483" s="35">
        <v>101.5</v>
      </c>
      <c r="E483" s="35" t="s">
        <v>213</v>
      </c>
      <c r="F483" s="35">
        <v>406</v>
      </c>
    </row>
    <row r="484" spans="1:11">
      <c r="A484" s="35">
        <v>360</v>
      </c>
      <c r="B484" s="35" t="s">
        <v>194</v>
      </c>
      <c r="C484" s="35" t="s">
        <v>375</v>
      </c>
      <c r="D484" s="35">
        <v>0.55000000000000004</v>
      </c>
      <c r="E484" s="35" t="s">
        <v>194</v>
      </c>
      <c r="F484" s="35">
        <v>198</v>
      </c>
    </row>
    <row r="485" spans="1:11">
      <c r="A485" s="35">
        <v>1.5</v>
      </c>
      <c r="B485" s="35" t="s">
        <v>213</v>
      </c>
      <c r="C485" s="35" t="s">
        <v>376</v>
      </c>
      <c r="D485" s="35">
        <v>101.5</v>
      </c>
      <c r="E485" s="35" t="s">
        <v>213</v>
      </c>
      <c r="F485" s="35">
        <v>152.25</v>
      </c>
    </row>
    <row r="486" spans="1:11">
      <c r="A486" s="35"/>
      <c r="B486" s="35"/>
      <c r="C486" s="35" t="s">
        <v>377</v>
      </c>
      <c r="D486" s="35"/>
      <c r="E486" s="35"/>
      <c r="F486" s="35">
        <v>8779.5</v>
      </c>
    </row>
    <row r="487" spans="1:11">
      <c r="A487" s="35"/>
      <c r="B487" s="35"/>
      <c r="C487" s="35" t="s">
        <v>378</v>
      </c>
      <c r="D487" s="35"/>
      <c r="E487" s="35"/>
      <c r="F487" s="35">
        <v>22.25</v>
      </c>
    </row>
    <row r="488" spans="1:11">
      <c r="A488" s="35"/>
      <c r="B488" s="35"/>
      <c r="C488" s="35" t="s">
        <v>379</v>
      </c>
      <c r="D488" s="35"/>
      <c r="E488" s="35"/>
      <c r="F488" s="35">
        <v>24300</v>
      </c>
    </row>
    <row r="489" spans="1:11">
      <c r="A489" s="35"/>
      <c r="B489" s="35"/>
      <c r="C489" s="35" t="s">
        <v>357</v>
      </c>
      <c r="D489" s="35"/>
      <c r="E489" s="35"/>
      <c r="F489" s="35">
        <v>270</v>
      </c>
    </row>
    <row r="492" spans="1:11">
      <c r="C492" t="s">
        <v>384</v>
      </c>
    </row>
    <row r="493" spans="1:11">
      <c r="A493">
        <v>11</v>
      </c>
      <c r="B493" s="35" t="s">
        <v>262</v>
      </c>
      <c r="C493" t="s">
        <v>385</v>
      </c>
      <c r="D493" s="35">
        <v>434</v>
      </c>
      <c r="E493" s="35" t="s">
        <v>262</v>
      </c>
      <c r="F493" s="54"/>
    </row>
    <row r="494" spans="1:11">
      <c r="A494">
        <v>2.2000000000000002</v>
      </c>
      <c r="B494" t="s">
        <v>194</v>
      </c>
      <c r="C494" t="s">
        <v>386</v>
      </c>
      <c r="D494" s="35">
        <v>1003.2</v>
      </c>
      <c r="E494" t="s">
        <v>194</v>
      </c>
      <c r="F494" s="54">
        <f t="shared" ref="F494:F496" si="0">D494*A494</f>
        <v>2207.0400000000004</v>
      </c>
    </row>
    <row r="495" spans="1:11">
      <c r="A495">
        <v>1.1000000000000001</v>
      </c>
      <c r="B495" t="s">
        <v>194</v>
      </c>
      <c r="C495" t="s">
        <v>387</v>
      </c>
      <c r="D495" s="35">
        <v>1111.2</v>
      </c>
      <c r="E495" t="s">
        <v>194</v>
      </c>
      <c r="F495" s="54"/>
      <c r="K495" s="54">
        <f>F494+F496+F497</f>
        <v>3129.9100000000008</v>
      </c>
    </row>
    <row r="496" spans="1:11">
      <c r="A496">
        <v>1.1000000000000001</v>
      </c>
      <c r="B496" t="s">
        <v>194</v>
      </c>
      <c r="C496" s="35" t="s">
        <v>388</v>
      </c>
      <c r="D496" s="35">
        <v>741.6</v>
      </c>
      <c r="E496" t="s">
        <v>194</v>
      </c>
      <c r="F496" s="54">
        <f t="shared" si="0"/>
        <v>815.7600000000001</v>
      </c>
    </row>
    <row r="497" spans="1:8">
      <c r="B497" t="s">
        <v>389</v>
      </c>
      <c r="C497" t="s">
        <v>390</v>
      </c>
      <c r="D497" t="s">
        <v>389</v>
      </c>
      <c r="F497">
        <v>107.11</v>
      </c>
    </row>
    <row r="498" spans="1:8">
      <c r="C498" t="s">
        <v>391</v>
      </c>
      <c r="F498" s="54">
        <f>SUM(F493:F497)</f>
        <v>3129.9100000000008</v>
      </c>
    </row>
    <row r="499" spans="1:8">
      <c r="C499" t="s">
        <v>392</v>
      </c>
      <c r="F499" s="54">
        <f>F498/10</f>
        <v>312.9910000000001</v>
      </c>
    </row>
    <row r="501" spans="1:8">
      <c r="A501" t="s">
        <v>393</v>
      </c>
      <c r="G501" s="35"/>
      <c r="H501" s="35"/>
    </row>
    <row r="502" spans="1:8">
      <c r="A502" t="s">
        <v>394</v>
      </c>
      <c r="B502" t="s">
        <v>395</v>
      </c>
      <c r="D502">
        <v>459</v>
      </c>
      <c r="E502" t="s">
        <v>32</v>
      </c>
      <c r="F502">
        <f>D502*10</f>
        <v>4590</v>
      </c>
      <c r="G502" s="35"/>
      <c r="H502" s="35"/>
    </row>
    <row r="503" spans="1:8">
      <c r="A503" t="s">
        <v>396</v>
      </c>
      <c r="B503" t="s">
        <v>397</v>
      </c>
      <c r="D503">
        <v>1136.4000000000001</v>
      </c>
      <c r="E503" t="s">
        <v>32</v>
      </c>
      <c r="F503">
        <f>D503*1.8</f>
        <v>2045.5200000000002</v>
      </c>
      <c r="G503" s="35"/>
      <c r="H503" s="35"/>
    </row>
    <row r="504" spans="1:8">
      <c r="A504">
        <v>3.6</v>
      </c>
      <c r="B504" t="s">
        <v>398</v>
      </c>
      <c r="D504">
        <v>1060.8</v>
      </c>
      <c r="E504" t="s">
        <v>32</v>
      </c>
      <c r="F504">
        <f>D504*3.6</f>
        <v>3818.88</v>
      </c>
      <c r="G504" s="35"/>
      <c r="H504" s="35"/>
    </row>
    <row r="505" spans="1:8">
      <c r="A505" t="s">
        <v>399</v>
      </c>
      <c r="B505" t="s">
        <v>400</v>
      </c>
      <c r="D505">
        <v>741.6</v>
      </c>
      <c r="E505" t="s">
        <v>32</v>
      </c>
      <c r="F505">
        <f>D505*2.2</f>
        <v>1631.5200000000002</v>
      </c>
      <c r="G505" s="35"/>
      <c r="H505" s="35"/>
    </row>
    <row r="506" spans="1:8">
      <c r="A506" t="s">
        <v>399</v>
      </c>
      <c r="B506" t="s">
        <v>401</v>
      </c>
      <c r="D506">
        <v>608.4</v>
      </c>
      <c r="E506" t="s">
        <v>32</v>
      </c>
      <c r="F506">
        <f>D506*2.2</f>
        <v>1338.48</v>
      </c>
      <c r="G506" s="35"/>
      <c r="H506" s="35"/>
    </row>
    <row r="507" spans="1:8">
      <c r="A507">
        <v>0.5</v>
      </c>
      <c r="B507" t="s">
        <v>402</v>
      </c>
      <c r="D507">
        <v>872.4</v>
      </c>
      <c r="E507" t="s">
        <v>32</v>
      </c>
      <c r="F507">
        <f>D507*0.5</f>
        <v>436.2</v>
      </c>
      <c r="G507" s="35"/>
      <c r="H507" s="35"/>
    </row>
    <row r="508" spans="1:8">
      <c r="A508" t="s">
        <v>403</v>
      </c>
      <c r="B508" t="s">
        <v>404</v>
      </c>
      <c r="D508">
        <v>1302</v>
      </c>
      <c r="E508" t="s">
        <v>405</v>
      </c>
      <c r="F508">
        <v>104.16</v>
      </c>
      <c r="G508" s="35"/>
      <c r="H508" s="35"/>
    </row>
    <row r="509" spans="1:8">
      <c r="E509" t="s">
        <v>406</v>
      </c>
      <c r="F509">
        <f>SUM(F502:F508)</f>
        <v>13964.760000000002</v>
      </c>
      <c r="G509" s="35"/>
      <c r="H509" s="35"/>
    </row>
    <row r="510" spans="1:8">
      <c r="E510" t="s">
        <v>407</v>
      </c>
      <c r="F510" s="54">
        <f>F509/10</f>
        <v>1396.4760000000001</v>
      </c>
      <c r="G510" s="35"/>
      <c r="H510" s="35"/>
    </row>
    <row r="511" spans="1:8">
      <c r="A511" s="35" t="s">
        <v>409</v>
      </c>
      <c r="B511" s="35" t="s">
        <v>122</v>
      </c>
      <c r="C511" s="35" t="s">
        <v>410</v>
      </c>
      <c r="D511" s="35"/>
      <c r="E511" s="35"/>
      <c r="F511" s="35"/>
    </row>
    <row r="512" spans="1:8">
      <c r="A512" s="35"/>
      <c r="B512" s="35"/>
      <c r="C512" s="35" t="s">
        <v>411</v>
      </c>
      <c r="D512" s="35"/>
      <c r="E512" s="35"/>
      <c r="F512" s="35"/>
    </row>
    <row r="513" spans="1:6">
      <c r="A513" s="35"/>
      <c r="B513" s="35"/>
      <c r="C513" s="35" t="s">
        <v>412</v>
      </c>
      <c r="D513" s="35"/>
      <c r="E513" s="35"/>
      <c r="F513" s="35"/>
    </row>
    <row r="514" spans="1:6">
      <c r="A514" s="35"/>
      <c r="B514" s="35"/>
      <c r="C514" s="35" t="s">
        <v>413</v>
      </c>
      <c r="D514" s="35"/>
      <c r="E514" s="35"/>
      <c r="F514" s="35"/>
    </row>
    <row r="515" spans="1:6">
      <c r="A515" s="35"/>
      <c r="B515" s="35"/>
      <c r="C515" s="35" t="s">
        <v>117</v>
      </c>
      <c r="D515" s="35"/>
      <c r="E515" s="35"/>
      <c r="F515" s="35"/>
    </row>
    <row r="516" spans="1:6">
      <c r="A516" s="35">
        <v>0.24</v>
      </c>
      <c r="B516" s="35" t="s">
        <v>108</v>
      </c>
      <c r="C516" s="35" t="s">
        <v>414</v>
      </c>
      <c r="D516" s="35">
        <v>1140.6099999999999</v>
      </c>
      <c r="E516" s="35" t="s">
        <v>108</v>
      </c>
      <c r="F516" s="35">
        <v>273.75</v>
      </c>
    </row>
    <row r="517" spans="1:6">
      <c r="A517" s="36">
        <v>0.11700000000000001</v>
      </c>
      <c r="B517" s="35" t="s">
        <v>124</v>
      </c>
      <c r="C517" s="35" t="s">
        <v>125</v>
      </c>
      <c r="D517" s="35">
        <v>6362.37</v>
      </c>
      <c r="E517" s="35" t="s">
        <v>124</v>
      </c>
      <c r="F517" s="35">
        <v>744.4</v>
      </c>
    </row>
    <row r="518" spans="1:6">
      <c r="A518" s="35">
        <v>0.5</v>
      </c>
      <c r="B518" s="35" t="s">
        <v>223</v>
      </c>
      <c r="C518" s="35" t="s">
        <v>162</v>
      </c>
      <c r="D518" s="35">
        <v>1136.4000000000001</v>
      </c>
      <c r="E518" s="35" t="s">
        <v>223</v>
      </c>
      <c r="F518" s="35">
        <v>568.20000000000005</v>
      </c>
    </row>
    <row r="519" spans="1:6">
      <c r="A519" s="35">
        <v>1.1000000000000001</v>
      </c>
      <c r="B519" s="35" t="s">
        <v>223</v>
      </c>
      <c r="C519" s="35" t="s">
        <v>271</v>
      </c>
      <c r="D519" s="35">
        <v>741.6</v>
      </c>
      <c r="E519" s="35" t="s">
        <v>223</v>
      </c>
      <c r="F519" s="35">
        <v>815.76</v>
      </c>
    </row>
    <row r="520" spans="1:6">
      <c r="A520" s="35">
        <v>4.3</v>
      </c>
      <c r="B520" s="35" t="s">
        <v>223</v>
      </c>
      <c r="C520" s="35" t="s">
        <v>154</v>
      </c>
      <c r="D520" s="35">
        <v>608.4</v>
      </c>
      <c r="E520" s="35" t="s">
        <v>223</v>
      </c>
      <c r="F520" s="35">
        <v>2616.12</v>
      </c>
    </row>
    <row r="521" spans="1:6">
      <c r="A521" s="35"/>
      <c r="B521" s="35" t="s">
        <v>128</v>
      </c>
      <c r="C521" s="35" t="s">
        <v>129</v>
      </c>
      <c r="D521" s="35"/>
      <c r="E521" s="35" t="s">
        <v>128</v>
      </c>
      <c r="F521" s="35">
        <v>0</v>
      </c>
    </row>
    <row r="522" spans="1:6">
      <c r="A522" s="35"/>
      <c r="B522" s="35"/>
      <c r="C522" s="35"/>
      <c r="D522" s="35"/>
      <c r="E522" s="35"/>
      <c r="F522" s="35" t="s">
        <v>117</v>
      </c>
    </row>
    <row r="523" spans="1:6">
      <c r="A523" s="35"/>
      <c r="B523" s="35"/>
      <c r="C523" s="35" t="s">
        <v>176</v>
      </c>
      <c r="D523" s="35"/>
      <c r="E523" s="35"/>
      <c r="F523" s="35">
        <v>5018.2299999999996</v>
      </c>
    </row>
    <row r="524" spans="1:6">
      <c r="A524" s="35"/>
      <c r="B524" s="35"/>
      <c r="C524" s="35"/>
      <c r="D524" s="35"/>
      <c r="E524" s="35"/>
      <c r="F524" s="35" t="s">
        <v>117</v>
      </c>
    </row>
    <row r="525" spans="1:6">
      <c r="A525" s="35"/>
      <c r="B525" s="35"/>
      <c r="C525" s="35" t="s">
        <v>177</v>
      </c>
      <c r="D525" s="35"/>
      <c r="E525" s="35"/>
      <c r="F525" s="35">
        <v>501.82</v>
      </c>
    </row>
    <row r="526" spans="1:6">
      <c r="A526" s="35" t="s">
        <v>114</v>
      </c>
      <c r="B526" s="35"/>
      <c r="C526" s="35"/>
      <c r="D526" s="35"/>
      <c r="E526" s="35"/>
      <c r="F526" s="35"/>
    </row>
    <row r="527" spans="1:6">
      <c r="A527" s="37">
        <v>2.6</v>
      </c>
      <c r="B527" s="35" t="s">
        <v>122</v>
      </c>
      <c r="C527" s="35" t="s">
        <v>421</v>
      </c>
      <c r="D527" s="35"/>
      <c r="E527" s="35"/>
      <c r="F527" s="35"/>
    </row>
    <row r="528" spans="1:6">
      <c r="A528" s="35"/>
      <c r="B528" s="35"/>
      <c r="C528" s="35" t="s">
        <v>117</v>
      </c>
      <c r="D528" s="35"/>
      <c r="E528" s="35"/>
      <c r="F528" s="35"/>
    </row>
    <row r="529" spans="1:6">
      <c r="A529" s="35">
        <v>1</v>
      </c>
      <c r="B529" s="35" t="s">
        <v>108</v>
      </c>
      <c r="C529" s="35" t="s">
        <v>422</v>
      </c>
      <c r="D529" s="35">
        <v>1432.28</v>
      </c>
      <c r="E529" s="35" t="s">
        <v>108</v>
      </c>
      <c r="F529" s="35">
        <v>1432.28</v>
      </c>
    </row>
    <row r="530" spans="1:6">
      <c r="A530" s="35">
        <v>1</v>
      </c>
      <c r="B530" s="35" t="s">
        <v>108</v>
      </c>
      <c r="C530" s="35" t="s">
        <v>169</v>
      </c>
      <c r="D530" s="35">
        <v>44.34</v>
      </c>
      <c r="E530" s="35" t="s">
        <v>108</v>
      </c>
      <c r="F530" s="35">
        <v>44.34</v>
      </c>
    </row>
    <row r="531" spans="1:6">
      <c r="A531" s="35"/>
      <c r="B531" s="35" t="s">
        <v>128</v>
      </c>
      <c r="C531" s="35" t="s">
        <v>129</v>
      </c>
      <c r="D531" s="35" t="s">
        <v>114</v>
      </c>
      <c r="E531" s="35" t="s">
        <v>128</v>
      </c>
      <c r="F531" s="35">
        <v>0</v>
      </c>
    </row>
    <row r="532" spans="1:6">
      <c r="A532" s="35"/>
      <c r="B532" s="35"/>
      <c r="C532" s="35"/>
      <c r="D532" s="35"/>
      <c r="E532" s="35"/>
      <c r="F532" s="35" t="s">
        <v>117</v>
      </c>
    </row>
    <row r="533" spans="1:6">
      <c r="A533" s="35"/>
      <c r="B533" s="35"/>
      <c r="C533" s="35" t="s">
        <v>170</v>
      </c>
      <c r="D533" s="35"/>
      <c r="E533" s="35"/>
      <c r="F533" s="35">
        <v>1476.62</v>
      </c>
    </row>
    <row r="534" spans="1:6">
      <c r="A534" s="35"/>
      <c r="B534" s="35"/>
      <c r="C534" s="35"/>
      <c r="D534" s="35"/>
      <c r="E534" s="35"/>
      <c r="F534" s="35" t="s">
        <v>117</v>
      </c>
    </row>
    <row r="535" spans="1:6">
      <c r="A535" s="37">
        <v>2.7</v>
      </c>
      <c r="B535" s="35" t="s">
        <v>122</v>
      </c>
      <c r="C535" s="35" t="s">
        <v>423</v>
      </c>
      <c r="D535" s="35"/>
      <c r="E535" s="35"/>
      <c r="F535" s="35"/>
    </row>
    <row r="536" spans="1:6">
      <c r="A536" s="35"/>
      <c r="B536" s="35"/>
      <c r="C536" s="35" t="s">
        <v>117</v>
      </c>
      <c r="D536" s="35"/>
      <c r="E536" s="35"/>
      <c r="F536" s="35"/>
    </row>
    <row r="537" spans="1:6">
      <c r="A537" s="35">
        <v>1</v>
      </c>
      <c r="B537" s="35" t="s">
        <v>108</v>
      </c>
      <c r="C537" s="35" t="s">
        <v>424</v>
      </c>
      <c r="D537" s="35">
        <v>1845.28</v>
      </c>
      <c r="E537" s="35" t="s">
        <v>108</v>
      </c>
      <c r="F537" s="35">
        <v>1845.28</v>
      </c>
    </row>
    <row r="538" spans="1:6">
      <c r="A538" s="35">
        <v>1</v>
      </c>
      <c r="B538" s="35" t="s">
        <v>108</v>
      </c>
      <c r="C538" s="35" t="s">
        <v>169</v>
      </c>
      <c r="D538" s="35">
        <v>44.34</v>
      </c>
      <c r="E538" s="35" t="s">
        <v>108</v>
      </c>
      <c r="F538" s="35">
        <v>44.34</v>
      </c>
    </row>
    <row r="539" spans="1:6">
      <c r="A539" s="35"/>
      <c r="B539" s="35" t="s">
        <v>128</v>
      </c>
      <c r="C539" s="35" t="s">
        <v>129</v>
      </c>
      <c r="D539" s="35" t="s">
        <v>114</v>
      </c>
      <c r="E539" s="35" t="s">
        <v>128</v>
      </c>
      <c r="F539" s="35">
        <v>0</v>
      </c>
    </row>
    <row r="540" spans="1:6">
      <c r="A540" s="35"/>
      <c r="B540" s="35"/>
      <c r="C540" s="35"/>
      <c r="D540" s="35"/>
      <c r="E540" s="35"/>
      <c r="F540" s="35" t="s">
        <v>117</v>
      </c>
    </row>
    <row r="541" spans="1:6">
      <c r="A541" s="35"/>
      <c r="B541" s="35"/>
      <c r="C541" s="35" t="s">
        <v>170</v>
      </c>
      <c r="D541" s="35"/>
      <c r="E541" s="35"/>
      <c r="F541" s="35">
        <v>1889.62</v>
      </c>
    </row>
    <row r="542" spans="1:6">
      <c r="A542" s="35"/>
      <c r="B542" s="35"/>
      <c r="C542" s="35"/>
      <c r="D542" s="35"/>
      <c r="E542" s="35"/>
      <c r="F542" s="35" t="s">
        <v>117</v>
      </c>
    </row>
    <row r="543" spans="1:6">
      <c r="A543" s="35" t="s">
        <v>425</v>
      </c>
      <c r="B543" s="35" t="s">
        <v>122</v>
      </c>
      <c r="C543" s="35" t="s">
        <v>426</v>
      </c>
      <c r="D543" s="35"/>
      <c r="E543" s="35"/>
      <c r="F543" s="35"/>
    </row>
    <row r="544" spans="1:6">
      <c r="A544" s="35"/>
      <c r="B544" s="35"/>
      <c r="C544" s="35" t="s">
        <v>427</v>
      </c>
      <c r="D544" s="35"/>
      <c r="E544" s="35"/>
      <c r="F544" s="35"/>
    </row>
    <row r="545" spans="1:6">
      <c r="A545" s="35"/>
      <c r="B545" s="35"/>
      <c r="C545" s="35" t="s">
        <v>117</v>
      </c>
      <c r="D545" s="35"/>
      <c r="E545" s="35"/>
      <c r="F545" s="35"/>
    </row>
    <row r="546" spans="1:6">
      <c r="A546" s="35">
        <v>9</v>
      </c>
      <c r="B546" s="35" t="s">
        <v>108</v>
      </c>
      <c r="C546" s="35" t="s">
        <v>428</v>
      </c>
      <c r="D546" s="35">
        <v>1845.28</v>
      </c>
      <c r="E546" s="35" t="s">
        <v>108</v>
      </c>
      <c r="F546" s="35">
        <v>16607.52</v>
      </c>
    </row>
    <row r="547" spans="1:6">
      <c r="A547" s="35">
        <v>4.5</v>
      </c>
      <c r="B547" s="35" t="s">
        <v>108</v>
      </c>
      <c r="C547" s="35" t="s">
        <v>131</v>
      </c>
      <c r="D547" s="35">
        <v>6839.29</v>
      </c>
      <c r="E547" s="35" t="s">
        <v>108</v>
      </c>
      <c r="F547" s="35">
        <v>30776.81</v>
      </c>
    </row>
    <row r="548" spans="1:6">
      <c r="A548" s="35">
        <v>1.8</v>
      </c>
      <c r="B548" s="35" t="s">
        <v>151</v>
      </c>
      <c r="C548" s="35" t="s">
        <v>152</v>
      </c>
      <c r="D548" s="35">
        <v>1060.8</v>
      </c>
      <c r="E548" s="35" t="s">
        <v>151</v>
      </c>
      <c r="F548" s="35">
        <v>1909.44</v>
      </c>
    </row>
    <row r="549" spans="1:6">
      <c r="A549" s="35">
        <v>17.7</v>
      </c>
      <c r="B549" s="35" t="s">
        <v>151</v>
      </c>
      <c r="C549" s="35" t="s">
        <v>153</v>
      </c>
      <c r="D549" s="35">
        <v>741.6</v>
      </c>
      <c r="E549" s="35" t="s">
        <v>151</v>
      </c>
      <c r="F549" s="35">
        <v>13126.32</v>
      </c>
    </row>
    <row r="550" spans="1:6">
      <c r="A550" s="35">
        <v>14.1</v>
      </c>
      <c r="B550" s="35" t="s">
        <v>151</v>
      </c>
      <c r="C550" s="35" t="s">
        <v>154</v>
      </c>
      <c r="D550" s="35">
        <v>608.4</v>
      </c>
      <c r="E550" s="35" t="s">
        <v>151</v>
      </c>
      <c r="F550" s="35">
        <v>8578.44</v>
      </c>
    </row>
    <row r="551" spans="1:6">
      <c r="A551" s="35"/>
      <c r="B551" s="35" t="s">
        <v>128</v>
      </c>
      <c r="C551" s="35" t="s">
        <v>129</v>
      </c>
      <c r="D551" s="35"/>
      <c r="E551" s="35" t="s">
        <v>128</v>
      </c>
      <c r="F551" s="35">
        <v>0</v>
      </c>
    </row>
    <row r="552" spans="1:6">
      <c r="A552" s="35"/>
      <c r="B552" s="35"/>
      <c r="C552" s="35"/>
      <c r="D552" s="35"/>
      <c r="E552" s="35"/>
      <c r="F552" s="35" t="s">
        <v>117</v>
      </c>
    </row>
    <row r="553" spans="1:6">
      <c r="A553" s="35"/>
      <c r="B553" s="35"/>
      <c r="C553" s="35"/>
      <c r="D553" s="35"/>
      <c r="E553" s="35"/>
      <c r="F553" s="35">
        <v>70998.53</v>
      </c>
    </row>
    <row r="554" spans="1:6">
      <c r="A554" s="35"/>
      <c r="B554" s="35"/>
      <c r="C554" s="35" t="s">
        <v>143</v>
      </c>
      <c r="D554" s="35"/>
      <c r="E554" s="35"/>
      <c r="F554" s="35" t="s">
        <v>117</v>
      </c>
    </row>
    <row r="555" spans="1:6">
      <c r="A555" s="35"/>
      <c r="B555" s="35"/>
      <c r="C555" s="35"/>
      <c r="D555" s="35"/>
      <c r="E555" s="35"/>
      <c r="F555" s="35">
        <v>7099.85</v>
      </c>
    </row>
    <row r="556" spans="1:6">
      <c r="A556" s="35"/>
      <c r="B556" s="35"/>
      <c r="C556" s="35" t="s">
        <v>155</v>
      </c>
      <c r="D556" s="35"/>
      <c r="E556" s="35"/>
      <c r="F556" s="35" t="s">
        <v>156</v>
      </c>
    </row>
    <row r="557" spans="1:6">
      <c r="B557" s="35" t="s">
        <v>429</v>
      </c>
      <c r="C557" s="35" t="s">
        <v>430</v>
      </c>
      <c r="D557" s="35">
        <v>953.44</v>
      </c>
    </row>
    <row r="558" spans="1:6">
      <c r="B558" s="35"/>
      <c r="C558" s="35"/>
      <c r="D558" s="35"/>
    </row>
    <row r="559" spans="1:6">
      <c r="B559" s="35" t="s">
        <v>431</v>
      </c>
      <c r="C559" s="35" t="s">
        <v>432</v>
      </c>
      <c r="D559" s="35">
        <v>1058.76</v>
      </c>
    </row>
    <row r="560" spans="1:6">
      <c r="B560" s="35"/>
      <c r="C560" s="35"/>
      <c r="D560" s="35"/>
    </row>
    <row r="561" spans="1:6">
      <c r="B561" s="35" t="s">
        <v>433</v>
      </c>
      <c r="C561" s="35" t="s">
        <v>434</v>
      </c>
      <c r="D561" s="35">
        <v>1270.51</v>
      </c>
    </row>
    <row r="562" spans="1:6">
      <c r="B562" s="35"/>
      <c r="C562" s="35"/>
      <c r="D562" s="35"/>
    </row>
    <row r="563" spans="1:6">
      <c r="B563" s="35" t="s">
        <v>435</v>
      </c>
      <c r="C563" s="35" t="s">
        <v>436</v>
      </c>
      <c r="D563" s="35">
        <v>1164.6400000000001</v>
      </c>
    </row>
    <row r="565" spans="1:6">
      <c r="A565" s="36" t="s">
        <v>437</v>
      </c>
      <c r="B565" s="35" t="s">
        <v>438</v>
      </c>
      <c r="C565" s="35" t="s">
        <v>439</v>
      </c>
      <c r="D565" s="35"/>
      <c r="E565" s="35"/>
      <c r="F565" s="35"/>
    </row>
    <row r="566" spans="1:6">
      <c r="A566" s="36"/>
      <c r="B566" s="35"/>
      <c r="C566" s="35" t="s">
        <v>440</v>
      </c>
      <c r="D566" s="35"/>
      <c r="E566" s="35"/>
      <c r="F566" s="35"/>
    </row>
    <row r="567" spans="1:6">
      <c r="A567" s="36"/>
      <c r="B567" s="35"/>
      <c r="C567" s="35" t="s">
        <v>117</v>
      </c>
      <c r="D567" s="35"/>
      <c r="E567" s="35"/>
      <c r="F567" s="35"/>
    </row>
    <row r="568" spans="1:6">
      <c r="A568" s="35">
        <v>1</v>
      </c>
      <c r="B568" s="35" t="s">
        <v>441</v>
      </c>
      <c r="C568" s="35" t="s">
        <v>442</v>
      </c>
      <c r="D568" s="35">
        <v>58322.37</v>
      </c>
      <c r="E568" s="35" t="s">
        <v>443</v>
      </c>
      <c r="F568" s="35">
        <v>5832.24</v>
      </c>
    </row>
    <row r="569" spans="1:6">
      <c r="A569" s="36">
        <v>0.01</v>
      </c>
      <c r="B569" s="35" t="s">
        <v>441</v>
      </c>
      <c r="C569" s="35" t="s">
        <v>444</v>
      </c>
      <c r="D569" s="35">
        <v>56350</v>
      </c>
      <c r="E569" s="35" t="s">
        <v>443</v>
      </c>
      <c r="F569" s="35">
        <v>56.35</v>
      </c>
    </row>
    <row r="570" spans="1:6">
      <c r="A570" s="36">
        <v>3.5</v>
      </c>
      <c r="B570" s="35" t="s">
        <v>223</v>
      </c>
      <c r="C570" s="35" t="s">
        <v>445</v>
      </c>
      <c r="D570" s="35">
        <v>985.2</v>
      </c>
      <c r="E570" s="35" t="s">
        <v>223</v>
      </c>
      <c r="F570" s="35">
        <v>3448.2</v>
      </c>
    </row>
    <row r="571" spans="1:6">
      <c r="A571" s="36"/>
      <c r="B571" s="35" t="s">
        <v>128</v>
      </c>
      <c r="C571" s="35" t="s">
        <v>129</v>
      </c>
      <c r="D571" s="35"/>
      <c r="E571" s="35" t="s">
        <v>128</v>
      </c>
      <c r="F571" s="35">
        <v>0</v>
      </c>
    </row>
    <row r="572" spans="1:6">
      <c r="A572" s="35"/>
      <c r="B572" s="35"/>
      <c r="C572" s="35"/>
      <c r="D572" s="35"/>
      <c r="E572" s="35"/>
      <c r="F572" s="35" t="s">
        <v>117</v>
      </c>
    </row>
    <row r="573" spans="1:6">
      <c r="A573" s="35"/>
      <c r="B573" s="35"/>
      <c r="C573" s="35" t="s">
        <v>446</v>
      </c>
      <c r="D573" s="35"/>
      <c r="E573" s="35"/>
      <c r="F573" s="35">
        <v>9336.7900000000009</v>
      </c>
    </row>
    <row r="574" spans="1:6">
      <c r="A574" s="35"/>
      <c r="B574" s="35"/>
      <c r="C574" s="35"/>
      <c r="D574" s="35"/>
      <c r="E574" s="35"/>
      <c r="F574" s="35" t="s">
        <v>117</v>
      </c>
    </row>
    <row r="575" spans="1:6">
      <c r="A575" s="35"/>
      <c r="B575" s="35"/>
      <c r="C575" s="35" t="s">
        <v>447</v>
      </c>
      <c r="D575" s="35"/>
      <c r="E575" s="35"/>
      <c r="F575" s="35">
        <v>93367.9</v>
      </c>
    </row>
    <row r="577" spans="1:6">
      <c r="A577" s="35" t="s">
        <v>448</v>
      </c>
      <c r="B577" s="35"/>
      <c r="C577" s="35" t="s">
        <v>449</v>
      </c>
      <c r="D577" s="35"/>
      <c r="E577" s="35"/>
      <c r="F577" s="35"/>
    </row>
    <row r="578" spans="1:6">
      <c r="A578" s="35"/>
      <c r="B578" s="35"/>
      <c r="C578" s="35" t="s">
        <v>450</v>
      </c>
      <c r="D578" s="35"/>
      <c r="E578" s="35"/>
      <c r="F578" s="35"/>
    </row>
    <row r="579" spans="1:6">
      <c r="A579" s="35" t="s">
        <v>114</v>
      </c>
      <c r="B579" s="35"/>
      <c r="C579" s="35" t="s">
        <v>451</v>
      </c>
      <c r="D579" s="35"/>
      <c r="E579" s="35"/>
      <c r="F579" s="35"/>
    </row>
    <row r="580" spans="1:6">
      <c r="A580" s="35"/>
      <c r="B580" s="35"/>
      <c r="C580" s="35" t="s">
        <v>117</v>
      </c>
      <c r="D580" s="35"/>
      <c r="E580" s="35"/>
      <c r="F580" s="35"/>
    </row>
    <row r="581" spans="1:6">
      <c r="A581" s="35">
        <v>3</v>
      </c>
      <c r="B581" s="35" t="s">
        <v>452</v>
      </c>
      <c r="C581" s="35" t="s">
        <v>453</v>
      </c>
      <c r="D581" s="35">
        <v>120.54</v>
      </c>
      <c r="E581" s="35" t="s">
        <v>452</v>
      </c>
      <c r="F581" s="35">
        <v>361.62</v>
      </c>
    </row>
    <row r="582" spans="1:6">
      <c r="A582" s="35">
        <v>1</v>
      </c>
      <c r="B582" s="35" t="s">
        <v>454</v>
      </c>
      <c r="C582" s="35" t="s">
        <v>455</v>
      </c>
      <c r="D582" s="35">
        <v>82.3</v>
      </c>
      <c r="E582" s="35" t="s">
        <v>454</v>
      </c>
      <c r="F582" s="35">
        <v>82.3</v>
      </c>
    </row>
    <row r="583" spans="1:6">
      <c r="A583" s="35">
        <v>1</v>
      </c>
      <c r="B583" s="35" t="s">
        <v>454</v>
      </c>
      <c r="C583" s="35" t="s">
        <v>456</v>
      </c>
      <c r="D583" s="35">
        <v>8</v>
      </c>
      <c r="E583" s="35" t="s">
        <v>454</v>
      </c>
      <c r="F583" s="35">
        <v>8</v>
      </c>
    </row>
    <row r="584" spans="1:6">
      <c r="A584" s="35" t="s">
        <v>457</v>
      </c>
      <c r="B584" s="35"/>
      <c r="C584" s="35" t="s">
        <v>458</v>
      </c>
      <c r="D584" s="35" t="s">
        <v>457</v>
      </c>
      <c r="E584" s="35"/>
      <c r="F584" s="35">
        <v>2.08</v>
      </c>
    </row>
    <row r="585" spans="1:6">
      <c r="A585" s="35"/>
      <c r="B585" s="35"/>
      <c r="C585" s="35"/>
      <c r="D585" s="35"/>
      <c r="E585" s="35"/>
      <c r="F585" s="35" t="s">
        <v>117</v>
      </c>
    </row>
    <row r="586" spans="1:6">
      <c r="A586" s="35"/>
      <c r="B586" s="35"/>
      <c r="C586" s="35" t="s">
        <v>459</v>
      </c>
      <c r="D586" s="35"/>
      <c r="E586" s="35"/>
      <c r="F586" s="35">
        <v>454</v>
      </c>
    </row>
    <row r="587" spans="1:6">
      <c r="A587" s="35"/>
      <c r="B587" s="35"/>
      <c r="C587" s="35"/>
      <c r="D587" s="35"/>
      <c r="E587" s="35"/>
      <c r="F587" s="35" t="s">
        <v>117</v>
      </c>
    </row>
    <row r="588" spans="1:6">
      <c r="A588" s="35" t="s">
        <v>473</v>
      </c>
      <c r="B588" s="35" t="s">
        <v>122</v>
      </c>
      <c r="C588" s="35" t="s">
        <v>474</v>
      </c>
      <c r="D588" s="35"/>
      <c r="E588" s="35"/>
      <c r="F588" s="35"/>
    </row>
    <row r="589" spans="1:6">
      <c r="A589" s="35"/>
      <c r="B589" s="35"/>
      <c r="C589" s="35" t="s">
        <v>475</v>
      </c>
      <c r="D589" s="35"/>
      <c r="E589" s="35"/>
      <c r="F589" s="35"/>
    </row>
    <row r="590" spans="1:6">
      <c r="A590" s="35"/>
      <c r="B590" s="35"/>
      <c r="C590" s="35" t="s">
        <v>117</v>
      </c>
      <c r="D590" s="35"/>
      <c r="E590" s="35"/>
      <c r="F590" s="35"/>
    </row>
    <row r="591" spans="1:6">
      <c r="A591" s="35">
        <v>1</v>
      </c>
      <c r="B591" s="35" t="s">
        <v>213</v>
      </c>
      <c r="C591" s="35" t="s">
        <v>476</v>
      </c>
      <c r="D591" s="35">
        <v>69.599999999999994</v>
      </c>
      <c r="E591" s="35" t="s">
        <v>213</v>
      </c>
      <c r="F591" s="35">
        <v>69.599999999999994</v>
      </c>
    </row>
    <row r="593" spans="1:6">
      <c r="A593" s="35"/>
      <c r="B593" s="35"/>
      <c r="C593" s="35" t="s">
        <v>477</v>
      </c>
      <c r="D593" s="35"/>
      <c r="E593" s="35"/>
      <c r="F593" s="35"/>
    </row>
    <row r="594" spans="1:6">
      <c r="A594" s="35">
        <v>15</v>
      </c>
      <c r="B594" s="35" t="s">
        <v>478</v>
      </c>
      <c r="C594" s="35" t="s">
        <v>479</v>
      </c>
      <c r="D594" s="35">
        <v>160.25</v>
      </c>
      <c r="E594" s="35" t="s">
        <v>478</v>
      </c>
      <c r="F594" s="35">
        <v>2403.75</v>
      </c>
    </row>
    <row r="595" spans="1:6">
      <c r="A595" s="35">
        <v>0.5</v>
      </c>
      <c r="B595" s="35" t="s">
        <v>480</v>
      </c>
      <c r="C595" s="35" t="s">
        <v>481</v>
      </c>
      <c r="D595" s="35">
        <v>56.35</v>
      </c>
      <c r="E595" s="35" t="s">
        <v>480</v>
      </c>
      <c r="F595" s="35">
        <v>28.18</v>
      </c>
    </row>
    <row r="596" spans="1:6">
      <c r="A596" s="35">
        <v>0.5</v>
      </c>
      <c r="B596" s="35" t="s">
        <v>482</v>
      </c>
      <c r="C596" s="35" t="s">
        <v>193</v>
      </c>
      <c r="D596" s="35">
        <v>1003.2</v>
      </c>
      <c r="E596" s="35" t="s">
        <v>480</v>
      </c>
      <c r="F596" s="35">
        <v>501.6</v>
      </c>
    </row>
    <row r="597" spans="1:6">
      <c r="A597" s="35">
        <v>0.5</v>
      </c>
      <c r="B597" s="35" t="s">
        <v>482</v>
      </c>
      <c r="C597" s="35" t="s">
        <v>483</v>
      </c>
      <c r="D597" s="35">
        <v>741.6</v>
      </c>
      <c r="E597" s="35" t="s">
        <v>480</v>
      </c>
      <c r="F597" s="35">
        <v>370.8</v>
      </c>
    </row>
    <row r="598" spans="1:6">
      <c r="A598" s="35"/>
      <c r="B598" s="35"/>
      <c r="C598" s="35" t="s">
        <v>484</v>
      </c>
      <c r="D598" s="35"/>
      <c r="E598" s="35"/>
      <c r="F598" s="35">
        <v>3304.33</v>
      </c>
    </row>
    <row r="599" spans="1:6">
      <c r="A599" s="35"/>
      <c r="B599" s="35"/>
      <c r="C599" s="35" t="s">
        <v>485</v>
      </c>
      <c r="D599" s="35"/>
      <c r="E599" s="35"/>
      <c r="F599" s="35">
        <v>220.29</v>
      </c>
    </row>
    <row r="600" spans="1:6">
      <c r="A600" s="35"/>
      <c r="B600" s="35"/>
      <c r="C600" s="35"/>
      <c r="D600" s="35"/>
      <c r="E600" s="35"/>
      <c r="F600"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4"/>
  <sheetViews>
    <sheetView topLeftCell="A3" workbookViewId="0">
      <selection activeCell="I10" sqref="I10"/>
    </sheetView>
  </sheetViews>
  <sheetFormatPr defaultRowHeight="15"/>
  <cols>
    <col min="3" max="3" width="46.140625" customWidth="1"/>
    <col min="4" max="4" width="18.7109375" customWidth="1"/>
    <col min="5" max="5" width="11.140625" customWidth="1"/>
    <col min="6" max="6" width="19.5703125" customWidth="1"/>
  </cols>
  <sheetData>
    <row r="1" spans="1:8" ht="89.25" customHeight="1" thickTop="1">
      <c r="A1" s="307"/>
      <c r="B1" s="308"/>
      <c r="C1" s="308"/>
      <c r="D1" s="308"/>
      <c r="E1" s="308"/>
      <c r="F1" s="309"/>
    </row>
    <row r="2" spans="1:8" ht="32.25" customHeight="1">
      <c r="A2" s="310" t="s">
        <v>460</v>
      </c>
      <c r="B2" s="311"/>
      <c r="C2" s="311"/>
      <c r="D2" s="311"/>
      <c r="E2" s="311"/>
      <c r="F2" s="312"/>
    </row>
    <row r="3" spans="1:8" ht="30" customHeight="1">
      <c r="A3" s="73" t="s">
        <v>461</v>
      </c>
      <c r="B3" s="74" t="s">
        <v>418</v>
      </c>
      <c r="C3" s="74" t="s">
        <v>27</v>
      </c>
      <c r="D3" s="75" t="s">
        <v>28</v>
      </c>
      <c r="E3" s="75" t="s">
        <v>29</v>
      </c>
      <c r="F3" s="76" t="s">
        <v>30</v>
      </c>
    </row>
    <row r="4" spans="1:8" ht="48" customHeight="1">
      <c r="A4" s="77">
        <v>1</v>
      </c>
      <c r="B4" s="78">
        <v>1</v>
      </c>
      <c r="C4" s="79" t="s">
        <v>469</v>
      </c>
      <c r="D4" s="80">
        <f>'EB Qtrs Abs'!F40</f>
        <v>1197599.269232</v>
      </c>
      <c r="E4" s="81" t="s">
        <v>462</v>
      </c>
      <c r="F4" s="82">
        <f>B4*D4</f>
        <v>1197599.269232</v>
      </c>
    </row>
    <row r="5" spans="1:8" ht="36.75" customHeight="1">
      <c r="A5" s="77">
        <v>2</v>
      </c>
      <c r="B5" s="78">
        <v>1</v>
      </c>
      <c r="C5" s="79" t="s">
        <v>470</v>
      </c>
      <c r="D5" s="80">
        <f>'[5]ST Abs'!$F$23</f>
        <v>171439.56</v>
      </c>
      <c r="E5" s="81" t="s">
        <v>462</v>
      </c>
      <c r="F5" s="82">
        <f t="shared" ref="F5" si="0">B5*D5</f>
        <v>171439.56</v>
      </c>
    </row>
    <row r="6" spans="1:8" ht="23.25">
      <c r="A6" s="83"/>
      <c r="B6" s="84"/>
      <c r="C6" s="304" t="s">
        <v>472</v>
      </c>
      <c r="D6" s="305"/>
      <c r="E6" s="306"/>
      <c r="F6" s="85">
        <f>SUM(F4:F5)</f>
        <v>1369038.829232</v>
      </c>
    </row>
    <row r="7" spans="1:8" ht="18.75">
      <c r="A7" s="77"/>
      <c r="B7" s="87"/>
      <c r="C7" s="313" t="s">
        <v>463</v>
      </c>
      <c r="D7" s="314"/>
      <c r="E7" s="315"/>
      <c r="F7" s="82">
        <f>F6*18%</f>
        <v>246426.98926176</v>
      </c>
    </row>
    <row r="8" spans="1:8" ht="18.75">
      <c r="A8" s="86"/>
      <c r="B8" s="87"/>
      <c r="C8" s="302" t="s">
        <v>471</v>
      </c>
      <c r="D8" s="302"/>
      <c r="E8" s="302"/>
      <c r="F8" s="85">
        <f>SUM(F6:F7)</f>
        <v>1615465.81849376</v>
      </c>
    </row>
    <row r="9" spans="1:8" ht="27" customHeight="1">
      <c r="A9" s="77"/>
      <c r="B9" s="87"/>
      <c r="C9" s="299" t="s">
        <v>464</v>
      </c>
      <c r="D9" s="300"/>
      <c r="E9" s="301"/>
      <c r="F9" s="82">
        <f>F6*1%</f>
        <v>13690.38829232</v>
      </c>
    </row>
    <row r="10" spans="1:8" ht="26.25" customHeight="1">
      <c r="A10" s="77"/>
      <c r="B10" s="87"/>
      <c r="C10" s="299" t="s">
        <v>465</v>
      </c>
      <c r="D10" s="300"/>
      <c r="E10" s="301"/>
      <c r="F10" s="82">
        <f>F8*2.5%</f>
        <v>40386.645462344</v>
      </c>
    </row>
    <row r="11" spans="1:8" ht="27.75" customHeight="1">
      <c r="A11" s="77"/>
      <c r="B11" s="87"/>
      <c r="C11" s="299" t="s">
        <v>466</v>
      </c>
      <c r="D11" s="300"/>
      <c r="E11" s="301"/>
      <c r="F11" s="82">
        <f>F8*7.5%</f>
        <v>121159.93638703199</v>
      </c>
    </row>
    <row r="12" spans="1:8" ht="26.25" customHeight="1">
      <c r="A12" s="88"/>
      <c r="B12" s="87"/>
      <c r="C12" s="302" t="s">
        <v>467</v>
      </c>
      <c r="D12" s="302"/>
      <c r="E12" s="302"/>
      <c r="F12" s="85">
        <f>SUM(F8:F11)</f>
        <v>1790702.788635456</v>
      </c>
    </row>
    <row r="13" spans="1:8" ht="30" customHeight="1" thickBot="1">
      <c r="A13" s="89"/>
      <c r="B13" s="90"/>
      <c r="C13" s="303" t="s">
        <v>468</v>
      </c>
      <c r="D13" s="303"/>
      <c r="E13" s="303"/>
      <c r="F13" s="91">
        <v>1790800</v>
      </c>
      <c r="H13" s="54"/>
    </row>
    <row r="14" spans="1:8" ht="15.75" thickTop="1"/>
  </sheetData>
  <mergeCells count="10">
    <mergeCell ref="A1:F1"/>
    <mergeCell ref="A2:F2"/>
    <mergeCell ref="C7:E7"/>
    <mergeCell ref="C8:E8"/>
    <mergeCell ref="C9:E9"/>
    <mergeCell ref="C10:E10"/>
    <mergeCell ref="C11:E11"/>
    <mergeCell ref="C12:E12"/>
    <mergeCell ref="C13:E13"/>
    <mergeCell ref="C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0"/>
  <sheetViews>
    <sheetView workbookViewId="0">
      <selection activeCell="I14" sqref="I14"/>
    </sheetView>
  </sheetViews>
  <sheetFormatPr defaultRowHeight="15"/>
  <cols>
    <col min="3" max="3" width="34.85546875" customWidth="1"/>
  </cols>
  <sheetData>
    <row r="1" spans="1:6">
      <c r="A1" s="35"/>
      <c r="B1" s="35"/>
      <c r="C1" s="35" t="s">
        <v>111</v>
      </c>
      <c r="D1" s="35"/>
      <c r="E1" s="35"/>
      <c r="F1" s="35"/>
    </row>
    <row r="2" spans="1:6">
      <c r="A2" s="35"/>
      <c r="B2" s="35"/>
      <c r="C2" s="35" t="s">
        <v>112</v>
      </c>
      <c r="D2" s="35"/>
      <c r="E2" s="35"/>
      <c r="F2" s="35"/>
    </row>
    <row r="3" spans="1:6">
      <c r="A3" s="35" t="s">
        <v>113</v>
      </c>
      <c r="B3" s="35" t="s">
        <v>114</v>
      </c>
      <c r="C3" s="35" t="s">
        <v>499</v>
      </c>
      <c r="D3" s="35"/>
      <c r="E3" s="35" t="s">
        <v>500</v>
      </c>
      <c r="F3" s="35"/>
    </row>
    <row r="4" spans="1:6">
      <c r="A4" s="35" t="s">
        <v>117</v>
      </c>
      <c r="B4" s="35" t="s">
        <v>117</v>
      </c>
      <c r="C4" s="35" t="s">
        <v>117</v>
      </c>
      <c r="D4" s="35" t="s">
        <v>117</v>
      </c>
      <c r="E4" s="35" t="s">
        <v>117</v>
      </c>
      <c r="F4" s="35" t="s">
        <v>117</v>
      </c>
    </row>
    <row r="5" spans="1:6">
      <c r="A5" s="35" t="s">
        <v>7</v>
      </c>
      <c r="B5" s="35" t="s">
        <v>114</v>
      </c>
      <c r="C5" s="35" t="s">
        <v>118</v>
      </c>
      <c r="D5" s="35" t="s">
        <v>119</v>
      </c>
      <c r="E5" s="35" t="s">
        <v>120</v>
      </c>
      <c r="F5" s="35" t="s">
        <v>121</v>
      </c>
    </row>
    <row r="6" spans="1:6">
      <c r="A6" s="35" t="s">
        <v>117</v>
      </c>
      <c r="B6" s="35" t="s">
        <v>117</v>
      </c>
      <c r="C6" s="35" t="s">
        <v>117</v>
      </c>
      <c r="D6" s="35" t="s">
        <v>117</v>
      </c>
      <c r="E6" s="35" t="s">
        <v>117</v>
      </c>
      <c r="F6" s="35" t="s">
        <v>117</v>
      </c>
    </row>
    <row r="7" spans="1:6">
      <c r="A7" s="35"/>
      <c r="B7" s="35" t="s">
        <v>122</v>
      </c>
      <c r="C7" s="35" t="s">
        <v>123</v>
      </c>
      <c r="D7" s="35"/>
      <c r="E7" s="35"/>
      <c r="F7" s="35"/>
    </row>
    <row r="8" spans="1:6">
      <c r="A8" s="35"/>
      <c r="B8" s="35"/>
      <c r="C8" s="35" t="s">
        <v>117</v>
      </c>
      <c r="D8" s="35"/>
      <c r="E8" s="35"/>
      <c r="F8" s="35"/>
    </row>
    <row r="9" spans="1:6">
      <c r="A9" s="35">
        <v>0.96</v>
      </c>
      <c r="B9" s="35" t="s">
        <v>124</v>
      </c>
      <c r="C9" s="35" t="s">
        <v>125</v>
      </c>
      <c r="D9" s="35">
        <v>6367.64</v>
      </c>
      <c r="E9" s="35" t="s">
        <v>124</v>
      </c>
      <c r="F9" s="35">
        <v>6112.93</v>
      </c>
    </row>
    <row r="10" spans="1:6">
      <c r="A10" s="35">
        <v>1</v>
      </c>
      <c r="B10" s="35" t="s">
        <v>108</v>
      </c>
      <c r="C10" s="35" t="s">
        <v>126</v>
      </c>
      <c r="D10" s="35">
        <v>1782.41</v>
      </c>
      <c r="E10" s="35" t="s">
        <v>108</v>
      </c>
      <c r="F10" s="35">
        <v>1782.41</v>
      </c>
    </row>
    <row r="11" spans="1:6">
      <c r="A11" s="35">
        <v>1</v>
      </c>
      <c r="B11" s="35" t="s">
        <v>108</v>
      </c>
      <c r="C11" s="35" t="s">
        <v>127</v>
      </c>
      <c r="D11" s="35">
        <v>139.19999999999999</v>
      </c>
      <c r="E11" s="35" t="s">
        <v>108</v>
      </c>
      <c r="F11" s="35">
        <v>139.19999999999999</v>
      </c>
    </row>
    <row r="12" spans="1:6">
      <c r="A12" s="35"/>
      <c r="B12" s="35" t="s">
        <v>128</v>
      </c>
      <c r="C12" s="35" t="s">
        <v>129</v>
      </c>
      <c r="D12" s="35" t="s">
        <v>114</v>
      </c>
      <c r="E12" s="35" t="s">
        <v>128</v>
      </c>
      <c r="F12" s="35">
        <v>0</v>
      </c>
    </row>
    <row r="13" spans="1:6">
      <c r="A13" s="35"/>
      <c r="B13" s="35"/>
      <c r="C13" s="35"/>
      <c r="D13" s="35"/>
      <c r="E13" s="35"/>
      <c r="F13" s="35" t="s">
        <v>117</v>
      </c>
    </row>
    <row r="14" spans="1:6">
      <c r="A14" s="35"/>
      <c r="B14" s="35"/>
      <c r="C14" s="35" t="s">
        <v>130</v>
      </c>
      <c r="D14" s="35"/>
      <c r="E14" s="35"/>
      <c r="F14" s="35">
        <v>8034.54</v>
      </c>
    </row>
    <row r="15" spans="1:6">
      <c r="A15" s="35"/>
      <c r="B15" s="35"/>
      <c r="C15" s="35"/>
      <c r="D15" s="35"/>
      <c r="E15" s="35"/>
      <c r="F15" s="35" t="s">
        <v>117</v>
      </c>
    </row>
    <row r="16" spans="1:6">
      <c r="A16" s="35"/>
      <c r="B16" s="35" t="s">
        <v>122</v>
      </c>
      <c r="C16" s="35" t="s">
        <v>131</v>
      </c>
      <c r="D16" s="35"/>
      <c r="E16" s="35"/>
      <c r="F16" s="35"/>
    </row>
    <row r="17" spans="1:6">
      <c r="A17" s="35"/>
      <c r="B17" s="35"/>
      <c r="C17" s="35" t="s">
        <v>117</v>
      </c>
      <c r="D17" s="35"/>
      <c r="E17" s="35"/>
      <c r="F17" s="35"/>
    </row>
    <row r="18" spans="1:6">
      <c r="A18" s="35">
        <v>0.72</v>
      </c>
      <c r="B18" s="35" t="s">
        <v>124</v>
      </c>
      <c r="C18" s="35" t="s">
        <v>125</v>
      </c>
      <c r="D18" s="35">
        <v>6367.64</v>
      </c>
      <c r="E18" s="35" t="s">
        <v>124</v>
      </c>
      <c r="F18" s="35">
        <v>4584.7</v>
      </c>
    </row>
    <row r="19" spans="1:6">
      <c r="A19" s="35">
        <v>1</v>
      </c>
      <c r="B19" s="35" t="s">
        <v>108</v>
      </c>
      <c r="C19" s="35" t="s">
        <v>126</v>
      </c>
      <c r="D19" s="35">
        <v>1782.41</v>
      </c>
      <c r="E19" s="35" t="s">
        <v>108</v>
      </c>
      <c r="F19" s="35">
        <v>1782.41</v>
      </c>
    </row>
    <row r="20" spans="1:6">
      <c r="A20" s="35">
        <v>1</v>
      </c>
      <c r="B20" s="35" t="s">
        <v>108</v>
      </c>
      <c r="C20" s="35" t="s">
        <v>127</v>
      </c>
      <c r="D20" s="35">
        <v>139.19999999999999</v>
      </c>
      <c r="E20" s="35" t="s">
        <v>108</v>
      </c>
      <c r="F20" s="35">
        <v>139.19999999999999</v>
      </c>
    </row>
    <row r="21" spans="1:6">
      <c r="A21" s="35"/>
      <c r="B21" s="35" t="s">
        <v>128</v>
      </c>
      <c r="C21" s="35" t="s">
        <v>129</v>
      </c>
      <c r="D21" s="35" t="s">
        <v>114</v>
      </c>
      <c r="E21" s="35" t="s">
        <v>128</v>
      </c>
      <c r="F21" s="35">
        <v>0</v>
      </c>
    </row>
    <row r="22" spans="1:6">
      <c r="A22" s="35"/>
      <c r="B22" s="35"/>
      <c r="C22" s="35"/>
      <c r="D22" s="35"/>
      <c r="E22" s="35"/>
      <c r="F22" s="35" t="s">
        <v>117</v>
      </c>
    </row>
    <row r="23" spans="1:6">
      <c r="A23" s="35"/>
      <c r="B23" s="35"/>
      <c r="C23" s="35" t="s">
        <v>130</v>
      </c>
      <c r="D23" s="35"/>
      <c r="E23" s="35"/>
      <c r="F23" s="35">
        <v>6506.31</v>
      </c>
    </row>
    <row r="24" spans="1:6">
      <c r="A24" s="35"/>
      <c r="B24" s="35"/>
      <c r="C24" s="35"/>
      <c r="D24" s="35"/>
      <c r="E24" s="35"/>
      <c r="F24" s="35" t="s">
        <v>117</v>
      </c>
    </row>
    <row r="25" spans="1:6">
      <c r="A25" s="35"/>
      <c r="B25" s="35" t="s">
        <v>122</v>
      </c>
      <c r="C25" s="35" t="s">
        <v>132</v>
      </c>
      <c r="D25" s="35"/>
      <c r="E25" s="35"/>
      <c r="F25" s="35"/>
    </row>
    <row r="26" spans="1:6">
      <c r="A26" s="35"/>
      <c r="B26" s="35"/>
      <c r="C26" s="35" t="s">
        <v>117</v>
      </c>
      <c r="D26" s="35"/>
      <c r="E26" s="35"/>
      <c r="F26" s="35"/>
    </row>
    <row r="27" spans="1:6">
      <c r="A27" s="35">
        <v>0.48</v>
      </c>
      <c r="B27" s="35" t="s">
        <v>124</v>
      </c>
      <c r="C27" s="35" t="s">
        <v>125</v>
      </c>
      <c r="D27" s="35">
        <v>6367.64</v>
      </c>
      <c r="E27" s="35" t="s">
        <v>124</v>
      </c>
      <c r="F27" s="35">
        <v>3056.47</v>
      </c>
    </row>
    <row r="28" spans="1:6">
      <c r="A28" s="35">
        <v>1</v>
      </c>
      <c r="B28" s="35" t="s">
        <v>108</v>
      </c>
      <c r="C28" s="35" t="s">
        <v>126</v>
      </c>
      <c r="D28" s="35">
        <v>1782.41</v>
      </c>
      <c r="E28" s="35" t="s">
        <v>108</v>
      </c>
      <c r="F28" s="35">
        <v>1782.41</v>
      </c>
    </row>
    <row r="29" spans="1:6">
      <c r="A29" s="35">
        <v>1</v>
      </c>
      <c r="B29" s="35" t="s">
        <v>108</v>
      </c>
      <c r="C29" s="35" t="s">
        <v>127</v>
      </c>
      <c r="D29" s="35">
        <v>139.19999999999999</v>
      </c>
      <c r="E29" s="35" t="s">
        <v>108</v>
      </c>
      <c r="F29" s="35">
        <v>139.19999999999999</v>
      </c>
    </row>
    <row r="30" spans="1:6">
      <c r="A30" s="35"/>
      <c r="B30" s="35" t="s">
        <v>128</v>
      </c>
      <c r="C30" s="35" t="s">
        <v>129</v>
      </c>
      <c r="D30" s="35" t="s">
        <v>114</v>
      </c>
      <c r="E30" s="35" t="s">
        <v>128</v>
      </c>
      <c r="F30" s="35">
        <v>0</v>
      </c>
    </row>
    <row r="31" spans="1:6">
      <c r="A31" s="35"/>
      <c r="B31" s="35"/>
      <c r="C31" s="35"/>
      <c r="D31" s="35"/>
      <c r="E31" s="35"/>
      <c r="F31" s="35" t="s">
        <v>117</v>
      </c>
    </row>
    <row r="32" spans="1:6">
      <c r="A32" s="35"/>
      <c r="B32" s="35"/>
      <c r="C32" s="35" t="s">
        <v>130</v>
      </c>
      <c r="D32" s="35"/>
      <c r="E32" s="35"/>
      <c r="F32" s="35">
        <v>4978.08</v>
      </c>
    </row>
    <row r="33" spans="1:6">
      <c r="A33" s="35"/>
      <c r="B33" s="35"/>
      <c r="C33" s="35"/>
      <c r="D33" s="35"/>
      <c r="E33" s="35"/>
      <c r="F33" s="35" t="s">
        <v>117</v>
      </c>
    </row>
    <row r="34" spans="1:6">
      <c r="A34" s="35"/>
      <c r="B34" s="35" t="s">
        <v>122</v>
      </c>
      <c r="C34" s="35" t="s">
        <v>133</v>
      </c>
      <c r="D34" s="35"/>
      <c r="E34" s="35"/>
      <c r="F34" s="35"/>
    </row>
    <row r="35" spans="1:6">
      <c r="A35" s="35">
        <v>0.36</v>
      </c>
      <c r="B35" s="35" t="s">
        <v>124</v>
      </c>
      <c r="C35" s="35" t="s">
        <v>125</v>
      </c>
      <c r="D35" s="35">
        <v>6367.64</v>
      </c>
      <c r="E35" s="35" t="s">
        <v>124</v>
      </c>
      <c r="F35" s="35">
        <v>2292.35</v>
      </c>
    </row>
    <row r="36" spans="1:6">
      <c r="A36" s="35">
        <v>1</v>
      </c>
      <c r="B36" s="35" t="s">
        <v>108</v>
      </c>
      <c r="C36" s="35" t="s">
        <v>126</v>
      </c>
      <c r="D36" s="35">
        <v>1782.41</v>
      </c>
      <c r="E36" s="35" t="s">
        <v>108</v>
      </c>
      <c r="F36" s="35">
        <v>1782.41</v>
      </c>
    </row>
    <row r="37" spans="1:6">
      <c r="A37" s="35">
        <v>1</v>
      </c>
      <c r="B37" s="35" t="s">
        <v>108</v>
      </c>
      <c r="C37" s="35" t="s">
        <v>127</v>
      </c>
      <c r="D37" s="35">
        <v>139.19999999999999</v>
      </c>
      <c r="E37" s="35" t="s">
        <v>108</v>
      </c>
      <c r="F37" s="35">
        <v>139.19999999999999</v>
      </c>
    </row>
    <row r="38" spans="1:6">
      <c r="A38" s="35"/>
      <c r="B38" s="35" t="s">
        <v>128</v>
      </c>
      <c r="C38" s="35" t="s">
        <v>129</v>
      </c>
      <c r="D38" s="35" t="s">
        <v>114</v>
      </c>
      <c r="E38" s="35" t="s">
        <v>128</v>
      </c>
      <c r="F38" s="35">
        <v>0</v>
      </c>
    </row>
    <row r="39" spans="1:6">
      <c r="A39" s="35"/>
      <c r="B39" s="35"/>
      <c r="C39" s="35"/>
      <c r="D39" s="35"/>
      <c r="E39" s="35"/>
      <c r="F39" s="35" t="s">
        <v>117</v>
      </c>
    </row>
    <row r="40" spans="1:6">
      <c r="A40" s="35"/>
      <c r="B40" s="35"/>
      <c r="C40" s="35" t="s">
        <v>130</v>
      </c>
      <c r="D40" s="35"/>
      <c r="E40" s="35"/>
      <c r="F40" s="35">
        <v>4213.96</v>
      </c>
    </row>
    <row r="41" spans="1:6">
      <c r="A41" s="35"/>
      <c r="B41" s="35"/>
      <c r="C41" s="35"/>
      <c r="D41" s="35"/>
      <c r="E41" s="35"/>
      <c r="F41" s="35" t="s">
        <v>117</v>
      </c>
    </row>
    <row r="42" spans="1:6">
      <c r="A42" s="35"/>
      <c r="B42" s="35" t="s">
        <v>122</v>
      </c>
      <c r="C42" s="35" t="s">
        <v>134</v>
      </c>
      <c r="D42" s="35"/>
      <c r="E42" s="35"/>
      <c r="F42" s="35"/>
    </row>
    <row r="43" spans="1:6">
      <c r="A43" s="35"/>
      <c r="B43" s="35"/>
      <c r="C43" s="35" t="s">
        <v>117</v>
      </c>
      <c r="D43" s="35"/>
      <c r="E43" s="35"/>
      <c r="F43" s="35"/>
    </row>
    <row r="44" spans="1:6">
      <c r="A44" s="36">
        <v>0.28799999999999998</v>
      </c>
      <c r="B44" s="35" t="s">
        <v>124</v>
      </c>
      <c r="C44" s="35" t="s">
        <v>125</v>
      </c>
      <c r="D44" s="35">
        <v>6367.64</v>
      </c>
      <c r="E44" s="35" t="s">
        <v>124</v>
      </c>
      <c r="F44" s="35">
        <v>1833.88</v>
      </c>
    </row>
    <row r="45" spans="1:6">
      <c r="A45" s="35">
        <v>1</v>
      </c>
      <c r="B45" s="35" t="s">
        <v>108</v>
      </c>
      <c r="C45" s="35" t="s">
        <v>126</v>
      </c>
      <c r="D45" s="35">
        <v>1782.41</v>
      </c>
      <c r="E45" s="35" t="s">
        <v>108</v>
      </c>
      <c r="F45" s="35">
        <v>1782.41</v>
      </c>
    </row>
    <row r="46" spans="1:6">
      <c r="A46" s="35">
        <v>1</v>
      </c>
      <c r="B46" s="35" t="s">
        <v>108</v>
      </c>
      <c r="C46" s="35" t="s">
        <v>127</v>
      </c>
      <c r="D46" s="35">
        <v>139.19999999999999</v>
      </c>
      <c r="E46" s="35" t="s">
        <v>108</v>
      </c>
      <c r="F46" s="35">
        <v>139.19999999999999</v>
      </c>
    </row>
    <row r="47" spans="1:6">
      <c r="A47" s="35"/>
      <c r="B47" s="35" t="s">
        <v>128</v>
      </c>
      <c r="C47" s="35" t="s">
        <v>129</v>
      </c>
      <c r="D47" s="35" t="s">
        <v>114</v>
      </c>
      <c r="E47" s="35" t="s">
        <v>128</v>
      </c>
      <c r="F47" s="35">
        <v>0</v>
      </c>
    </row>
    <row r="48" spans="1:6">
      <c r="A48" s="35"/>
      <c r="B48" s="35"/>
      <c r="C48" s="35"/>
      <c r="D48" s="35"/>
      <c r="E48" s="35"/>
      <c r="F48" s="35" t="s">
        <v>117</v>
      </c>
    </row>
    <row r="49" spans="1:6">
      <c r="A49" s="35"/>
      <c r="B49" s="35"/>
      <c r="C49" s="35" t="s">
        <v>130</v>
      </c>
      <c r="D49" s="35"/>
      <c r="E49" s="35"/>
      <c r="F49" s="35">
        <v>3755.49</v>
      </c>
    </row>
    <row r="50" spans="1:6">
      <c r="A50" s="35"/>
      <c r="B50" s="35"/>
      <c r="C50" s="35"/>
      <c r="D50" s="35"/>
      <c r="E50" s="35"/>
      <c r="F50" s="35" t="s">
        <v>117</v>
      </c>
    </row>
    <row r="51" spans="1:6">
      <c r="A51" s="35"/>
      <c r="B51" s="35" t="s">
        <v>122</v>
      </c>
      <c r="C51" s="35" t="s">
        <v>135</v>
      </c>
      <c r="D51" s="35"/>
      <c r="E51" s="35"/>
      <c r="F51" s="35"/>
    </row>
    <row r="52" spans="1:6">
      <c r="A52" s="35"/>
      <c r="B52" s="35"/>
      <c r="C52" s="35" t="s">
        <v>117</v>
      </c>
      <c r="D52" s="35"/>
      <c r="E52" s="35"/>
      <c r="F52" s="35"/>
    </row>
    <row r="53" spans="1:6">
      <c r="A53" s="35">
        <v>0.24</v>
      </c>
      <c r="B53" s="35" t="s">
        <v>124</v>
      </c>
      <c r="C53" s="35" t="s">
        <v>125</v>
      </c>
      <c r="D53" s="35">
        <v>6367.64</v>
      </c>
      <c r="E53" s="35" t="s">
        <v>124</v>
      </c>
      <c r="F53" s="35">
        <v>1528.23</v>
      </c>
    </row>
    <row r="54" spans="1:6">
      <c r="A54" s="35">
        <v>1</v>
      </c>
      <c r="B54" s="35" t="s">
        <v>108</v>
      </c>
      <c r="C54" s="35" t="s">
        <v>126</v>
      </c>
      <c r="D54" s="35">
        <v>1782.41</v>
      </c>
      <c r="E54" s="35" t="s">
        <v>108</v>
      </c>
      <c r="F54" s="35">
        <v>1782.41</v>
      </c>
    </row>
    <row r="55" spans="1:6">
      <c r="A55" s="35">
        <v>1</v>
      </c>
      <c r="B55" s="35" t="s">
        <v>108</v>
      </c>
      <c r="C55" s="35" t="s">
        <v>127</v>
      </c>
      <c r="D55" s="35">
        <v>139.19999999999999</v>
      </c>
      <c r="E55" s="35" t="s">
        <v>108</v>
      </c>
      <c r="F55" s="35">
        <v>139.19999999999999</v>
      </c>
    </row>
    <row r="56" spans="1:6">
      <c r="A56" s="35"/>
      <c r="B56" s="35" t="s">
        <v>128</v>
      </c>
      <c r="C56" s="35" t="s">
        <v>129</v>
      </c>
      <c r="D56" s="35" t="s">
        <v>114</v>
      </c>
      <c r="E56" s="35" t="s">
        <v>128</v>
      </c>
      <c r="F56" s="35">
        <v>0</v>
      </c>
    </row>
    <row r="57" spans="1:6">
      <c r="A57" s="35"/>
      <c r="B57" s="35"/>
      <c r="C57" s="35"/>
      <c r="D57" s="35"/>
      <c r="E57" s="35"/>
      <c r="F57" s="35" t="s">
        <v>117</v>
      </c>
    </row>
    <row r="58" spans="1:6">
      <c r="A58" s="35"/>
      <c r="B58" s="35"/>
      <c r="C58" s="35" t="s">
        <v>130</v>
      </c>
      <c r="D58" s="35"/>
      <c r="E58" s="35"/>
      <c r="F58" s="35">
        <v>3449.84</v>
      </c>
    </row>
    <row r="59" spans="1:6">
      <c r="A59" s="35" t="s">
        <v>114</v>
      </c>
      <c r="B59" s="35"/>
      <c r="C59" s="35"/>
      <c r="D59" s="35"/>
      <c r="E59" s="35"/>
      <c r="F59" s="35"/>
    </row>
    <row r="60" spans="1:6">
      <c r="A60" s="35"/>
      <c r="B60" s="35"/>
      <c r="C60" s="35"/>
      <c r="D60" s="35"/>
      <c r="E60" s="35"/>
      <c r="F60" s="35" t="s">
        <v>117</v>
      </c>
    </row>
    <row r="61" spans="1:6">
      <c r="A61" s="35"/>
      <c r="B61" s="35" t="s">
        <v>122</v>
      </c>
      <c r="C61" s="35" t="s">
        <v>136</v>
      </c>
      <c r="D61" s="35"/>
      <c r="E61" s="35"/>
      <c r="F61" s="35"/>
    </row>
    <row r="62" spans="1:6">
      <c r="A62" s="35"/>
      <c r="B62" s="35"/>
      <c r="C62" s="35" t="s">
        <v>117</v>
      </c>
      <c r="D62" s="35"/>
      <c r="E62" s="35"/>
      <c r="F62" s="35"/>
    </row>
    <row r="63" spans="1:6">
      <c r="A63" s="36">
        <v>0.20599999999999999</v>
      </c>
      <c r="B63" s="35" t="s">
        <v>124</v>
      </c>
      <c r="C63" s="35" t="s">
        <v>125</v>
      </c>
      <c r="D63" s="35">
        <v>6367.64</v>
      </c>
      <c r="E63" s="35" t="s">
        <v>124</v>
      </c>
      <c r="F63" s="35">
        <v>1311.73</v>
      </c>
    </row>
    <row r="64" spans="1:6">
      <c r="A64" s="35">
        <v>1</v>
      </c>
      <c r="B64" s="35" t="s">
        <v>108</v>
      </c>
      <c r="C64" s="35" t="s">
        <v>126</v>
      </c>
      <c r="D64" s="35">
        <v>1782.41</v>
      </c>
      <c r="E64" s="35" t="s">
        <v>108</v>
      </c>
      <c r="F64" s="35">
        <v>1782.41</v>
      </c>
    </row>
    <row r="65" spans="1:6">
      <c r="A65" s="35">
        <v>1</v>
      </c>
      <c r="B65" s="35" t="s">
        <v>108</v>
      </c>
      <c r="C65" s="35" t="s">
        <v>127</v>
      </c>
      <c r="D65" s="35">
        <v>139.19999999999999</v>
      </c>
      <c r="E65" s="35" t="s">
        <v>108</v>
      </c>
      <c r="F65" s="35">
        <v>139.19999999999999</v>
      </c>
    </row>
    <row r="66" spans="1:6">
      <c r="A66" s="35"/>
      <c r="B66" s="35" t="s">
        <v>128</v>
      </c>
      <c r="C66" s="35" t="s">
        <v>129</v>
      </c>
      <c r="D66" s="35" t="s">
        <v>114</v>
      </c>
      <c r="E66" s="35" t="s">
        <v>128</v>
      </c>
      <c r="F66" s="35">
        <v>0</v>
      </c>
    </row>
    <row r="67" spans="1:6">
      <c r="A67" s="35"/>
      <c r="B67" s="35"/>
      <c r="C67" s="35"/>
      <c r="D67" s="35"/>
      <c r="E67" s="35"/>
      <c r="F67" s="35" t="s">
        <v>117</v>
      </c>
    </row>
    <row r="68" spans="1:6">
      <c r="A68" s="35"/>
      <c r="B68" s="35"/>
      <c r="C68" s="35" t="s">
        <v>130</v>
      </c>
      <c r="D68" s="35"/>
      <c r="E68" s="35"/>
      <c r="F68" s="35">
        <v>3233.34</v>
      </c>
    </row>
    <row r="69" spans="1:6">
      <c r="A69" s="35"/>
      <c r="B69" s="35"/>
      <c r="C69" s="35"/>
      <c r="D69" s="35"/>
      <c r="E69" s="35"/>
      <c r="F69" s="35" t="s">
        <v>117</v>
      </c>
    </row>
    <row r="70" spans="1:6">
      <c r="A70" s="35"/>
      <c r="B70" s="35" t="s">
        <v>122</v>
      </c>
      <c r="C70" s="35" t="s">
        <v>137</v>
      </c>
      <c r="D70" s="35"/>
      <c r="E70" s="35"/>
      <c r="F70" s="35"/>
    </row>
    <row r="71" spans="1:6">
      <c r="A71" s="35"/>
      <c r="B71" s="35"/>
      <c r="C71" s="35" t="s">
        <v>117</v>
      </c>
      <c r="D71" s="35"/>
      <c r="E71" s="35"/>
      <c r="F71" s="35"/>
    </row>
    <row r="72" spans="1:6">
      <c r="A72" s="35">
        <v>0.18</v>
      </c>
      <c r="B72" s="35" t="s">
        <v>124</v>
      </c>
      <c r="C72" s="35" t="s">
        <v>125</v>
      </c>
      <c r="D72" s="35">
        <v>6367.64</v>
      </c>
      <c r="E72" s="35" t="s">
        <v>124</v>
      </c>
      <c r="F72" s="35">
        <v>1146.18</v>
      </c>
    </row>
    <row r="73" spans="1:6">
      <c r="A73" s="35">
        <v>1</v>
      </c>
      <c r="B73" s="35" t="s">
        <v>108</v>
      </c>
      <c r="C73" s="35" t="s">
        <v>126</v>
      </c>
      <c r="D73" s="35">
        <v>1782.41</v>
      </c>
      <c r="E73" s="35" t="s">
        <v>108</v>
      </c>
      <c r="F73" s="35">
        <v>1782.41</v>
      </c>
    </row>
    <row r="74" spans="1:6">
      <c r="A74" s="35">
        <v>1</v>
      </c>
      <c r="B74" s="35" t="s">
        <v>108</v>
      </c>
      <c r="C74" s="35" t="s">
        <v>127</v>
      </c>
      <c r="D74" s="35">
        <v>139.19999999999999</v>
      </c>
      <c r="E74" s="35" t="s">
        <v>108</v>
      </c>
      <c r="F74" s="35">
        <v>139.19999999999999</v>
      </c>
    </row>
    <row r="75" spans="1:6">
      <c r="A75" s="35"/>
      <c r="B75" s="35" t="s">
        <v>128</v>
      </c>
      <c r="C75" s="35" t="s">
        <v>129</v>
      </c>
      <c r="D75" s="35" t="s">
        <v>114</v>
      </c>
      <c r="E75" s="35" t="s">
        <v>128</v>
      </c>
      <c r="F75" s="35">
        <v>0</v>
      </c>
    </row>
    <row r="76" spans="1:6">
      <c r="A76" s="35"/>
      <c r="B76" s="35"/>
      <c r="C76" s="35"/>
      <c r="D76" s="35"/>
      <c r="E76" s="35"/>
      <c r="F76" s="35" t="s">
        <v>117</v>
      </c>
    </row>
    <row r="77" spans="1:6">
      <c r="A77" s="35"/>
      <c r="B77" s="35"/>
      <c r="C77" s="35" t="s">
        <v>130</v>
      </c>
      <c r="D77" s="35"/>
      <c r="E77" s="35"/>
      <c r="F77" s="35">
        <v>3067.79</v>
      </c>
    </row>
    <row r="78" spans="1:6">
      <c r="A78" s="35"/>
      <c r="B78" s="35"/>
      <c r="C78" s="35"/>
      <c r="D78" s="35"/>
      <c r="E78" s="35"/>
      <c r="F78" s="35" t="s">
        <v>117</v>
      </c>
    </row>
    <row r="79" spans="1:6">
      <c r="A79" s="37">
        <v>1.1000000000000001</v>
      </c>
      <c r="B79" s="35" t="s">
        <v>114</v>
      </c>
      <c r="C79" s="35" t="s">
        <v>138</v>
      </c>
      <c r="D79" s="35"/>
      <c r="E79" s="35"/>
      <c r="F79" s="35"/>
    </row>
    <row r="80" spans="1:6">
      <c r="A80" s="37" t="s">
        <v>114</v>
      </c>
      <c r="B80" s="35"/>
      <c r="C80" s="35" t="s">
        <v>139</v>
      </c>
      <c r="D80" s="35"/>
      <c r="E80" s="35"/>
      <c r="F80" s="35"/>
    </row>
    <row r="81" spans="1:6">
      <c r="A81" s="35">
        <v>10</v>
      </c>
      <c r="B81" s="35" t="s">
        <v>108</v>
      </c>
      <c r="C81" s="35" t="s">
        <v>140</v>
      </c>
      <c r="D81" s="35">
        <v>134.46</v>
      </c>
      <c r="E81" s="35" t="s">
        <v>108</v>
      </c>
      <c r="F81" s="35">
        <v>1344.6</v>
      </c>
    </row>
    <row r="82" spans="1:6">
      <c r="A82" s="35">
        <v>10</v>
      </c>
      <c r="B82" s="35" t="s">
        <v>108</v>
      </c>
      <c r="C82" s="35" t="s">
        <v>141</v>
      </c>
      <c r="D82" s="35">
        <v>134.46</v>
      </c>
      <c r="E82" s="35" t="s">
        <v>108</v>
      </c>
      <c r="F82" s="35">
        <v>1344.6</v>
      </c>
    </row>
    <row r="83" spans="1:6">
      <c r="A83" s="35">
        <v>10</v>
      </c>
      <c r="B83" s="35" t="s">
        <v>108</v>
      </c>
      <c r="C83" s="35" t="s">
        <v>142</v>
      </c>
      <c r="D83" s="35">
        <v>15.58</v>
      </c>
      <c r="E83" s="35" t="s">
        <v>108</v>
      </c>
      <c r="F83" s="35">
        <v>155.80000000000001</v>
      </c>
    </row>
    <row r="84" spans="1:6">
      <c r="A84" s="35"/>
      <c r="B84" s="35" t="s">
        <v>128</v>
      </c>
      <c r="C84" s="35" t="s">
        <v>129</v>
      </c>
      <c r="D84" s="35"/>
      <c r="E84" s="35" t="s">
        <v>128</v>
      </c>
      <c r="F84" s="35">
        <v>0</v>
      </c>
    </row>
    <row r="85" spans="1:6">
      <c r="A85" s="35"/>
      <c r="B85" s="35"/>
      <c r="C85" s="35"/>
      <c r="D85" s="35"/>
      <c r="E85" s="35"/>
      <c r="F85" s="35" t="s">
        <v>117</v>
      </c>
    </row>
    <row r="86" spans="1:6">
      <c r="A86" s="35"/>
      <c r="B86" s="35"/>
      <c r="C86" s="35" t="s">
        <v>143</v>
      </c>
      <c r="D86" s="35"/>
      <c r="E86" s="35"/>
      <c r="F86" s="35">
        <v>2845</v>
      </c>
    </row>
    <row r="87" spans="1:6">
      <c r="A87" s="35"/>
      <c r="B87" s="35"/>
      <c r="C87" s="35"/>
      <c r="D87" s="35"/>
      <c r="E87" s="35"/>
      <c r="F87" s="35" t="s">
        <v>117</v>
      </c>
    </row>
    <row r="88" spans="1:6">
      <c r="A88" s="35"/>
      <c r="B88" s="35"/>
      <c r="C88" s="35" t="s">
        <v>144</v>
      </c>
      <c r="D88" s="35" t="s">
        <v>145</v>
      </c>
      <c r="E88" s="35"/>
      <c r="F88" s="35">
        <v>284.5</v>
      </c>
    </row>
    <row r="89" spans="1:6">
      <c r="A89" s="35"/>
      <c r="B89" s="35"/>
      <c r="C89" s="35"/>
      <c r="D89" s="35" t="s">
        <v>146</v>
      </c>
      <c r="E89" s="35"/>
      <c r="F89" s="35">
        <v>297.16000000000003</v>
      </c>
    </row>
    <row r="91" spans="1:6">
      <c r="A91" s="35" t="s">
        <v>147</v>
      </c>
      <c r="B91" s="35" t="s">
        <v>122</v>
      </c>
      <c r="C91" s="35" t="s">
        <v>148</v>
      </c>
      <c r="D91" s="35"/>
      <c r="E91" s="35"/>
      <c r="F91" s="35"/>
    </row>
    <row r="92" spans="1:6">
      <c r="A92" s="35"/>
      <c r="B92" s="35"/>
      <c r="C92" s="35" t="s">
        <v>149</v>
      </c>
      <c r="D92" s="35"/>
      <c r="E92" s="35"/>
      <c r="F92" s="35"/>
    </row>
    <row r="93" spans="1:6">
      <c r="A93" s="35"/>
      <c r="B93" s="35"/>
      <c r="C93" s="35" t="s">
        <v>117</v>
      </c>
      <c r="D93" s="35"/>
      <c r="E93" s="35"/>
      <c r="F93" s="35"/>
    </row>
    <row r="94" spans="1:6">
      <c r="A94" s="35">
        <v>9</v>
      </c>
      <c r="B94" s="35" t="s">
        <v>108</v>
      </c>
      <c r="C94" s="35" t="s">
        <v>150</v>
      </c>
      <c r="D94" s="35">
        <v>1456.88</v>
      </c>
      <c r="E94" s="35" t="s">
        <v>108</v>
      </c>
      <c r="F94" s="35">
        <v>13111.92</v>
      </c>
    </row>
    <row r="95" spans="1:6">
      <c r="A95" s="35">
        <v>4.5</v>
      </c>
      <c r="B95" s="35" t="s">
        <v>108</v>
      </c>
      <c r="C95" s="35" t="s">
        <v>134</v>
      </c>
      <c r="D95" s="35">
        <v>3755.49</v>
      </c>
      <c r="E95" s="35" t="s">
        <v>108</v>
      </c>
      <c r="F95" s="35">
        <v>16899.71</v>
      </c>
    </row>
    <row r="96" spans="1:6">
      <c r="A96" s="35">
        <v>1.8</v>
      </c>
      <c r="B96" s="35" t="s">
        <v>151</v>
      </c>
      <c r="C96" s="35" t="s">
        <v>152</v>
      </c>
      <c r="D96" s="35">
        <v>1118.4000000000001</v>
      </c>
      <c r="E96" s="35" t="s">
        <v>151</v>
      </c>
      <c r="F96" s="35">
        <v>2013.12</v>
      </c>
    </row>
    <row r="97" spans="1:6">
      <c r="A97" s="35">
        <v>17.7</v>
      </c>
      <c r="B97" s="35" t="s">
        <v>151</v>
      </c>
      <c r="C97" s="35" t="s">
        <v>153</v>
      </c>
      <c r="D97" s="35">
        <v>781.2</v>
      </c>
      <c r="E97" s="35" t="s">
        <v>151</v>
      </c>
      <c r="F97" s="35">
        <v>13827.24</v>
      </c>
    </row>
    <row r="98" spans="1:6">
      <c r="A98" s="35">
        <v>14.1</v>
      </c>
      <c r="B98" s="35" t="s">
        <v>151</v>
      </c>
      <c r="C98" s="35" t="s">
        <v>154</v>
      </c>
      <c r="D98" s="35">
        <v>640.79999999999995</v>
      </c>
      <c r="E98" s="35" t="s">
        <v>151</v>
      </c>
      <c r="F98" s="35">
        <v>9035.2800000000007</v>
      </c>
    </row>
    <row r="99" spans="1:6">
      <c r="A99" s="35"/>
      <c r="B99" s="35" t="s">
        <v>128</v>
      </c>
      <c r="C99" s="35" t="s">
        <v>129</v>
      </c>
      <c r="D99" s="35"/>
      <c r="E99" s="35" t="s">
        <v>128</v>
      </c>
      <c r="F99" s="35">
        <v>0</v>
      </c>
    </row>
    <row r="100" spans="1:6">
      <c r="A100" s="35"/>
      <c r="B100" s="35"/>
      <c r="C100" s="35"/>
      <c r="D100" s="35"/>
      <c r="E100" s="35"/>
      <c r="F100" s="35" t="s">
        <v>117</v>
      </c>
    </row>
    <row r="101" spans="1:6">
      <c r="A101" s="35"/>
      <c r="B101" s="35"/>
      <c r="C101" s="35"/>
      <c r="D101" s="35"/>
      <c r="E101" s="35"/>
      <c r="F101" s="35">
        <v>54887.27</v>
      </c>
    </row>
    <row r="102" spans="1:6">
      <c r="A102" s="35"/>
      <c r="B102" s="35"/>
      <c r="C102" s="35" t="s">
        <v>143</v>
      </c>
      <c r="D102" s="35"/>
      <c r="E102" s="35"/>
      <c r="F102" s="35" t="s">
        <v>117</v>
      </c>
    </row>
    <row r="103" spans="1:6">
      <c r="A103" s="35"/>
      <c r="B103" s="35"/>
      <c r="C103" s="35"/>
      <c r="D103" s="35"/>
      <c r="E103" s="35"/>
      <c r="F103" s="35">
        <v>5488.73</v>
      </c>
    </row>
    <row r="104" spans="1:6">
      <c r="A104" s="35"/>
      <c r="B104" s="35"/>
      <c r="C104" s="35" t="s">
        <v>155</v>
      </c>
      <c r="D104" s="35"/>
      <c r="E104" s="35"/>
      <c r="F104" s="35" t="s">
        <v>156</v>
      </c>
    </row>
    <row r="105" spans="1:6">
      <c r="A105" s="38">
        <v>9</v>
      </c>
      <c r="B105" s="35" t="s">
        <v>122</v>
      </c>
      <c r="C105" s="35" t="s">
        <v>171</v>
      </c>
      <c r="D105" s="35"/>
      <c r="E105" s="35"/>
      <c r="F105" s="35"/>
    </row>
    <row r="106" spans="1:6">
      <c r="A106" s="35"/>
      <c r="B106" s="35"/>
      <c r="C106" s="35" t="s">
        <v>159</v>
      </c>
      <c r="D106" s="35"/>
      <c r="E106" s="35"/>
      <c r="F106" s="35"/>
    </row>
    <row r="107" spans="1:6">
      <c r="A107" s="35"/>
      <c r="B107" s="35"/>
      <c r="C107" s="35" t="s">
        <v>117</v>
      </c>
      <c r="D107" s="35"/>
      <c r="E107" s="35"/>
      <c r="F107" s="35"/>
    </row>
    <row r="108" spans="1:6">
      <c r="A108" s="35">
        <v>1300</v>
      </c>
      <c r="B108" s="35" t="s">
        <v>160</v>
      </c>
      <c r="C108" s="35" t="s">
        <v>159</v>
      </c>
      <c r="D108" s="35">
        <v>7342.45</v>
      </c>
      <c r="E108" s="35" t="s">
        <v>161</v>
      </c>
      <c r="F108" s="35">
        <v>9545.19</v>
      </c>
    </row>
    <row r="109" spans="1:6">
      <c r="A109" s="36">
        <v>0.70799999999999996</v>
      </c>
      <c r="B109" s="35" t="s">
        <v>108</v>
      </c>
      <c r="C109" s="35" t="s">
        <v>135</v>
      </c>
      <c r="D109" s="35">
        <v>3449.84</v>
      </c>
      <c r="E109" s="35" t="s">
        <v>108</v>
      </c>
      <c r="F109" s="35">
        <v>2442.4899999999998</v>
      </c>
    </row>
    <row r="110" spans="1:6">
      <c r="A110" s="35">
        <v>1</v>
      </c>
      <c r="B110" s="35" t="s">
        <v>151</v>
      </c>
      <c r="C110" s="35" t="s">
        <v>162</v>
      </c>
      <c r="D110" s="35">
        <v>1198.8</v>
      </c>
      <c r="E110" s="35" t="s">
        <v>151</v>
      </c>
      <c r="F110" s="35">
        <v>1198.8</v>
      </c>
    </row>
    <row r="111" spans="1:6">
      <c r="A111" s="35">
        <v>3</v>
      </c>
      <c r="B111" s="35" t="s">
        <v>151</v>
      </c>
      <c r="C111" s="35" t="s">
        <v>152</v>
      </c>
      <c r="D111" s="35">
        <v>1118.4000000000001</v>
      </c>
      <c r="E111" s="35" t="s">
        <v>151</v>
      </c>
      <c r="F111" s="35">
        <v>3355.2</v>
      </c>
    </row>
    <row r="112" spans="1:6">
      <c r="A112" s="35">
        <v>2</v>
      </c>
      <c r="B112" s="35" t="s">
        <v>151</v>
      </c>
      <c r="C112" s="35" t="s">
        <v>153</v>
      </c>
      <c r="D112" s="35">
        <v>781.2</v>
      </c>
      <c r="E112" s="35" t="s">
        <v>151</v>
      </c>
      <c r="F112" s="35">
        <v>1562.4</v>
      </c>
    </row>
    <row r="113" spans="1:6">
      <c r="A113" s="35">
        <v>6</v>
      </c>
      <c r="B113" s="35" t="s">
        <v>151</v>
      </c>
      <c r="C113" s="35" t="s">
        <v>154</v>
      </c>
      <c r="D113" s="35">
        <v>640.79999999999995</v>
      </c>
      <c r="E113" s="35" t="s">
        <v>151</v>
      </c>
      <c r="F113" s="35">
        <v>3844.8</v>
      </c>
    </row>
    <row r="114" spans="1:6">
      <c r="A114" s="35"/>
      <c r="B114" s="35" t="s">
        <v>128</v>
      </c>
      <c r="C114" s="35" t="s">
        <v>129</v>
      </c>
      <c r="D114" s="35"/>
      <c r="E114" s="35" t="s">
        <v>128</v>
      </c>
      <c r="F114" s="35">
        <v>5</v>
      </c>
    </row>
    <row r="115" spans="1:6">
      <c r="A115" s="35"/>
      <c r="B115" s="35"/>
      <c r="C115" s="35"/>
      <c r="D115" s="35"/>
      <c r="E115" s="35"/>
      <c r="F115" s="35" t="s">
        <v>117</v>
      </c>
    </row>
    <row r="116" spans="1:6">
      <c r="A116" s="35"/>
      <c r="B116" s="35"/>
      <c r="C116" s="35" t="s">
        <v>143</v>
      </c>
      <c r="D116" s="35"/>
      <c r="E116" s="35"/>
      <c r="F116" s="35">
        <v>21953.88</v>
      </c>
    </row>
    <row r="117" spans="1:6">
      <c r="A117" s="35"/>
      <c r="B117" s="35"/>
      <c r="C117" s="35"/>
      <c r="D117" s="35"/>
      <c r="E117" s="35"/>
      <c r="F117" s="35" t="s">
        <v>117</v>
      </c>
    </row>
    <row r="118" spans="1:6">
      <c r="A118" s="35"/>
      <c r="B118" s="35"/>
      <c r="C118" s="35" t="s">
        <v>155</v>
      </c>
      <c r="D118" s="35"/>
      <c r="E118" s="35"/>
      <c r="F118" s="35">
        <v>7752.95</v>
      </c>
    </row>
    <row r="119" spans="1:6">
      <c r="A119" s="35"/>
      <c r="B119" s="35"/>
      <c r="C119" s="35"/>
      <c r="D119" s="35"/>
      <c r="E119" s="35"/>
      <c r="F119" s="35" t="s">
        <v>156</v>
      </c>
    </row>
    <row r="120" spans="1:6">
      <c r="A120" s="35"/>
      <c r="B120" s="35"/>
      <c r="C120" s="35" t="s">
        <v>172</v>
      </c>
      <c r="D120" s="35"/>
      <c r="E120" s="35"/>
      <c r="F120" s="35">
        <v>7847.63</v>
      </c>
    </row>
    <row r="121" spans="1:6">
      <c r="A121" s="35"/>
      <c r="B121" s="35" t="s">
        <v>122</v>
      </c>
      <c r="C121" s="35" t="s">
        <v>175</v>
      </c>
      <c r="D121" s="35"/>
      <c r="E121" s="35"/>
      <c r="F121" s="35"/>
    </row>
    <row r="122" spans="1:6">
      <c r="A122" s="35"/>
      <c r="B122" s="35"/>
      <c r="C122" s="35" t="s">
        <v>117</v>
      </c>
      <c r="D122" s="35"/>
      <c r="E122" s="35"/>
      <c r="F122" s="35"/>
    </row>
    <row r="123" spans="1:6">
      <c r="A123" s="35">
        <v>0.22</v>
      </c>
      <c r="B123" s="35" t="s">
        <v>108</v>
      </c>
      <c r="C123" s="35" t="s">
        <v>134</v>
      </c>
      <c r="D123" s="35">
        <v>3755.49</v>
      </c>
      <c r="E123" s="35" t="s">
        <v>108</v>
      </c>
      <c r="F123" s="35">
        <v>826.21</v>
      </c>
    </row>
    <row r="124" spans="1:6">
      <c r="A124" s="35">
        <v>2.2000000000000002</v>
      </c>
      <c r="B124" s="35" t="s">
        <v>151</v>
      </c>
      <c r="C124" s="35" t="s">
        <v>162</v>
      </c>
      <c r="D124" s="35">
        <v>1198.8</v>
      </c>
      <c r="E124" s="35" t="s">
        <v>151</v>
      </c>
      <c r="F124" s="35">
        <v>2637.36</v>
      </c>
    </row>
    <row r="125" spans="1:6">
      <c r="A125" s="35">
        <v>0.5</v>
      </c>
      <c r="B125" s="35" t="s">
        <v>151</v>
      </c>
      <c r="C125" s="35" t="s">
        <v>153</v>
      </c>
      <c r="D125" s="35">
        <v>781.2</v>
      </c>
      <c r="E125" s="35" t="s">
        <v>151</v>
      </c>
      <c r="F125" s="35">
        <v>390.6</v>
      </c>
    </row>
    <row r="126" spans="1:6">
      <c r="A126" s="35">
        <v>3.2</v>
      </c>
      <c r="B126" s="35" t="s">
        <v>151</v>
      </c>
      <c r="C126" s="35" t="s">
        <v>154</v>
      </c>
      <c r="D126" s="35">
        <v>640.79999999999995</v>
      </c>
      <c r="E126" s="35" t="s">
        <v>151</v>
      </c>
      <c r="F126" s="35">
        <v>2050.56</v>
      </c>
    </row>
    <row r="127" spans="1:6">
      <c r="A127" s="35"/>
      <c r="B127" s="35" t="s">
        <v>128</v>
      </c>
      <c r="C127" s="35" t="s">
        <v>129</v>
      </c>
      <c r="D127" s="35" t="s">
        <v>114</v>
      </c>
      <c r="E127" s="35" t="s">
        <v>128</v>
      </c>
      <c r="F127" s="35">
        <v>5</v>
      </c>
    </row>
    <row r="128" spans="1:6">
      <c r="A128" s="35"/>
      <c r="B128" s="35"/>
      <c r="C128" s="35"/>
      <c r="D128" s="35"/>
      <c r="E128" s="35"/>
      <c r="F128" s="35" t="s">
        <v>117</v>
      </c>
    </row>
    <row r="129" spans="1:6">
      <c r="A129" s="35"/>
      <c r="B129" s="35"/>
      <c r="C129" s="35" t="s">
        <v>176</v>
      </c>
      <c r="D129" s="35"/>
      <c r="E129" s="35"/>
      <c r="F129" s="35">
        <v>5909.73</v>
      </c>
    </row>
    <row r="130" spans="1:6">
      <c r="A130" s="35"/>
      <c r="B130" s="35"/>
      <c r="C130" s="35"/>
      <c r="D130" s="35"/>
      <c r="E130" s="35"/>
      <c r="F130" s="35" t="s">
        <v>117</v>
      </c>
    </row>
    <row r="131" spans="1:6">
      <c r="A131" s="35"/>
      <c r="B131" s="35"/>
      <c r="C131" s="35" t="s">
        <v>177</v>
      </c>
      <c r="D131" s="35"/>
      <c r="E131" s="35"/>
      <c r="F131" s="35">
        <v>590.97</v>
      </c>
    </row>
    <row r="132" spans="1:6">
      <c r="A132" s="35" t="s">
        <v>178</v>
      </c>
      <c r="B132" s="35" t="s">
        <v>122</v>
      </c>
      <c r="C132" s="35" t="s">
        <v>179</v>
      </c>
      <c r="D132" s="35"/>
      <c r="E132" s="35"/>
      <c r="F132" s="35"/>
    </row>
    <row r="133" spans="1:6">
      <c r="A133" s="35"/>
      <c r="B133" s="35"/>
      <c r="C133" s="35" t="s">
        <v>180</v>
      </c>
      <c r="D133" s="35"/>
      <c r="E133" s="35"/>
      <c r="F133" s="35"/>
    </row>
    <row r="134" spans="1:6">
      <c r="A134" s="35"/>
      <c r="B134" s="35"/>
      <c r="C134" s="35" t="s">
        <v>181</v>
      </c>
      <c r="D134" s="35"/>
      <c r="E134" s="35"/>
      <c r="F134" s="35"/>
    </row>
    <row r="135" spans="1:6">
      <c r="A135" s="35"/>
      <c r="B135" s="35"/>
      <c r="C135" s="35" t="s">
        <v>182</v>
      </c>
      <c r="D135" s="35"/>
      <c r="E135" s="35"/>
      <c r="F135" s="35"/>
    </row>
    <row r="136" spans="1:6">
      <c r="A136" s="35"/>
      <c r="B136" s="35"/>
      <c r="C136" s="35" t="s">
        <v>117</v>
      </c>
      <c r="D136" s="35"/>
      <c r="E136" s="35"/>
      <c r="F136" s="35"/>
    </row>
    <row r="137" spans="1:6">
      <c r="A137" s="35">
        <v>1</v>
      </c>
      <c r="B137" s="35" t="s">
        <v>151</v>
      </c>
      <c r="C137" s="35" t="s">
        <v>183</v>
      </c>
      <c r="D137" s="35">
        <v>1201</v>
      </c>
      <c r="E137" s="35" t="s">
        <v>151</v>
      </c>
      <c r="F137" s="35">
        <v>1201</v>
      </c>
    </row>
    <row r="138" spans="1:6">
      <c r="A138" s="35">
        <v>0.65</v>
      </c>
      <c r="B138" s="35" t="s">
        <v>108</v>
      </c>
      <c r="C138" s="35" t="s">
        <v>184</v>
      </c>
      <c r="D138" s="35">
        <v>268.92</v>
      </c>
      <c r="E138" s="35" t="s">
        <v>108</v>
      </c>
      <c r="F138" s="35">
        <v>174.8</v>
      </c>
    </row>
    <row r="139" spans="1:6">
      <c r="A139" s="35">
        <v>0.56999999999999995</v>
      </c>
      <c r="B139" s="35" t="s">
        <v>108</v>
      </c>
      <c r="C139" s="35" t="s">
        <v>185</v>
      </c>
      <c r="D139" s="35">
        <v>46.74</v>
      </c>
      <c r="E139" s="35" t="s">
        <v>108</v>
      </c>
      <c r="F139" s="35">
        <v>26.64</v>
      </c>
    </row>
    <row r="140" spans="1:6">
      <c r="A140" s="36">
        <v>8.1000000000000003E-2</v>
      </c>
      <c r="B140" s="35" t="s">
        <v>108</v>
      </c>
      <c r="C140" s="35" t="s">
        <v>186</v>
      </c>
      <c r="D140" s="35">
        <v>4831.47</v>
      </c>
      <c r="E140" s="35" t="s">
        <v>108</v>
      </c>
      <c r="F140" s="35">
        <v>391.35</v>
      </c>
    </row>
    <row r="141" spans="1:6">
      <c r="A141" s="35">
        <v>1</v>
      </c>
      <c r="B141" s="35" t="s">
        <v>151</v>
      </c>
      <c r="C141" s="35" t="s">
        <v>187</v>
      </c>
      <c r="D141" s="35">
        <v>1039.2</v>
      </c>
      <c r="E141" s="35" t="s">
        <v>151</v>
      </c>
      <c r="F141" s="35">
        <v>1039.2</v>
      </c>
    </row>
    <row r="142" spans="1:6">
      <c r="A142" s="35">
        <v>0.5</v>
      </c>
      <c r="B142" s="35" t="s">
        <v>151</v>
      </c>
      <c r="C142" s="35" t="s">
        <v>152</v>
      </c>
      <c r="D142" s="35">
        <v>1118.4000000000001</v>
      </c>
      <c r="E142" s="35" t="s">
        <v>151</v>
      </c>
      <c r="F142" s="35">
        <v>559.20000000000005</v>
      </c>
    </row>
    <row r="143" spans="1:6">
      <c r="A143" s="35">
        <v>0.5</v>
      </c>
      <c r="B143" s="35" t="s">
        <v>151</v>
      </c>
      <c r="C143" s="35" t="s">
        <v>153</v>
      </c>
      <c r="D143" s="35">
        <v>781.2</v>
      </c>
      <c r="E143" s="35" t="s">
        <v>151</v>
      </c>
      <c r="F143" s="35">
        <v>390.6</v>
      </c>
    </row>
    <row r="144" spans="1:6">
      <c r="A144" s="35"/>
      <c r="B144" s="35"/>
      <c r="C144" s="35" t="s">
        <v>501</v>
      </c>
      <c r="D144" s="35" t="s">
        <v>502</v>
      </c>
      <c r="E144" s="35"/>
      <c r="F144" s="35">
        <v>-164</v>
      </c>
    </row>
    <row r="145" spans="1:6">
      <c r="A145" s="35"/>
      <c r="B145" s="35"/>
      <c r="C145" s="35" t="s">
        <v>503</v>
      </c>
      <c r="D145" s="35"/>
      <c r="E145" s="35"/>
      <c r="F145" s="35">
        <v>134.1</v>
      </c>
    </row>
    <row r="146" spans="1:6">
      <c r="A146" s="35"/>
      <c r="B146" s="35" t="s">
        <v>265</v>
      </c>
      <c r="C146" s="35" t="s">
        <v>331</v>
      </c>
      <c r="D146" s="35"/>
      <c r="E146" s="35"/>
      <c r="F146" s="35">
        <v>0.39</v>
      </c>
    </row>
    <row r="147" spans="1:6">
      <c r="A147" s="35"/>
      <c r="B147" s="35"/>
      <c r="C147" s="35" t="s">
        <v>188</v>
      </c>
      <c r="D147" s="35"/>
      <c r="E147" s="35"/>
      <c r="F147" s="35">
        <v>3753.28</v>
      </c>
    </row>
    <row r="150" spans="1:6">
      <c r="C150" s="35" t="s">
        <v>189</v>
      </c>
      <c r="D150" s="35"/>
      <c r="E150" s="35"/>
      <c r="F150" s="35"/>
    </row>
    <row r="151" spans="1:6">
      <c r="C151" s="35" t="s">
        <v>190</v>
      </c>
      <c r="D151" s="35"/>
      <c r="E151" s="35"/>
      <c r="F151" s="35"/>
    </row>
    <row r="152" spans="1:6">
      <c r="C152" s="35" t="s">
        <v>191</v>
      </c>
      <c r="D152" s="35"/>
      <c r="E152" s="35"/>
      <c r="F152" s="35"/>
    </row>
    <row r="153" spans="1:6">
      <c r="C153" s="35" t="s">
        <v>193</v>
      </c>
      <c r="D153" s="35">
        <v>1057.2</v>
      </c>
      <c r="E153" s="35" t="s">
        <v>194</v>
      </c>
      <c r="F153" s="35">
        <v>105.72</v>
      </c>
    </row>
    <row r="154" spans="1:6">
      <c r="C154" s="35" t="s">
        <v>196</v>
      </c>
      <c r="D154" s="35">
        <v>781.2</v>
      </c>
      <c r="E154" s="35" t="s">
        <v>194</v>
      </c>
      <c r="F154" s="35">
        <v>78.12</v>
      </c>
    </row>
    <row r="155" spans="1:6">
      <c r="C155" s="35" t="s">
        <v>198</v>
      </c>
      <c r="D155" s="35">
        <v>18.45</v>
      </c>
      <c r="E155" s="35" t="s">
        <v>199</v>
      </c>
      <c r="F155" s="35">
        <v>1.85</v>
      </c>
    </row>
    <row r="156" spans="1:6">
      <c r="C156" s="35" t="s">
        <v>200</v>
      </c>
      <c r="D156" s="35">
        <v>3.6</v>
      </c>
      <c r="E156" s="35" t="s">
        <v>194</v>
      </c>
      <c r="F156" s="35">
        <v>1</v>
      </c>
    </row>
    <row r="157" spans="1:6">
      <c r="C157" s="35"/>
      <c r="D157" s="35" t="s">
        <v>201</v>
      </c>
      <c r="E157" s="35"/>
      <c r="F157" s="35">
        <v>186.69</v>
      </c>
    </row>
    <row r="158" spans="1:6">
      <c r="C158" s="35"/>
      <c r="D158" s="35"/>
      <c r="E158" s="35"/>
      <c r="F158" s="35"/>
    </row>
    <row r="159" spans="1:6">
      <c r="C159" s="35" t="s">
        <v>202</v>
      </c>
      <c r="D159" s="35" t="s">
        <v>203</v>
      </c>
      <c r="E159" s="35" t="s">
        <v>203</v>
      </c>
      <c r="F159" s="35" t="s">
        <v>204</v>
      </c>
    </row>
    <row r="160" spans="1:6">
      <c r="C160" s="35"/>
      <c r="D160" s="35">
        <v>331</v>
      </c>
      <c r="E160" s="35">
        <v>331</v>
      </c>
      <c r="F160" s="35">
        <v>283</v>
      </c>
    </row>
    <row r="161" spans="1:7">
      <c r="C161" s="35" t="s">
        <v>205</v>
      </c>
      <c r="D161" s="35">
        <v>186.69</v>
      </c>
      <c r="E161" s="35">
        <v>186.69</v>
      </c>
      <c r="F161" s="35">
        <v>186.69</v>
      </c>
    </row>
    <row r="162" spans="1:7">
      <c r="C162" s="35" t="s">
        <v>206</v>
      </c>
      <c r="D162" s="35">
        <v>517.69000000000005</v>
      </c>
      <c r="E162" s="35">
        <v>517.69000000000005</v>
      </c>
      <c r="F162" s="35">
        <v>469.69</v>
      </c>
    </row>
    <row r="163" spans="1:7">
      <c r="C163" s="35"/>
      <c r="D163" s="35">
        <v>518</v>
      </c>
      <c r="E163" s="35">
        <v>518</v>
      </c>
      <c r="F163" s="35">
        <v>470</v>
      </c>
    </row>
    <row r="164" spans="1:7">
      <c r="C164" s="35"/>
      <c r="D164" s="35"/>
      <c r="E164" s="35"/>
      <c r="F164" s="35"/>
    </row>
    <row r="165" spans="1:7">
      <c r="A165" s="35" t="s">
        <v>207</v>
      </c>
      <c r="B165" s="35" t="s">
        <v>122</v>
      </c>
      <c r="C165" s="35" t="s">
        <v>208</v>
      </c>
      <c r="D165" s="35"/>
      <c r="E165" s="35"/>
      <c r="F165" s="35"/>
    </row>
    <row r="166" spans="1:7">
      <c r="A166" s="35"/>
      <c r="B166" s="35"/>
      <c r="C166" s="35" t="s">
        <v>209</v>
      </c>
      <c r="D166" s="35"/>
      <c r="E166" s="35"/>
      <c r="F166" s="35"/>
    </row>
    <row r="167" spans="1:7">
      <c r="A167" s="35"/>
      <c r="B167" s="35"/>
      <c r="C167" s="35" t="s">
        <v>117</v>
      </c>
      <c r="D167" s="35"/>
      <c r="E167" s="35"/>
      <c r="F167" s="35"/>
    </row>
    <row r="168" spans="1:7">
      <c r="A168" s="35">
        <v>1</v>
      </c>
      <c r="B168" s="35" t="s">
        <v>151</v>
      </c>
      <c r="C168" s="35" t="s">
        <v>210</v>
      </c>
      <c r="D168" s="35">
        <v>156</v>
      </c>
      <c r="E168" s="35" t="s">
        <v>151</v>
      </c>
      <c r="F168" s="35">
        <v>156</v>
      </c>
    </row>
    <row r="169" spans="1:7">
      <c r="A169" s="35"/>
      <c r="B169" s="35" t="s">
        <v>128</v>
      </c>
      <c r="C169" s="35" t="s">
        <v>211</v>
      </c>
      <c r="D169" s="35"/>
      <c r="E169" s="35" t="s">
        <v>128</v>
      </c>
      <c r="F169" s="35">
        <v>4</v>
      </c>
    </row>
    <row r="170" spans="1:7">
      <c r="A170" s="35"/>
      <c r="B170" s="35"/>
      <c r="C170" s="35"/>
      <c r="D170" s="35"/>
      <c r="E170" s="35" t="s">
        <v>114</v>
      </c>
      <c r="F170" s="35" t="s">
        <v>117</v>
      </c>
    </row>
    <row r="171" spans="1:7">
      <c r="A171" s="35"/>
      <c r="B171" s="35"/>
      <c r="C171" s="35" t="s">
        <v>188</v>
      </c>
      <c r="D171" s="35"/>
      <c r="E171" s="35"/>
      <c r="F171" s="35">
        <v>160</v>
      </c>
    </row>
    <row r="174" spans="1:7">
      <c r="A174" s="35">
        <v>39</v>
      </c>
      <c r="B174" s="35"/>
      <c r="C174" s="35" t="s">
        <v>212</v>
      </c>
      <c r="D174" s="35">
        <v>70.150000000000006</v>
      </c>
      <c r="E174" s="35" t="s">
        <v>213</v>
      </c>
      <c r="F174" s="35">
        <v>70.150000000000006</v>
      </c>
    </row>
    <row r="176" spans="1:7">
      <c r="A176" s="35" t="s">
        <v>214</v>
      </c>
      <c r="B176" s="35"/>
      <c r="C176" s="35" t="s">
        <v>504</v>
      </c>
      <c r="D176" s="35"/>
      <c r="E176" s="35"/>
      <c r="F176" s="35">
        <v>10.050000000000001</v>
      </c>
      <c r="G176" s="35">
        <v>20100</v>
      </c>
    </row>
    <row r="178" spans="1:6">
      <c r="A178" s="38">
        <v>52</v>
      </c>
      <c r="B178" s="35" t="s">
        <v>122</v>
      </c>
      <c r="C178" s="35" t="s">
        <v>505</v>
      </c>
      <c r="D178" s="35"/>
      <c r="E178" s="35"/>
      <c r="F178" s="35"/>
    </row>
    <row r="179" spans="1:6">
      <c r="A179" s="35"/>
      <c r="B179" s="35"/>
      <c r="C179" s="35" t="s">
        <v>506</v>
      </c>
      <c r="D179" s="35"/>
      <c r="E179" s="35"/>
      <c r="F179" s="35"/>
    </row>
    <row r="180" spans="1:6">
      <c r="A180" s="35"/>
      <c r="B180" s="35"/>
      <c r="C180" s="35" t="s">
        <v>507</v>
      </c>
      <c r="D180" s="35"/>
      <c r="E180" s="35"/>
      <c r="F180" s="35"/>
    </row>
    <row r="181" spans="1:6">
      <c r="A181" s="35"/>
      <c r="B181" s="35"/>
      <c r="C181" s="35" t="s">
        <v>508</v>
      </c>
      <c r="D181" s="35"/>
      <c r="E181" s="35"/>
      <c r="F181" s="35"/>
    </row>
    <row r="182" spans="1:6">
      <c r="A182" s="35"/>
      <c r="B182" s="35"/>
      <c r="C182" s="35" t="s">
        <v>509</v>
      </c>
      <c r="D182" s="35"/>
      <c r="E182" s="35"/>
      <c r="F182" s="35"/>
    </row>
    <row r="183" spans="1:6">
      <c r="A183" s="35"/>
      <c r="B183" s="35"/>
      <c r="C183" s="35" t="s">
        <v>510</v>
      </c>
      <c r="D183" s="35"/>
      <c r="E183" s="35"/>
      <c r="F183" s="35"/>
    </row>
    <row r="184" spans="1:6">
      <c r="A184" s="35"/>
      <c r="B184" s="35"/>
      <c r="C184" s="35" t="s">
        <v>511</v>
      </c>
      <c r="D184" s="35"/>
      <c r="E184" s="35"/>
      <c r="F184" s="35"/>
    </row>
    <row r="185" spans="1:6">
      <c r="A185" s="35"/>
      <c r="B185" s="35"/>
      <c r="C185" s="35" t="s">
        <v>512</v>
      </c>
      <c r="D185" s="35"/>
      <c r="E185" s="35"/>
      <c r="F185" s="35"/>
    </row>
    <row r="186" spans="1:6">
      <c r="A186" s="35"/>
      <c r="B186" s="35"/>
      <c r="C186" s="35" t="s">
        <v>156</v>
      </c>
      <c r="D186" s="35" t="s">
        <v>156</v>
      </c>
      <c r="E186" s="35"/>
      <c r="F186" s="35"/>
    </row>
    <row r="187" spans="1:6">
      <c r="A187" s="35"/>
      <c r="B187" s="35" t="s">
        <v>122</v>
      </c>
      <c r="C187" s="35" t="s">
        <v>513</v>
      </c>
      <c r="D187" s="35"/>
      <c r="E187" s="35"/>
      <c r="F187" s="35"/>
    </row>
    <row r="188" spans="1:6">
      <c r="A188" s="35"/>
      <c r="B188" s="35"/>
      <c r="C188" s="35" t="s">
        <v>514</v>
      </c>
      <c r="D188" s="35"/>
      <c r="E188" s="35"/>
      <c r="F188" s="35"/>
    </row>
    <row r="189" spans="1:6">
      <c r="A189" s="35"/>
      <c r="B189" s="35" t="s">
        <v>433</v>
      </c>
      <c r="C189" s="35" t="s">
        <v>515</v>
      </c>
      <c r="D189" s="35"/>
      <c r="E189" s="35"/>
      <c r="F189" s="35"/>
    </row>
    <row r="190" spans="1:6">
      <c r="A190" s="35"/>
      <c r="B190" s="35"/>
      <c r="C190" s="35" t="s">
        <v>117</v>
      </c>
      <c r="D190" s="35"/>
      <c r="E190" s="35"/>
      <c r="F190" s="35"/>
    </row>
    <row r="191" spans="1:6">
      <c r="A191" s="35">
        <v>1</v>
      </c>
      <c r="B191" s="35" t="s">
        <v>31</v>
      </c>
      <c r="C191" s="35" t="s">
        <v>516</v>
      </c>
      <c r="D191" s="35">
        <v>26</v>
      </c>
      <c r="E191" s="35" t="s">
        <v>31</v>
      </c>
      <c r="F191" s="35">
        <v>26</v>
      </c>
    </row>
    <row r="192" spans="1:6">
      <c r="A192" s="35">
        <v>1</v>
      </c>
      <c r="B192" s="35" t="s">
        <v>128</v>
      </c>
      <c r="C192" s="35" t="s">
        <v>517</v>
      </c>
      <c r="D192" s="35">
        <v>18.2</v>
      </c>
      <c r="E192" s="35" t="s">
        <v>128</v>
      </c>
      <c r="F192" s="35">
        <v>18.2</v>
      </c>
    </row>
    <row r="193" spans="1:6">
      <c r="A193" s="35">
        <v>1</v>
      </c>
      <c r="B193" s="35" t="s">
        <v>31</v>
      </c>
      <c r="C193" s="35" t="s">
        <v>518</v>
      </c>
      <c r="D193" s="35">
        <v>219.38</v>
      </c>
      <c r="E193" s="35" t="s">
        <v>31</v>
      </c>
      <c r="F193" s="35">
        <v>219.38</v>
      </c>
    </row>
    <row r="194" spans="1:6">
      <c r="A194" s="35"/>
      <c r="B194" s="35"/>
      <c r="C194" s="35"/>
      <c r="D194" s="35" t="s">
        <v>114</v>
      </c>
      <c r="E194" s="35"/>
      <c r="F194" s="35" t="s">
        <v>117</v>
      </c>
    </row>
    <row r="195" spans="1:6">
      <c r="A195" s="35"/>
      <c r="B195" s="35"/>
      <c r="C195" s="35" t="s">
        <v>519</v>
      </c>
      <c r="D195" s="35"/>
      <c r="E195" s="35"/>
      <c r="F195" s="35">
        <v>263.58</v>
      </c>
    </row>
    <row r="196" spans="1:6">
      <c r="A196" s="35"/>
      <c r="B196" s="35"/>
      <c r="C196" s="35" t="s">
        <v>114</v>
      </c>
      <c r="D196" s="35" t="s">
        <v>114</v>
      </c>
      <c r="E196" s="35"/>
      <c r="F196" s="35" t="s">
        <v>156</v>
      </c>
    </row>
    <row r="197" spans="1:6">
      <c r="A197" s="35"/>
      <c r="B197" s="35" t="s">
        <v>431</v>
      </c>
      <c r="C197" s="35" t="s">
        <v>520</v>
      </c>
      <c r="D197" s="35"/>
      <c r="E197" s="35"/>
      <c r="F197" s="35"/>
    </row>
    <row r="198" spans="1:6">
      <c r="A198" s="35"/>
      <c r="B198" s="35"/>
      <c r="C198" s="35" t="s">
        <v>117</v>
      </c>
      <c r="D198" s="35"/>
      <c r="E198" s="35"/>
      <c r="F198" s="35"/>
    </row>
    <row r="199" spans="1:6">
      <c r="A199" s="35">
        <v>1</v>
      </c>
      <c r="B199" s="35" t="s">
        <v>31</v>
      </c>
      <c r="C199" s="35" t="s">
        <v>521</v>
      </c>
      <c r="D199" s="35">
        <v>35</v>
      </c>
      <c r="E199" s="35" t="s">
        <v>31</v>
      </c>
      <c r="F199" s="35">
        <v>35</v>
      </c>
    </row>
    <row r="200" spans="1:6">
      <c r="A200" s="35">
        <v>1</v>
      </c>
      <c r="B200" s="35" t="s">
        <v>128</v>
      </c>
      <c r="C200" s="35" t="s">
        <v>522</v>
      </c>
      <c r="D200" s="35">
        <v>14</v>
      </c>
      <c r="E200" s="35" t="s">
        <v>128</v>
      </c>
      <c r="F200" s="35">
        <v>14</v>
      </c>
    </row>
    <row r="201" spans="1:6">
      <c r="A201" s="35">
        <v>1</v>
      </c>
      <c r="B201" s="35" t="s">
        <v>31</v>
      </c>
      <c r="C201" s="35" t="s">
        <v>518</v>
      </c>
      <c r="D201" s="35">
        <v>219.35</v>
      </c>
      <c r="E201" s="35" t="s">
        <v>31</v>
      </c>
      <c r="F201" s="35">
        <v>219.35</v>
      </c>
    </row>
    <row r="202" spans="1:6">
      <c r="A202" s="35"/>
      <c r="B202" s="35"/>
      <c r="C202" s="35"/>
      <c r="D202" s="35" t="s">
        <v>114</v>
      </c>
      <c r="E202" s="35"/>
      <c r="F202" s="35" t="s">
        <v>117</v>
      </c>
    </row>
    <row r="203" spans="1:6">
      <c r="A203" s="35"/>
      <c r="B203" s="35"/>
      <c r="C203" s="35" t="s">
        <v>519</v>
      </c>
      <c r="D203" s="35"/>
      <c r="E203" s="35"/>
      <c r="F203" s="35">
        <v>268.35000000000002</v>
      </c>
    </row>
    <row r="204" spans="1:6">
      <c r="A204" s="35"/>
      <c r="B204" s="35"/>
      <c r="C204" s="35"/>
      <c r="D204" s="35" t="s">
        <v>114</v>
      </c>
      <c r="E204" s="35"/>
      <c r="F204" s="35" t="s">
        <v>156</v>
      </c>
    </row>
    <row r="205" spans="1:6">
      <c r="A205" s="35"/>
      <c r="B205" s="35" t="s">
        <v>438</v>
      </c>
      <c r="C205" s="35" t="s">
        <v>523</v>
      </c>
      <c r="D205" s="35"/>
      <c r="E205" s="35"/>
      <c r="F205" s="35"/>
    </row>
    <row r="206" spans="1:6">
      <c r="A206" s="35"/>
      <c r="B206" s="35"/>
      <c r="C206" s="35" t="s">
        <v>117</v>
      </c>
      <c r="D206" s="35"/>
      <c r="E206" s="35"/>
      <c r="F206" s="35"/>
    </row>
    <row r="207" spans="1:6">
      <c r="A207" s="35">
        <v>1</v>
      </c>
      <c r="B207" s="35" t="s">
        <v>31</v>
      </c>
      <c r="C207" s="35" t="s">
        <v>524</v>
      </c>
      <c r="D207" s="35">
        <v>52</v>
      </c>
      <c r="E207" s="35" t="s">
        <v>31</v>
      </c>
      <c r="F207" s="35">
        <v>52</v>
      </c>
    </row>
    <row r="208" spans="1:6">
      <c r="A208" s="35">
        <v>1</v>
      </c>
      <c r="B208" s="35" t="s">
        <v>128</v>
      </c>
      <c r="C208" s="35" t="s">
        <v>525</v>
      </c>
      <c r="D208" s="35">
        <v>10.4</v>
      </c>
      <c r="E208" s="35" t="s">
        <v>128</v>
      </c>
      <c r="F208" s="35">
        <v>10.4</v>
      </c>
    </row>
    <row r="209" spans="1:6">
      <c r="A209" s="35">
        <v>1</v>
      </c>
      <c r="B209" s="35" t="s">
        <v>31</v>
      </c>
      <c r="C209" s="35" t="s">
        <v>518</v>
      </c>
      <c r="D209" s="35">
        <v>223.42</v>
      </c>
      <c r="E209" s="35" t="s">
        <v>31</v>
      </c>
      <c r="F209" s="35">
        <v>223.42</v>
      </c>
    </row>
    <row r="210" spans="1:6">
      <c r="A210" s="35"/>
      <c r="B210" s="35"/>
      <c r="C210" s="35"/>
      <c r="D210" s="35" t="s">
        <v>114</v>
      </c>
      <c r="E210" s="35"/>
      <c r="F210" s="35" t="s">
        <v>117</v>
      </c>
    </row>
    <row r="211" spans="1:6">
      <c r="A211" s="35"/>
      <c r="B211" s="35"/>
      <c r="C211" s="35" t="s">
        <v>519</v>
      </c>
      <c r="D211" s="35"/>
      <c r="E211" s="35"/>
      <c r="F211" s="35">
        <v>285.82</v>
      </c>
    </row>
    <row r="213" spans="1:6">
      <c r="A213" s="35" t="s">
        <v>232</v>
      </c>
      <c r="B213" s="35" t="s">
        <v>122</v>
      </c>
      <c r="C213" s="35" t="s">
        <v>233</v>
      </c>
      <c r="D213" s="35"/>
      <c r="E213" s="35"/>
      <c r="F213" s="35"/>
    </row>
    <row r="214" spans="1:6">
      <c r="A214" s="35"/>
      <c r="B214" s="35"/>
      <c r="C214" s="35" t="s">
        <v>234</v>
      </c>
      <c r="D214" s="35"/>
      <c r="E214" s="35"/>
      <c r="F214" s="35"/>
    </row>
    <row r="215" spans="1:6">
      <c r="A215" s="35"/>
      <c r="B215" s="35"/>
      <c r="C215" s="35" t="s">
        <v>117</v>
      </c>
      <c r="D215" s="35"/>
      <c r="E215" s="35"/>
      <c r="F215" s="35"/>
    </row>
    <row r="216" spans="1:6">
      <c r="A216" s="35"/>
      <c r="B216" s="35" t="s">
        <v>235</v>
      </c>
      <c r="C216" s="35" t="s">
        <v>236</v>
      </c>
      <c r="D216" s="35"/>
      <c r="E216" s="35"/>
      <c r="F216" s="35"/>
    </row>
    <row r="217" spans="1:6">
      <c r="A217" s="35"/>
      <c r="B217" s="35"/>
      <c r="C217" s="35" t="s">
        <v>237</v>
      </c>
      <c r="D217" s="35"/>
      <c r="E217" s="35"/>
      <c r="F217" s="35"/>
    </row>
    <row r="218" spans="1:6">
      <c r="A218" s="35"/>
      <c r="B218" s="35"/>
      <c r="C218" s="35" t="s">
        <v>238</v>
      </c>
      <c r="D218" s="35"/>
      <c r="E218" s="35"/>
      <c r="F218" s="35"/>
    </row>
    <row r="219" spans="1:6">
      <c r="A219" s="35"/>
      <c r="B219" s="35"/>
      <c r="C219" s="35" t="s">
        <v>239</v>
      </c>
      <c r="D219" s="35"/>
      <c r="E219" s="35"/>
      <c r="F219" s="35"/>
    </row>
    <row r="220" spans="1:6">
      <c r="A220" s="35"/>
      <c r="B220" s="35"/>
      <c r="C220" s="35" t="s">
        <v>240</v>
      </c>
      <c r="D220" s="35"/>
      <c r="E220" s="35"/>
      <c r="F220" s="35"/>
    </row>
    <row r="221" spans="1:6">
      <c r="A221" s="35"/>
      <c r="B221" s="35"/>
      <c r="C221" s="35" t="s">
        <v>241</v>
      </c>
      <c r="D221" s="35"/>
      <c r="E221" s="35"/>
      <c r="F221" s="35"/>
    </row>
    <row r="222" spans="1:6">
      <c r="A222" s="35"/>
      <c r="B222" s="35"/>
      <c r="C222" s="35" t="s">
        <v>242</v>
      </c>
      <c r="D222" s="35"/>
      <c r="E222" s="35"/>
      <c r="F222" s="35"/>
    </row>
    <row r="223" spans="1:6">
      <c r="A223" s="35"/>
      <c r="B223" s="35"/>
      <c r="C223" s="35" t="s">
        <v>117</v>
      </c>
      <c r="D223" s="35"/>
      <c r="E223" s="35"/>
      <c r="F223" s="35"/>
    </row>
    <row r="224" spans="1:6">
      <c r="A224" s="35">
        <v>3</v>
      </c>
      <c r="B224" s="35" t="s">
        <v>110</v>
      </c>
      <c r="C224" s="35" t="s">
        <v>243</v>
      </c>
      <c r="D224" s="35">
        <v>193.05</v>
      </c>
      <c r="E224" s="35" t="s">
        <v>110</v>
      </c>
      <c r="F224" s="35">
        <v>579.15</v>
      </c>
    </row>
    <row r="225" spans="1:6">
      <c r="A225" s="35">
        <v>1</v>
      </c>
      <c r="B225" s="35" t="s">
        <v>223</v>
      </c>
      <c r="C225" s="35" t="s">
        <v>244</v>
      </c>
      <c r="D225" s="35">
        <v>76</v>
      </c>
      <c r="E225" s="35" t="s">
        <v>245</v>
      </c>
      <c r="F225" s="35">
        <v>76</v>
      </c>
    </row>
    <row r="226" spans="1:6">
      <c r="A226" s="35">
        <v>1</v>
      </c>
      <c r="B226" s="35" t="s">
        <v>223</v>
      </c>
      <c r="C226" s="35" t="s">
        <v>246</v>
      </c>
      <c r="D226" s="35">
        <v>82.3</v>
      </c>
      <c r="E226" s="35" t="s">
        <v>245</v>
      </c>
      <c r="F226" s="35">
        <v>82.3</v>
      </c>
    </row>
    <row r="227" spans="1:6">
      <c r="A227" s="35">
        <v>1</v>
      </c>
      <c r="B227" s="35" t="s">
        <v>223</v>
      </c>
      <c r="C227" s="35" t="s">
        <v>247</v>
      </c>
      <c r="D227" s="35">
        <v>187.8</v>
      </c>
      <c r="E227" s="35" t="s">
        <v>245</v>
      </c>
      <c r="F227" s="35">
        <v>187.8</v>
      </c>
    </row>
    <row r="228" spans="1:6">
      <c r="A228" s="35">
        <v>0.5</v>
      </c>
      <c r="B228" s="35" t="s">
        <v>151</v>
      </c>
      <c r="C228" s="35" t="s">
        <v>187</v>
      </c>
      <c r="D228" s="35">
        <v>1039.2</v>
      </c>
      <c r="E228" s="35" t="s">
        <v>245</v>
      </c>
      <c r="F228" s="35">
        <v>519.6</v>
      </c>
    </row>
    <row r="229" spans="1:6">
      <c r="A229" s="35">
        <v>0.5</v>
      </c>
      <c r="B229" s="35" t="s">
        <v>151</v>
      </c>
      <c r="C229" s="35" t="s">
        <v>152</v>
      </c>
      <c r="D229" s="35">
        <v>1118.4000000000001</v>
      </c>
      <c r="E229" s="35" t="s">
        <v>245</v>
      </c>
      <c r="F229" s="35">
        <v>559.20000000000005</v>
      </c>
    </row>
    <row r="230" spans="1:6">
      <c r="A230" s="35">
        <v>0.5</v>
      </c>
      <c r="B230" s="35" t="s">
        <v>151</v>
      </c>
      <c r="C230" s="35" t="s">
        <v>153</v>
      </c>
      <c r="D230" s="35">
        <v>781.2</v>
      </c>
      <c r="E230" s="35" t="s">
        <v>245</v>
      </c>
      <c r="F230" s="35">
        <v>390.6</v>
      </c>
    </row>
    <row r="231" spans="1:6">
      <c r="A231" s="35"/>
      <c r="B231" s="35" t="s">
        <v>128</v>
      </c>
      <c r="C231" s="35" t="s">
        <v>248</v>
      </c>
      <c r="D231" s="35">
        <v>2.79</v>
      </c>
      <c r="E231" s="35" t="s">
        <v>128</v>
      </c>
      <c r="F231" s="35">
        <v>2.79</v>
      </c>
    </row>
    <row r="232" spans="1:6">
      <c r="A232" s="35"/>
      <c r="B232" s="35"/>
      <c r="C232" s="35" t="s">
        <v>249</v>
      </c>
      <c r="D232" s="35"/>
      <c r="E232" s="35"/>
      <c r="F232" s="35"/>
    </row>
    <row r="233" spans="1:6">
      <c r="A233" s="35"/>
      <c r="B233" s="35"/>
      <c r="C233" s="35" t="s">
        <v>250</v>
      </c>
      <c r="D233" s="35"/>
      <c r="E233" s="35"/>
      <c r="F233" s="35"/>
    </row>
    <row r="234" spans="1:6">
      <c r="A234" s="35"/>
      <c r="B234" s="35"/>
      <c r="C234" s="35" t="s">
        <v>251</v>
      </c>
      <c r="D234" s="35"/>
      <c r="E234" s="35" t="s">
        <v>128</v>
      </c>
      <c r="F234" s="35">
        <v>0.12</v>
      </c>
    </row>
    <row r="235" spans="1:6">
      <c r="A235" s="35"/>
      <c r="B235" s="35"/>
      <c r="C235" s="35"/>
      <c r="D235" s="35"/>
      <c r="E235" s="35"/>
      <c r="F235" s="35" t="s">
        <v>117</v>
      </c>
    </row>
    <row r="236" spans="1:6">
      <c r="A236" s="35"/>
      <c r="B236" s="35"/>
      <c r="C236" s="35" t="s">
        <v>252</v>
      </c>
      <c r="D236" s="35"/>
      <c r="E236" s="35"/>
      <c r="F236" s="35">
        <v>2397.56</v>
      </c>
    </row>
    <row r="237" spans="1:6">
      <c r="A237" s="35"/>
      <c r="B237" s="35"/>
      <c r="C237" s="35"/>
      <c r="D237" s="35"/>
      <c r="E237" s="35"/>
      <c r="F237" s="35" t="s">
        <v>117</v>
      </c>
    </row>
    <row r="238" spans="1:6">
      <c r="A238" s="35"/>
      <c r="B238" s="35"/>
      <c r="C238" s="35" t="s">
        <v>253</v>
      </c>
      <c r="D238" s="35"/>
      <c r="E238" s="35"/>
      <c r="F238" s="35">
        <v>799.19</v>
      </c>
    </row>
    <row r="240" spans="1:6">
      <c r="A240" s="35"/>
      <c r="B240" s="35"/>
      <c r="C240" s="35" t="s">
        <v>255</v>
      </c>
      <c r="D240" s="35"/>
      <c r="E240" s="35"/>
      <c r="F240" s="35"/>
    </row>
    <row r="241" spans="1:6">
      <c r="A241" s="35"/>
      <c r="B241" s="35"/>
      <c r="C241" s="35" t="s">
        <v>256</v>
      </c>
      <c r="D241" s="35"/>
      <c r="E241" s="35"/>
      <c r="F241" s="35"/>
    </row>
    <row r="242" spans="1:6">
      <c r="A242" s="35"/>
      <c r="B242" s="35"/>
      <c r="C242" s="35" t="s">
        <v>257</v>
      </c>
      <c r="D242" s="35"/>
      <c r="E242" s="35"/>
      <c r="F242" s="35"/>
    </row>
    <row r="243" spans="1:6">
      <c r="A243" s="35"/>
      <c r="B243" s="35"/>
      <c r="C243" s="35"/>
      <c r="D243" s="35"/>
      <c r="E243" s="35"/>
      <c r="F243" s="35"/>
    </row>
    <row r="244" spans="1:6">
      <c r="A244" s="35">
        <v>1.33</v>
      </c>
      <c r="B244" s="35" t="s">
        <v>258</v>
      </c>
      <c r="C244" s="35" t="s">
        <v>259</v>
      </c>
      <c r="D244" s="35">
        <v>238.9</v>
      </c>
      <c r="E244" s="35" t="s">
        <v>258</v>
      </c>
      <c r="F244" s="35">
        <v>317.74</v>
      </c>
    </row>
    <row r="245" spans="1:6">
      <c r="A245" s="35">
        <v>0.7</v>
      </c>
      <c r="B245" s="35" t="s">
        <v>260</v>
      </c>
      <c r="C245" s="35" t="s">
        <v>261</v>
      </c>
      <c r="D245" s="35">
        <v>956.4</v>
      </c>
      <c r="E245" s="35" t="s">
        <v>260</v>
      </c>
      <c r="F245" s="35">
        <v>669.48</v>
      </c>
    </row>
    <row r="246" spans="1:6">
      <c r="A246" s="35">
        <v>10</v>
      </c>
      <c r="B246" s="35" t="s">
        <v>262</v>
      </c>
      <c r="C246" s="35" t="s">
        <v>263</v>
      </c>
      <c r="D246" s="35">
        <v>11.82</v>
      </c>
      <c r="E246" s="35" t="s">
        <v>262</v>
      </c>
      <c r="F246" s="35">
        <v>118.2</v>
      </c>
    </row>
    <row r="247" spans="1:6">
      <c r="A247" s="35"/>
      <c r="B247" s="35"/>
      <c r="C247" s="35" t="s">
        <v>264</v>
      </c>
      <c r="D247" s="35" t="s">
        <v>265</v>
      </c>
      <c r="E247" s="35"/>
      <c r="F247" s="35">
        <v>3.43</v>
      </c>
    </row>
    <row r="248" spans="1:6">
      <c r="A248" s="35"/>
      <c r="B248" s="35"/>
      <c r="C248" s="35" t="s">
        <v>176</v>
      </c>
      <c r="D248" s="35"/>
      <c r="E248" s="35"/>
      <c r="F248" s="35">
        <v>1108.8499999999999</v>
      </c>
    </row>
    <row r="249" spans="1:6">
      <c r="A249" s="35"/>
      <c r="B249" s="35"/>
      <c r="C249" s="35"/>
      <c r="D249" s="35"/>
      <c r="E249" s="35"/>
      <c r="F249" s="35"/>
    </row>
    <row r="250" spans="1:6">
      <c r="A250" s="35"/>
      <c r="B250" s="35"/>
      <c r="C250" s="35" t="s">
        <v>177</v>
      </c>
      <c r="D250" s="35"/>
      <c r="E250" s="35"/>
      <c r="F250" s="35">
        <v>110.89</v>
      </c>
    </row>
    <row r="251" spans="1:6">
      <c r="A251" s="35"/>
      <c r="B251" s="35"/>
      <c r="C251" s="35" t="s">
        <v>266</v>
      </c>
      <c r="D251" s="35"/>
      <c r="E251" s="35"/>
      <c r="F251" s="35"/>
    </row>
    <row r="252" spans="1:6">
      <c r="A252" s="35"/>
      <c r="B252" s="35"/>
      <c r="C252" s="35" t="s">
        <v>267</v>
      </c>
      <c r="D252" s="35"/>
      <c r="E252" s="35"/>
      <c r="F252" s="35"/>
    </row>
    <row r="253" spans="1:6">
      <c r="A253" s="35"/>
      <c r="B253" s="35"/>
      <c r="C253" s="35" t="s">
        <v>268</v>
      </c>
      <c r="D253" s="35"/>
      <c r="E253" s="35"/>
      <c r="F253" s="35"/>
    </row>
    <row r="254" spans="1:6">
      <c r="A254" s="35"/>
      <c r="B254" s="35"/>
      <c r="C254" s="35" t="s">
        <v>117</v>
      </c>
      <c r="D254" s="35"/>
      <c r="E254" s="35"/>
      <c r="F254" s="35"/>
    </row>
    <row r="255" spans="1:6">
      <c r="A255" s="35">
        <v>1.8</v>
      </c>
      <c r="B255" s="35" t="s">
        <v>213</v>
      </c>
      <c r="C255" s="35" t="s">
        <v>269</v>
      </c>
      <c r="D255" s="35">
        <v>22.6</v>
      </c>
      <c r="E255" s="35" t="s">
        <v>213</v>
      </c>
      <c r="F255" s="35">
        <v>40.68</v>
      </c>
    </row>
    <row r="256" spans="1:6">
      <c r="A256" s="35">
        <v>0.25</v>
      </c>
      <c r="B256" s="35" t="s">
        <v>151</v>
      </c>
      <c r="C256" s="35" t="s">
        <v>270</v>
      </c>
      <c r="D256" s="35">
        <v>956.4</v>
      </c>
      <c r="E256" s="35" t="s">
        <v>151</v>
      </c>
      <c r="F256" s="35">
        <v>239.1</v>
      </c>
    </row>
    <row r="257" spans="1:6">
      <c r="A257" s="35">
        <v>0.25</v>
      </c>
      <c r="B257" s="35" t="s">
        <v>151</v>
      </c>
      <c r="C257" s="35" t="s">
        <v>271</v>
      </c>
      <c r="D257" s="35">
        <v>781.2</v>
      </c>
      <c r="E257" s="35" t="s">
        <v>151</v>
      </c>
      <c r="F257" s="35">
        <v>195.3</v>
      </c>
    </row>
    <row r="258" spans="1:6">
      <c r="A258" s="35">
        <v>0.4</v>
      </c>
      <c r="B258" s="35" t="s">
        <v>151</v>
      </c>
      <c r="C258" s="35" t="s">
        <v>154</v>
      </c>
      <c r="D258" s="35">
        <v>640.79999999999995</v>
      </c>
      <c r="E258" s="35" t="s">
        <v>151</v>
      </c>
      <c r="F258" s="35">
        <v>256.32</v>
      </c>
    </row>
    <row r="259" spans="1:6">
      <c r="A259" s="35"/>
      <c r="B259" s="35"/>
      <c r="C259" s="35"/>
      <c r="D259" s="35" t="s">
        <v>114</v>
      </c>
      <c r="E259" s="35"/>
      <c r="F259" s="35">
        <v>731.4</v>
      </c>
    </row>
    <row r="260" spans="1:6">
      <c r="A260" s="35"/>
      <c r="B260" s="35"/>
      <c r="C260" s="35"/>
      <c r="D260" s="35"/>
      <c r="E260" s="35"/>
      <c r="F260" s="35">
        <v>73.14</v>
      </c>
    </row>
    <row r="263" spans="1:6">
      <c r="A263" s="38">
        <v>41</v>
      </c>
      <c r="B263" s="35" t="s">
        <v>122</v>
      </c>
      <c r="C263" s="35" t="s">
        <v>284</v>
      </c>
      <c r="D263" s="35"/>
      <c r="E263" s="35"/>
      <c r="F263" s="35"/>
    </row>
    <row r="264" spans="1:6">
      <c r="A264" s="35"/>
      <c r="B264" s="35"/>
      <c r="C264" s="35" t="s">
        <v>285</v>
      </c>
      <c r="D264" s="35"/>
      <c r="E264" s="35"/>
      <c r="F264" s="35"/>
    </row>
    <row r="265" spans="1:6">
      <c r="A265" s="35"/>
      <c r="B265" s="35"/>
      <c r="C265" s="35" t="s">
        <v>257</v>
      </c>
      <c r="D265" s="35"/>
      <c r="E265" s="35"/>
      <c r="F265" s="35"/>
    </row>
    <row r="266" spans="1:6">
      <c r="A266" s="35"/>
      <c r="B266" s="35"/>
      <c r="C266" s="35" t="s">
        <v>117</v>
      </c>
      <c r="D266" s="35"/>
      <c r="E266" s="35"/>
      <c r="F266" s="35"/>
    </row>
    <row r="267" spans="1:6">
      <c r="A267" s="35">
        <v>2.2200000000000002</v>
      </c>
      <c r="B267" s="35" t="s">
        <v>274</v>
      </c>
      <c r="C267" s="35" t="s">
        <v>259</v>
      </c>
      <c r="D267" s="35">
        <v>227.6</v>
      </c>
      <c r="E267" s="35" t="s">
        <v>274</v>
      </c>
      <c r="F267" s="35">
        <v>505.27</v>
      </c>
    </row>
    <row r="268" spans="1:6">
      <c r="A268" s="35">
        <v>1.1000000000000001</v>
      </c>
      <c r="B268" s="35" t="s">
        <v>223</v>
      </c>
      <c r="C268" s="35" t="s">
        <v>261</v>
      </c>
      <c r="D268" s="35">
        <v>956.4</v>
      </c>
      <c r="E268" s="35" t="s">
        <v>223</v>
      </c>
      <c r="F268" s="35">
        <v>1052.04</v>
      </c>
    </row>
    <row r="269" spans="1:6">
      <c r="A269" s="35"/>
      <c r="B269" s="35" t="s">
        <v>128</v>
      </c>
      <c r="C269" s="35" t="s">
        <v>283</v>
      </c>
      <c r="D269" s="35" t="s">
        <v>114</v>
      </c>
      <c r="E269" s="35" t="s">
        <v>128</v>
      </c>
      <c r="F269" s="35">
        <v>1.5</v>
      </c>
    </row>
    <row r="270" spans="1:6">
      <c r="A270" s="35"/>
      <c r="B270" s="35"/>
      <c r="C270" s="35"/>
      <c r="D270" s="35"/>
      <c r="E270" s="35"/>
      <c r="F270" s="35" t="s">
        <v>117</v>
      </c>
    </row>
    <row r="271" spans="1:6">
      <c r="A271" s="35"/>
      <c r="B271" s="35"/>
      <c r="C271" s="35" t="s">
        <v>176</v>
      </c>
      <c r="D271" s="35"/>
      <c r="E271" s="35"/>
      <c r="F271" s="35">
        <v>1558.81</v>
      </c>
    </row>
    <row r="272" spans="1:6">
      <c r="A272" s="35"/>
      <c r="B272" s="35"/>
      <c r="C272" s="35"/>
      <c r="D272" s="35"/>
      <c r="E272" s="35"/>
      <c r="F272" s="35" t="s">
        <v>117</v>
      </c>
    </row>
    <row r="273" spans="1:7">
      <c r="A273" s="35"/>
      <c r="B273" s="35"/>
      <c r="C273" s="35" t="s">
        <v>177</v>
      </c>
      <c r="D273" s="35"/>
      <c r="E273" s="35"/>
      <c r="F273" s="35">
        <v>155.88</v>
      </c>
    </row>
    <row r="274" spans="1:7">
      <c r="A274" s="35"/>
      <c r="B274" s="35"/>
      <c r="C274" s="35"/>
      <c r="D274" s="35"/>
      <c r="E274" s="35"/>
      <c r="F274" s="35"/>
    </row>
    <row r="275" spans="1:7">
      <c r="A275" s="35"/>
      <c r="B275" s="35"/>
      <c r="C275" s="35" t="s">
        <v>325</v>
      </c>
      <c r="D275" s="35"/>
      <c r="E275" s="35"/>
      <c r="F275" s="35">
        <v>5090</v>
      </c>
    </row>
    <row r="276" spans="1:7">
      <c r="A276" s="35"/>
      <c r="B276" s="35"/>
      <c r="C276" s="35"/>
      <c r="D276" s="35"/>
      <c r="E276" s="35"/>
      <c r="F276" s="35"/>
    </row>
    <row r="277" spans="1:7">
      <c r="A277" s="35"/>
      <c r="B277" s="35"/>
      <c r="C277" s="35" t="s">
        <v>326</v>
      </c>
      <c r="D277" s="35"/>
      <c r="E277" s="35"/>
      <c r="F277" s="35"/>
    </row>
    <row r="278" spans="1:7">
      <c r="A278" s="35"/>
      <c r="B278" s="35"/>
      <c r="C278" s="35"/>
      <c r="D278" s="35"/>
      <c r="E278" s="35"/>
      <c r="F278" s="35"/>
    </row>
    <row r="279" spans="1:7" ht="80.25" customHeight="1">
      <c r="A279" s="35"/>
      <c r="B279" s="35"/>
      <c r="C279" s="316" t="s">
        <v>327</v>
      </c>
      <c r="D279" s="316"/>
      <c r="E279" s="316"/>
      <c r="F279" s="316"/>
      <c r="G279" s="316"/>
    </row>
    <row r="280" spans="1:7">
      <c r="A280" s="35"/>
      <c r="B280" s="35"/>
      <c r="C280" s="35" t="s">
        <v>328</v>
      </c>
      <c r="D280" s="35"/>
      <c r="E280" s="35"/>
      <c r="F280" s="35">
        <v>9170.4699999999993</v>
      </c>
    </row>
    <row r="281" spans="1:7">
      <c r="A281" s="35"/>
      <c r="B281" s="35"/>
      <c r="C281" s="35" t="s">
        <v>329</v>
      </c>
      <c r="D281" s="35"/>
      <c r="E281" s="35"/>
      <c r="F281" s="35">
        <v>138</v>
      </c>
    </row>
    <row r="282" spans="1:7">
      <c r="A282" s="35"/>
      <c r="B282" s="35"/>
      <c r="C282" s="35" t="s">
        <v>526</v>
      </c>
      <c r="D282" s="35"/>
      <c r="E282" s="35"/>
      <c r="F282" s="35">
        <v>166.5</v>
      </c>
    </row>
    <row r="283" spans="1:7">
      <c r="A283" s="35"/>
      <c r="B283" s="35"/>
      <c r="C283" s="35" t="s">
        <v>331</v>
      </c>
      <c r="D283" s="35"/>
      <c r="E283" s="35"/>
      <c r="F283" s="35">
        <v>43.8</v>
      </c>
    </row>
    <row r="284" spans="1:7">
      <c r="A284" s="35"/>
      <c r="B284" s="35"/>
      <c r="C284" s="35" t="s">
        <v>332</v>
      </c>
      <c r="D284" s="35"/>
      <c r="E284" s="35"/>
      <c r="F284" s="35">
        <v>9242.77</v>
      </c>
    </row>
    <row r="285" spans="1:7">
      <c r="A285" s="35"/>
      <c r="B285" s="35"/>
      <c r="C285" s="35" t="s">
        <v>333</v>
      </c>
      <c r="D285" s="35"/>
      <c r="E285" s="35"/>
      <c r="F285" s="35">
        <v>924.28</v>
      </c>
    </row>
    <row r="287" spans="1:7">
      <c r="A287" s="35"/>
      <c r="B287" s="35"/>
      <c r="C287" s="35" t="s">
        <v>286</v>
      </c>
      <c r="D287" s="35"/>
      <c r="E287" s="35"/>
      <c r="F287" s="35"/>
    </row>
    <row r="288" spans="1:7">
      <c r="A288" s="35"/>
      <c r="B288" s="35"/>
      <c r="C288" s="35"/>
      <c r="D288" s="35"/>
      <c r="E288" s="35"/>
      <c r="F288" s="35"/>
    </row>
    <row r="289" spans="1:6">
      <c r="A289" s="35"/>
      <c r="B289" s="35"/>
      <c r="C289" s="35" t="s">
        <v>287</v>
      </c>
      <c r="D289" s="35"/>
      <c r="E289" s="35"/>
      <c r="F289" s="35"/>
    </row>
    <row r="290" spans="1:6">
      <c r="A290" s="35"/>
      <c r="B290" s="35"/>
      <c r="C290" s="35"/>
      <c r="D290" s="35"/>
      <c r="E290" s="35"/>
      <c r="F290" s="35"/>
    </row>
    <row r="291" spans="1:6" ht="123.75" customHeight="1">
      <c r="A291" s="35"/>
      <c r="B291" s="35"/>
      <c r="C291" s="316" t="s">
        <v>13</v>
      </c>
      <c r="D291" s="316"/>
      <c r="E291" s="316"/>
      <c r="F291" s="316"/>
    </row>
    <row r="292" spans="1:6">
      <c r="A292" s="35">
        <v>90</v>
      </c>
      <c r="B292" s="35" t="s">
        <v>31</v>
      </c>
      <c r="C292" s="35" t="s">
        <v>288</v>
      </c>
      <c r="D292" s="35">
        <v>16.55</v>
      </c>
      <c r="E292" s="35" t="s">
        <v>289</v>
      </c>
      <c r="F292" s="35">
        <v>1489.5</v>
      </c>
    </row>
    <row r="293" spans="1:6">
      <c r="A293" s="35">
        <v>45</v>
      </c>
      <c r="B293" s="35" t="s">
        <v>31</v>
      </c>
      <c r="C293" s="35" t="s">
        <v>290</v>
      </c>
      <c r="D293" s="35">
        <v>20</v>
      </c>
      <c r="E293" s="35" t="s">
        <v>291</v>
      </c>
      <c r="F293" s="35">
        <v>900</v>
      </c>
    </row>
    <row r="294" spans="1:6">
      <c r="A294" s="35">
        <v>20</v>
      </c>
      <c r="B294" s="35" t="s">
        <v>292</v>
      </c>
      <c r="C294" s="35" t="s">
        <v>293</v>
      </c>
      <c r="D294" s="35">
        <v>3.15</v>
      </c>
      <c r="E294" s="35" t="s">
        <v>292</v>
      </c>
      <c r="F294" s="35">
        <v>63</v>
      </c>
    </row>
    <row r="295" spans="1:6">
      <c r="A295" s="35">
        <v>150</v>
      </c>
      <c r="B295" s="35" t="s">
        <v>292</v>
      </c>
      <c r="C295" s="35" t="s">
        <v>294</v>
      </c>
      <c r="D295" s="35">
        <v>287</v>
      </c>
      <c r="E295" s="35" t="s">
        <v>295</v>
      </c>
      <c r="F295" s="35">
        <v>43.05</v>
      </c>
    </row>
    <row r="296" spans="1:6">
      <c r="A296" s="35">
        <v>10</v>
      </c>
      <c r="B296" s="35" t="s">
        <v>292</v>
      </c>
      <c r="C296" s="35" t="s">
        <v>296</v>
      </c>
      <c r="D296" s="35">
        <v>1.34</v>
      </c>
      <c r="E296" s="35" t="s">
        <v>292</v>
      </c>
      <c r="F296" s="35">
        <v>13.4</v>
      </c>
    </row>
    <row r="297" spans="1:6">
      <c r="A297" s="35">
        <v>10</v>
      </c>
      <c r="B297" s="35" t="s">
        <v>292</v>
      </c>
      <c r="C297" s="35" t="s">
        <v>527</v>
      </c>
      <c r="D297" s="35">
        <v>43.25</v>
      </c>
      <c r="E297" s="35" t="s">
        <v>298</v>
      </c>
      <c r="F297" s="35">
        <v>36.04</v>
      </c>
    </row>
    <row r="298" spans="1:6">
      <c r="A298" s="36">
        <v>1.4999999999999999E-2</v>
      </c>
      <c r="B298" s="35" t="s">
        <v>262</v>
      </c>
      <c r="C298" s="35" t="s">
        <v>299</v>
      </c>
      <c r="D298" s="35">
        <v>661</v>
      </c>
      <c r="E298" s="35" t="s">
        <v>262</v>
      </c>
      <c r="F298" s="35">
        <v>9.92</v>
      </c>
    </row>
    <row r="299" spans="1:6">
      <c r="A299" s="35">
        <v>10</v>
      </c>
      <c r="B299" s="35" t="s">
        <v>292</v>
      </c>
      <c r="C299" s="35" t="s">
        <v>300</v>
      </c>
      <c r="D299" s="35">
        <v>16.21</v>
      </c>
      <c r="E299" s="35" t="s">
        <v>292</v>
      </c>
      <c r="F299" s="35">
        <v>162.1</v>
      </c>
    </row>
    <row r="300" spans="1:6">
      <c r="A300" s="35">
        <v>10</v>
      </c>
      <c r="B300" s="35" t="s">
        <v>292</v>
      </c>
      <c r="C300" s="35" t="s">
        <v>301</v>
      </c>
      <c r="D300" s="35">
        <v>13.8</v>
      </c>
      <c r="E300" s="35" t="s">
        <v>292</v>
      </c>
      <c r="F300" s="35">
        <v>138</v>
      </c>
    </row>
    <row r="301" spans="1:6">
      <c r="A301" s="35">
        <v>1</v>
      </c>
      <c r="B301" s="35" t="s">
        <v>302</v>
      </c>
      <c r="C301" s="35" t="s">
        <v>303</v>
      </c>
      <c r="D301" s="35">
        <v>69.400000000000006</v>
      </c>
      <c r="E301" s="35" t="s">
        <v>302</v>
      </c>
      <c r="F301" s="35">
        <v>69.400000000000006</v>
      </c>
    </row>
    <row r="302" spans="1:6">
      <c r="A302" s="35">
        <v>72</v>
      </c>
      <c r="B302" s="35" t="s">
        <v>292</v>
      </c>
      <c r="C302" s="35" t="s">
        <v>304</v>
      </c>
      <c r="D302" s="35">
        <v>47.7</v>
      </c>
      <c r="E302" s="35" t="s">
        <v>302</v>
      </c>
      <c r="F302" s="35">
        <v>23.85</v>
      </c>
    </row>
    <row r="303" spans="1:6">
      <c r="A303" s="39">
        <v>0.16666666666666666</v>
      </c>
      <c r="B303" s="35" t="s">
        <v>305</v>
      </c>
      <c r="C303" s="35" t="s">
        <v>306</v>
      </c>
      <c r="D303" s="35">
        <v>318.38</v>
      </c>
      <c r="E303" s="35" t="s">
        <v>305</v>
      </c>
      <c r="F303" s="35">
        <v>53.06</v>
      </c>
    </row>
    <row r="304" spans="1:6">
      <c r="A304" s="35">
        <v>10</v>
      </c>
      <c r="B304" s="35" t="s">
        <v>292</v>
      </c>
      <c r="C304" s="35" t="s">
        <v>528</v>
      </c>
      <c r="D304" s="35">
        <v>13.8</v>
      </c>
      <c r="E304" s="35" t="s">
        <v>292</v>
      </c>
      <c r="F304" s="35">
        <v>138</v>
      </c>
    </row>
    <row r="305" spans="1:6">
      <c r="A305" s="35">
        <v>1</v>
      </c>
      <c r="B305" s="35" t="s">
        <v>292</v>
      </c>
      <c r="C305" s="35" t="s">
        <v>529</v>
      </c>
      <c r="D305" s="35">
        <v>16.5</v>
      </c>
      <c r="E305" s="35" t="s">
        <v>292</v>
      </c>
      <c r="F305" s="35">
        <v>16.5</v>
      </c>
    </row>
    <row r="306" spans="1:6">
      <c r="A306" s="35">
        <v>0.1</v>
      </c>
      <c r="B306" s="35" t="s">
        <v>262</v>
      </c>
      <c r="C306" s="35" t="s">
        <v>309</v>
      </c>
      <c r="D306" s="35">
        <v>661</v>
      </c>
      <c r="E306" s="35" t="s">
        <v>262</v>
      </c>
      <c r="F306" s="35">
        <v>66.099999999999994</v>
      </c>
    </row>
    <row r="307" spans="1:6">
      <c r="A307" s="35">
        <v>45</v>
      </c>
      <c r="B307" s="35" t="s">
        <v>31</v>
      </c>
      <c r="C307" s="35" t="s">
        <v>310</v>
      </c>
      <c r="D307" s="35">
        <v>16.55</v>
      </c>
      <c r="E307" s="35" t="s">
        <v>311</v>
      </c>
      <c r="F307" s="35">
        <v>744.75</v>
      </c>
    </row>
    <row r="308" spans="1:6">
      <c r="A308" s="39">
        <v>0.5</v>
      </c>
      <c r="B308" s="35" t="s">
        <v>312</v>
      </c>
      <c r="C308" s="35" t="s">
        <v>313</v>
      </c>
      <c r="D308" s="35">
        <v>227.6</v>
      </c>
      <c r="E308" s="35" t="s">
        <v>312</v>
      </c>
      <c r="F308" s="35">
        <v>113.8</v>
      </c>
    </row>
    <row r="309" spans="1:6">
      <c r="A309" s="35">
        <v>10</v>
      </c>
      <c r="B309" s="35" t="s">
        <v>314</v>
      </c>
      <c r="C309" s="35" t="s">
        <v>315</v>
      </c>
      <c r="D309" s="35"/>
      <c r="E309" s="35" t="s">
        <v>265</v>
      </c>
      <c r="F309" s="35">
        <v>5090</v>
      </c>
    </row>
    <row r="310" spans="1:6">
      <c r="A310" s="35" t="s">
        <v>265</v>
      </c>
      <c r="B310" s="35"/>
      <c r="C310" s="35" t="s">
        <v>316</v>
      </c>
      <c r="D310" s="35"/>
      <c r="E310" s="35" t="s">
        <v>265</v>
      </c>
      <c r="F310" s="35">
        <v>52.3</v>
      </c>
    </row>
    <row r="311" spans="1:6">
      <c r="A311" s="35"/>
      <c r="B311" s="35"/>
      <c r="C311" s="35" t="s">
        <v>317</v>
      </c>
      <c r="D311" s="35"/>
      <c r="E311" s="35"/>
      <c r="F311" s="35">
        <v>9222.77</v>
      </c>
    </row>
    <row r="312" spans="1:6">
      <c r="A312" s="35"/>
      <c r="B312" s="35"/>
      <c r="C312" s="35" t="s">
        <v>318</v>
      </c>
      <c r="D312" s="35"/>
      <c r="E312" s="35"/>
      <c r="F312" s="35">
        <v>922.28</v>
      </c>
    </row>
    <row r="314" spans="1:6">
      <c r="A314" s="35"/>
      <c r="B314" s="35" t="s">
        <v>334</v>
      </c>
      <c r="C314" s="35"/>
      <c r="D314" s="35"/>
      <c r="E314" s="35"/>
    </row>
    <row r="315" spans="1:6">
      <c r="A315" s="35"/>
      <c r="B315" s="35"/>
      <c r="C315" s="35"/>
      <c r="D315" s="35"/>
      <c r="E315" s="35"/>
    </row>
    <row r="316" spans="1:6" ht="145.5" customHeight="1">
      <c r="A316" s="35"/>
      <c r="B316" s="316" t="s">
        <v>335</v>
      </c>
      <c r="C316" s="316"/>
      <c r="D316" s="316"/>
      <c r="E316" s="316"/>
    </row>
    <row r="317" spans="1:6">
      <c r="A317" s="35"/>
      <c r="B317" s="35"/>
      <c r="C317" s="35"/>
      <c r="D317" s="35"/>
      <c r="E317" s="35"/>
    </row>
    <row r="318" spans="1:6">
      <c r="A318" s="35"/>
      <c r="B318" s="35" t="s">
        <v>328</v>
      </c>
      <c r="C318" s="35"/>
      <c r="D318" s="35"/>
      <c r="E318" s="35">
        <v>9170.4699999999993</v>
      </c>
    </row>
    <row r="319" spans="1:6">
      <c r="A319" s="35"/>
      <c r="B319" s="35" t="s">
        <v>336</v>
      </c>
      <c r="C319" s="35"/>
      <c r="D319" s="35"/>
      <c r="E319" s="35">
        <v>138</v>
      </c>
    </row>
    <row r="320" spans="1:6">
      <c r="A320" s="35"/>
      <c r="B320" s="35" t="s">
        <v>337</v>
      </c>
      <c r="C320" s="35"/>
      <c r="D320" s="35"/>
      <c r="E320" s="35">
        <v>66.099999999999994</v>
      </c>
    </row>
    <row r="321" spans="1:6">
      <c r="A321" s="35"/>
      <c r="B321" s="35" t="s">
        <v>530</v>
      </c>
      <c r="C321" s="35"/>
      <c r="D321" s="35"/>
      <c r="E321" s="35">
        <v>699</v>
      </c>
    </row>
    <row r="322" spans="1:6">
      <c r="A322" s="35"/>
      <c r="B322" s="35" t="s">
        <v>531</v>
      </c>
      <c r="C322" s="35"/>
      <c r="D322" s="35"/>
      <c r="E322" s="35">
        <v>396.6</v>
      </c>
    </row>
    <row r="323" spans="1:6">
      <c r="A323" s="35"/>
      <c r="B323" s="35" t="s">
        <v>340</v>
      </c>
      <c r="C323" s="35"/>
      <c r="D323" s="35"/>
      <c r="E323" s="35">
        <v>22.76</v>
      </c>
    </row>
    <row r="324" spans="1:6">
      <c r="A324" s="35"/>
      <c r="B324" s="35" t="s">
        <v>332</v>
      </c>
      <c r="C324" s="35"/>
      <c r="D324" s="35"/>
      <c r="E324" s="35">
        <v>10084.73</v>
      </c>
    </row>
    <row r="325" spans="1:6">
      <c r="A325" s="35"/>
      <c r="B325" s="35" t="s">
        <v>333</v>
      </c>
      <c r="C325" s="35"/>
      <c r="D325" s="35"/>
      <c r="E325" s="35">
        <v>1008.47</v>
      </c>
    </row>
    <row r="327" spans="1:6">
      <c r="A327" s="35"/>
      <c r="B327" s="35"/>
      <c r="C327" s="35" t="s">
        <v>341</v>
      </c>
      <c r="D327" s="35"/>
      <c r="E327" s="35"/>
      <c r="F327" s="35"/>
    </row>
    <row r="328" spans="1:6">
      <c r="A328" s="35"/>
      <c r="B328" s="35"/>
      <c r="C328" s="35"/>
      <c r="D328" s="35"/>
      <c r="E328" s="35"/>
      <c r="F328" s="35"/>
    </row>
    <row r="329" spans="1:6" ht="122.25" customHeight="1">
      <c r="A329" s="35"/>
      <c r="B329" s="316" t="s">
        <v>16</v>
      </c>
      <c r="C329" s="316"/>
      <c r="D329" s="316"/>
      <c r="E329" s="316"/>
      <c r="F329" s="316"/>
    </row>
    <row r="330" spans="1:6">
      <c r="A330" s="35">
        <v>90</v>
      </c>
      <c r="B330" s="35" t="s">
        <v>31</v>
      </c>
      <c r="C330" s="35" t="s">
        <v>288</v>
      </c>
      <c r="D330" s="35">
        <v>16.55</v>
      </c>
      <c r="E330" s="35" t="s">
        <v>31</v>
      </c>
      <c r="F330" s="35">
        <v>1489.5</v>
      </c>
    </row>
    <row r="331" spans="1:6">
      <c r="A331" s="35">
        <v>45</v>
      </c>
      <c r="B331" s="35" t="s">
        <v>31</v>
      </c>
      <c r="C331" s="35" t="s">
        <v>290</v>
      </c>
      <c r="D331" s="35">
        <v>20</v>
      </c>
      <c r="E331" s="35" t="s">
        <v>31</v>
      </c>
      <c r="F331" s="35">
        <v>900</v>
      </c>
    </row>
    <row r="332" spans="1:6">
      <c r="A332" s="35">
        <v>20</v>
      </c>
      <c r="B332" s="35" t="s">
        <v>292</v>
      </c>
      <c r="C332" s="35" t="s">
        <v>293</v>
      </c>
      <c r="D332" s="35">
        <v>3.15</v>
      </c>
      <c r="E332" s="35" t="s">
        <v>298</v>
      </c>
      <c r="F332" s="35">
        <v>63</v>
      </c>
    </row>
    <row r="333" spans="1:6">
      <c r="A333" s="35">
        <v>10</v>
      </c>
      <c r="B333" s="35" t="s">
        <v>292</v>
      </c>
      <c r="C333" s="35" t="s">
        <v>296</v>
      </c>
      <c r="D333" s="35">
        <v>1.34</v>
      </c>
      <c r="E333" s="35" t="s">
        <v>298</v>
      </c>
      <c r="F333" s="35">
        <v>13.4</v>
      </c>
    </row>
    <row r="334" spans="1:6">
      <c r="A334" s="35">
        <v>1</v>
      </c>
      <c r="B334" s="35" t="s">
        <v>292</v>
      </c>
      <c r="C334" s="35" t="s">
        <v>342</v>
      </c>
      <c r="D334" s="35">
        <v>70.7</v>
      </c>
      <c r="E334" s="35" t="s">
        <v>292</v>
      </c>
      <c r="F334" s="35">
        <v>70.7</v>
      </c>
    </row>
    <row r="335" spans="1:6">
      <c r="A335" s="36">
        <v>1.4999999999999999E-2</v>
      </c>
      <c r="B335" s="35" t="s">
        <v>262</v>
      </c>
      <c r="C335" s="35" t="s">
        <v>343</v>
      </c>
      <c r="D335" s="35">
        <v>661</v>
      </c>
      <c r="E335" s="35" t="s">
        <v>262</v>
      </c>
      <c r="F335" s="35">
        <v>9.92</v>
      </c>
    </row>
    <row r="336" spans="1:6">
      <c r="A336" s="35">
        <v>15</v>
      </c>
      <c r="B336" s="35" t="s">
        <v>292</v>
      </c>
      <c r="C336" s="35" t="s">
        <v>344</v>
      </c>
      <c r="D336" s="35">
        <v>40.31</v>
      </c>
      <c r="E336" s="35" t="s">
        <v>292</v>
      </c>
      <c r="F336" s="35">
        <v>604.65</v>
      </c>
    </row>
    <row r="337" spans="1:6">
      <c r="A337" s="35">
        <v>15</v>
      </c>
      <c r="B337" s="35" t="s">
        <v>292</v>
      </c>
      <c r="C337" s="35" t="s">
        <v>342</v>
      </c>
      <c r="D337" s="35">
        <v>70.7</v>
      </c>
      <c r="E337" s="35" t="s">
        <v>292</v>
      </c>
      <c r="F337" s="35">
        <v>1060.5</v>
      </c>
    </row>
    <row r="338" spans="1:6">
      <c r="A338" s="36">
        <v>0.22500000000000001</v>
      </c>
      <c r="B338" s="35" t="s">
        <v>262</v>
      </c>
      <c r="C338" s="35" t="s">
        <v>343</v>
      </c>
      <c r="D338" s="35">
        <v>661</v>
      </c>
      <c r="E338" s="35" t="s">
        <v>345</v>
      </c>
      <c r="F338" s="35">
        <v>148.72999999999999</v>
      </c>
    </row>
    <row r="339" spans="1:6">
      <c r="A339" s="35">
        <v>1.25</v>
      </c>
      <c r="B339" s="35" t="s">
        <v>305</v>
      </c>
      <c r="C339" s="35" t="s">
        <v>306</v>
      </c>
      <c r="D339" s="35">
        <v>318.38</v>
      </c>
      <c r="E339" s="35" t="s">
        <v>305</v>
      </c>
      <c r="F339" s="35">
        <v>397.98</v>
      </c>
    </row>
    <row r="340" spans="1:6">
      <c r="A340" s="35">
        <v>45</v>
      </c>
      <c r="B340" s="35" t="s">
        <v>262</v>
      </c>
      <c r="C340" s="35" t="s">
        <v>310</v>
      </c>
      <c r="D340" s="35">
        <v>16.55</v>
      </c>
      <c r="E340" s="35" t="s">
        <v>31</v>
      </c>
      <c r="F340" s="35">
        <v>744.75</v>
      </c>
    </row>
    <row r="341" spans="1:6">
      <c r="A341" s="35"/>
      <c r="B341" s="35"/>
      <c r="C341" s="35" t="s">
        <v>315</v>
      </c>
      <c r="D341" s="35"/>
      <c r="E341" s="35"/>
      <c r="F341" s="35">
        <v>5090</v>
      </c>
    </row>
    <row r="342" spans="1:6">
      <c r="A342" s="35"/>
      <c r="B342" s="35"/>
      <c r="C342" s="35" t="s">
        <v>331</v>
      </c>
      <c r="D342" s="35"/>
      <c r="E342" s="35"/>
      <c r="F342" s="35">
        <v>39.35</v>
      </c>
    </row>
    <row r="343" spans="1:6">
      <c r="A343" s="35"/>
      <c r="B343" s="35"/>
      <c r="C343" s="35" t="s">
        <v>346</v>
      </c>
      <c r="D343" s="35"/>
      <c r="E343" s="35"/>
      <c r="F343" s="35">
        <v>10632.48</v>
      </c>
    </row>
    <row r="344" spans="1:6">
      <c r="A344" s="35"/>
      <c r="B344" s="35"/>
      <c r="C344" s="35" t="s">
        <v>347</v>
      </c>
      <c r="D344" s="35"/>
      <c r="E344" s="35"/>
      <c r="F344" s="35">
        <v>708.83</v>
      </c>
    </row>
    <row r="346" spans="1:6">
      <c r="A346" s="35"/>
      <c r="B346" s="35"/>
      <c r="C346" s="35" t="s">
        <v>532</v>
      </c>
      <c r="D346" s="35"/>
      <c r="E346" s="35"/>
      <c r="F346" s="35"/>
    </row>
    <row r="347" spans="1:6">
      <c r="A347" s="35"/>
      <c r="B347" s="35"/>
      <c r="C347" s="35"/>
      <c r="D347" s="35"/>
      <c r="E347" s="35"/>
      <c r="F347" s="35"/>
    </row>
    <row r="348" spans="1:6" ht="120" customHeight="1">
      <c r="A348" s="35"/>
      <c r="B348" s="35"/>
      <c r="C348" s="317" t="s">
        <v>359</v>
      </c>
      <c r="D348" s="317"/>
      <c r="E348" s="317"/>
      <c r="F348" s="317"/>
    </row>
    <row r="349" spans="1:6">
      <c r="A349" s="35"/>
      <c r="B349" s="35"/>
      <c r="C349" s="35"/>
      <c r="D349" s="35"/>
      <c r="E349" s="35"/>
      <c r="F349" s="35"/>
    </row>
    <row r="350" spans="1:6">
      <c r="A350" s="35"/>
      <c r="B350" s="35"/>
      <c r="C350" s="35" t="s">
        <v>360</v>
      </c>
      <c r="D350" s="35"/>
      <c r="E350" s="35"/>
      <c r="F350" s="35">
        <v>11810.11</v>
      </c>
    </row>
    <row r="351" spans="1:6">
      <c r="A351" s="35">
        <v>180</v>
      </c>
      <c r="B351" s="35" t="s">
        <v>31</v>
      </c>
      <c r="C351" s="35" t="s">
        <v>533</v>
      </c>
      <c r="D351" s="35">
        <v>40.950000000000003</v>
      </c>
      <c r="E351" s="35" t="s">
        <v>31</v>
      </c>
      <c r="F351" s="35">
        <v>7371</v>
      </c>
    </row>
    <row r="352" spans="1:6">
      <c r="A352" s="35">
        <v>180</v>
      </c>
      <c r="B352" s="35" t="s">
        <v>31</v>
      </c>
      <c r="C352" s="35" t="s">
        <v>362</v>
      </c>
      <c r="D352" s="35">
        <v>16.55</v>
      </c>
      <c r="E352" s="35" t="s">
        <v>289</v>
      </c>
      <c r="F352" s="35">
        <v>2979</v>
      </c>
    </row>
    <row r="353" spans="1:6">
      <c r="A353" s="35"/>
      <c r="B353" s="35"/>
      <c r="C353" s="35" t="s">
        <v>331</v>
      </c>
      <c r="D353" s="35"/>
      <c r="E353" s="35"/>
      <c r="F353" s="35"/>
    </row>
    <row r="354" spans="1:6">
      <c r="A354" s="35"/>
      <c r="B354" s="35"/>
      <c r="C354" s="35" t="s">
        <v>363</v>
      </c>
      <c r="D354" s="35"/>
      <c r="E354" s="35"/>
      <c r="F354" s="35">
        <v>16202.11</v>
      </c>
    </row>
    <row r="355" spans="1:6">
      <c r="A355" s="35"/>
      <c r="B355" s="35"/>
      <c r="C355" s="35" t="s">
        <v>357</v>
      </c>
      <c r="D355" s="35"/>
      <c r="E355" s="35"/>
      <c r="F355" s="35">
        <v>180.02</v>
      </c>
    </row>
    <row r="356" spans="1:6">
      <c r="A356" s="35"/>
      <c r="B356" s="35"/>
      <c r="C356" s="35"/>
      <c r="D356" s="35"/>
      <c r="E356" s="35"/>
      <c r="F356" s="35"/>
    </row>
    <row r="357" spans="1:6">
      <c r="A357" s="38">
        <v>74</v>
      </c>
      <c r="B357" s="35"/>
      <c r="C357" s="35" t="s">
        <v>365</v>
      </c>
      <c r="D357" s="35"/>
      <c r="E357" s="35"/>
      <c r="F357" s="35">
        <v>601</v>
      </c>
    </row>
    <row r="359" spans="1:6">
      <c r="A359" s="35" t="s">
        <v>409</v>
      </c>
      <c r="B359" s="35" t="s">
        <v>122</v>
      </c>
      <c r="C359" s="35" t="s">
        <v>410</v>
      </c>
      <c r="D359" s="35"/>
      <c r="E359" s="35"/>
      <c r="F359" s="35"/>
    </row>
    <row r="360" spans="1:6">
      <c r="A360" s="35"/>
      <c r="B360" s="35"/>
      <c r="C360" s="35" t="s">
        <v>411</v>
      </c>
      <c r="D360" s="35"/>
      <c r="E360" s="35"/>
      <c r="F360" s="35"/>
    </row>
    <row r="361" spans="1:6">
      <c r="A361" s="35"/>
      <c r="B361" s="35"/>
      <c r="C361" s="35" t="s">
        <v>412</v>
      </c>
      <c r="D361" s="35"/>
      <c r="E361" s="35"/>
      <c r="F361" s="35"/>
    </row>
    <row r="362" spans="1:6">
      <c r="A362" s="35"/>
      <c r="B362" s="35"/>
      <c r="C362" s="35" t="s">
        <v>413</v>
      </c>
      <c r="D362" s="35"/>
      <c r="E362" s="35"/>
      <c r="F362" s="35"/>
    </row>
    <row r="363" spans="1:6">
      <c r="A363" s="35"/>
      <c r="B363" s="35"/>
      <c r="C363" s="35" t="s">
        <v>117</v>
      </c>
      <c r="D363" s="35"/>
      <c r="E363" s="35"/>
      <c r="F363" s="35"/>
    </row>
    <row r="364" spans="1:6">
      <c r="A364" s="35">
        <v>0.24</v>
      </c>
      <c r="B364" s="35" t="s">
        <v>108</v>
      </c>
      <c r="C364" s="35" t="s">
        <v>414</v>
      </c>
      <c r="D364" s="35">
        <v>1160.75</v>
      </c>
      <c r="E364" s="35" t="s">
        <v>108</v>
      </c>
      <c r="F364" s="35">
        <v>278.58</v>
      </c>
    </row>
    <row r="365" spans="1:6">
      <c r="A365" s="36">
        <v>0.11700000000000001</v>
      </c>
      <c r="B365" s="35" t="s">
        <v>124</v>
      </c>
      <c r="C365" s="35" t="s">
        <v>125</v>
      </c>
      <c r="D365" s="35">
        <v>6367.64</v>
      </c>
      <c r="E365" s="35" t="s">
        <v>124</v>
      </c>
      <c r="F365" s="35">
        <v>745.01</v>
      </c>
    </row>
    <row r="366" spans="1:6">
      <c r="A366" s="35">
        <v>0.5</v>
      </c>
      <c r="B366" s="35" t="s">
        <v>223</v>
      </c>
      <c r="C366" s="35" t="s">
        <v>162</v>
      </c>
      <c r="D366" s="35">
        <v>1198.8</v>
      </c>
      <c r="E366" s="35" t="s">
        <v>223</v>
      </c>
      <c r="F366" s="35">
        <v>599.4</v>
      </c>
    </row>
    <row r="367" spans="1:6">
      <c r="A367" s="35">
        <v>1.1000000000000001</v>
      </c>
      <c r="B367" s="35" t="s">
        <v>223</v>
      </c>
      <c r="C367" s="35" t="s">
        <v>271</v>
      </c>
      <c r="D367" s="35">
        <v>781.2</v>
      </c>
      <c r="E367" s="35" t="s">
        <v>223</v>
      </c>
      <c r="F367" s="35">
        <v>859.32</v>
      </c>
    </row>
    <row r="368" spans="1:6">
      <c r="A368" s="35">
        <v>4.3</v>
      </c>
      <c r="B368" s="35" t="s">
        <v>223</v>
      </c>
      <c r="C368" s="35" t="s">
        <v>154</v>
      </c>
      <c r="D368" s="35">
        <v>640.79999999999995</v>
      </c>
      <c r="E368" s="35" t="s">
        <v>223</v>
      </c>
      <c r="F368" s="35">
        <v>2755.44</v>
      </c>
    </row>
    <row r="369" spans="1:6">
      <c r="A369" s="35"/>
      <c r="B369" s="35" t="s">
        <v>128</v>
      </c>
      <c r="C369" s="35" t="s">
        <v>129</v>
      </c>
      <c r="D369" s="35"/>
      <c r="E369" s="35" t="s">
        <v>128</v>
      </c>
      <c r="F369" s="35">
        <v>0</v>
      </c>
    </row>
    <row r="370" spans="1:6">
      <c r="A370" s="35"/>
      <c r="B370" s="35"/>
      <c r="C370" s="35"/>
      <c r="D370" s="35"/>
      <c r="E370" s="35"/>
      <c r="F370" s="35" t="s">
        <v>117</v>
      </c>
    </row>
    <row r="371" spans="1:6">
      <c r="A371" s="35"/>
      <c r="B371" s="35"/>
      <c r="C371" s="35" t="s">
        <v>176</v>
      </c>
      <c r="D371" s="35"/>
      <c r="E371" s="35"/>
      <c r="F371" s="35">
        <v>5237.75</v>
      </c>
    </row>
    <row r="372" spans="1:6">
      <c r="A372" s="35"/>
      <c r="B372" s="35"/>
      <c r="C372" s="35"/>
      <c r="D372" s="35"/>
      <c r="E372" s="35"/>
      <c r="F372" s="35" t="s">
        <v>117</v>
      </c>
    </row>
    <row r="373" spans="1:6">
      <c r="A373" s="35"/>
      <c r="B373" s="35"/>
      <c r="C373" s="35" t="s">
        <v>177</v>
      </c>
      <c r="D373" s="35"/>
      <c r="E373" s="35"/>
      <c r="F373" s="35">
        <v>523.78</v>
      </c>
    </row>
    <row r="376" spans="1:6">
      <c r="A376" s="35"/>
      <c r="B376" s="35"/>
      <c r="C376" s="35" t="s">
        <v>534</v>
      </c>
      <c r="D376" s="35"/>
      <c r="E376" s="35"/>
      <c r="F376" s="35"/>
    </row>
    <row r="377" spans="1:6">
      <c r="A377" s="35"/>
      <c r="B377" s="35"/>
      <c r="C377" s="35"/>
      <c r="D377" s="35"/>
      <c r="E377" s="35"/>
      <c r="F377" s="35"/>
    </row>
    <row r="378" spans="1:6">
      <c r="A378" s="35"/>
      <c r="B378" s="35"/>
      <c r="C378" s="35" t="s">
        <v>535</v>
      </c>
      <c r="D378" s="35"/>
      <c r="E378" s="35"/>
      <c r="F378" s="35"/>
    </row>
    <row r="379" spans="1:6">
      <c r="A379" s="35"/>
      <c r="B379" s="35"/>
      <c r="C379" s="35"/>
      <c r="D379" s="35"/>
      <c r="E379" s="35"/>
      <c r="F379" s="35"/>
    </row>
    <row r="380" spans="1:6">
      <c r="A380" s="35">
        <v>1</v>
      </c>
      <c r="B380" s="35" t="s">
        <v>292</v>
      </c>
      <c r="C380" s="35" t="s">
        <v>536</v>
      </c>
      <c r="D380" s="35">
        <v>1193</v>
      </c>
      <c r="E380" s="35" t="s">
        <v>292</v>
      </c>
      <c r="F380" s="35">
        <v>1193</v>
      </c>
    </row>
    <row r="381" spans="1:6">
      <c r="A381" s="35">
        <v>1</v>
      </c>
      <c r="B381" s="35" t="s">
        <v>292</v>
      </c>
      <c r="C381" s="35" t="s">
        <v>315</v>
      </c>
      <c r="D381" s="35">
        <v>2266</v>
      </c>
      <c r="E381" s="35" t="s">
        <v>292</v>
      </c>
      <c r="F381" s="35">
        <v>2266</v>
      </c>
    </row>
    <row r="382" spans="1:6">
      <c r="A382" s="35"/>
      <c r="B382" s="35"/>
      <c r="C382" s="35" t="s">
        <v>331</v>
      </c>
      <c r="D382" s="35"/>
      <c r="E382" s="35"/>
      <c r="F382" s="35"/>
    </row>
    <row r="383" spans="1:6">
      <c r="A383" s="35"/>
      <c r="B383" s="35"/>
      <c r="C383" s="35" t="s">
        <v>537</v>
      </c>
      <c r="D383" s="35"/>
      <c r="E383" s="35"/>
      <c r="F383" s="35">
        <v>3459</v>
      </c>
    </row>
    <row r="385" spans="1:7">
      <c r="A385" s="35"/>
      <c r="B385" s="35"/>
      <c r="C385" s="35" t="s">
        <v>371</v>
      </c>
      <c r="D385" s="35"/>
      <c r="E385" s="35"/>
      <c r="F385" s="35"/>
    </row>
    <row r="386" spans="1:7">
      <c r="A386" s="35"/>
      <c r="B386" s="35"/>
      <c r="C386" s="35"/>
      <c r="D386" s="35"/>
      <c r="E386" s="35"/>
      <c r="F386" s="35"/>
    </row>
    <row r="387" spans="1:7" ht="93.75" customHeight="1">
      <c r="A387" s="35"/>
      <c r="B387" s="35"/>
      <c r="C387" s="316" t="s">
        <v>372</v>
      </c>
      <c r="D387" s="316"/>
      <c r="E387" s="316"/>
      <c r="F387" s="316"/>
      <c r="G387" s="316"/>
    </row>
    <row r="388" spans="1:7">
      <c r="A388" s="35"/>
      <c r="B388" s="35"/>
      <c r="C388" s="35"/>
      <c r="D388" s="35"/>
      <c r="E388" s="35"/>
      <c r="F388" s="35"/>
    </row>
    <row r="389" spans="1:7">
      <c r="A389" s="35">
        <v>360</v>
      </c>
      <c r="B389" s="35" t="s">
        <v>31</v>
      </c>
      <c r="C389" s="35" t="s">
        <v>373</v>
      </c>
      <c r="D389" s="35">
        <v>40.950000000000003</v>
      </c>
      <c r="E389" s="35" t="s">
        <v>31</v>
      </c>
      <c r="F389" s="35">
        <v>14742</v>
      </c>
    </row>
    <row r="390" spans="1:7">
      <c r="A390" s="35">
        <v>4</v>
      </c>
      <c r="B390" s="35" t="s">
        <v>213</v>
      </c>
      <c r="C390" s="35" t="s">
        <v>374</v>
      </c>
      <c r="D390" s="35">
        <v>101.5</v>
      </c>
      <c r="E390" s="35" t="s">
        <v>213</v>
      </c>
      <c r="F390" s="35">
        <v>406</v>
      </c>
    </row>
    <row r="391" spans="1:7">
      <c r="A391" s="35">
        <v>360</v>
      </c>
      <c r="B391" s="35" t="s">
        <v>194</v>
      </c>
      <c r="C391" s="35" t="s">
        <v>375</v>
      </c>
      <c r="D391" s="35">
        <v>0.55000000000000004</v>
      </c>
      <c r="E391" s="35" t="s">
        <v>194</v>
      </c>
      <c r="F391" s="35">
        <v>198</v>
      </c>
    </row>
    <row r="392" spans="1:7">
      <c r="A392" s="35">
        <v>1.5</v>
      </c>
      <c r="B392" s="35" t="s">
        <v>213</v>
      </c>
      <c r="C392" s="35" t="s">
        <v>376</v>
      </c>
      <c r="D392" s="35">
        <v>101.5</v>
      </c>
      <c r="E392" s="35" t="s">
        <v>213</v>
      </c>
      <c r="F392" s="35">
        <v>152.25</v>
      </c>
    </row>
    <row r="393" spans="1:7">
      <c r="A393" s="35"/>
      <c r="B393" s="35"/>
      <c r="C393" s="35" t="s">
        <v>377</v>
      </c>
      <c r="D393" s="35"/>
      <c r="E393" s="35"/>
      <c r="F393" s="35">
        <v>9256.5</v>
      </c>
    </row>
    <row r="394" spans="1:7">
      <c r="A394" s="35"/>
      <c r="B394" s="35"/>
      <c r="C394" s="35" t="s">
        <v>378</v>
      </c>
      <c r="D394" s="35"/>
      <c r="E394" s="35"/>
      <c r="F394" s="35">
        <v>85</v>
      </c>
    </row>
    <row r="395" spans="1:7">
      <c r="A395" s="35"/>
      <c r="B395" s="35"/>
      <c r="C395" s="35" t="s">
        <v>379</v>
      </c>
      <c r="D395" s="35"/>
      <c r="E395" s="35"/>
      <c r="F395" s="35">
        <v>24839.75</v>
      </c>
    </row>
    <row r="396" spans="1:7">
      <c r="A396" s="35"/>
      <c r="B396" s="35"/>
      <c r="C396" s="35" t="s">
        <v>357</v>
      </c>
      <c r="D396" s="35"/>
      <c r="E396" s="35"/>
      <c r="F396" s="35">
        <v>276</v>
      </c>
    </row>
    <row r="398" spans="1:7">
      <c r="A398" s="35"/>
      <c r="B398" s="35"/>
      <c r="C398" s="35" t="s">
        <v>538</v>
      </c>
      <c r="D398" s="35"/>
      <c r="E398" s="35"/>
      <c r="F398" s="35"/>
    </row>
    <row r="399" spans="1:7">
      <c r="A399" s="35"/>
      <c r="B399" s="35"/>
      <c r="C399" s="35"/>
      <c r="D399" s="35"/>
      <c r="E399" s="35"/>
      <c r="F399" s="35"/>
    </row>
    <row r="400" spans="1:7" ht="86.25" customHeight="1">
      <c r="A400" s="35"/>
      <c r="B400" s="316" t="s">
        <v>539</v>
      </c>
      <c r="C400" s="316"/>
      <c r="D400" s="316"/>
      <c r="E400" s="316"/>
      <c r="F400" s="316"/>
    </row>
    <row r="401" spans="1:7">
      <c r="A401" s="35"/>
      <c r="B401" s="35"/>
      <c r="C401" s="35"/>
      <c r="D401" s="35"/>
      <c r="E401" s="35"/>
      <c r="F401" s="35"/>
    </row>
    <row r="402" spans="1:7">
      <c r="A402" s="35">
        <v>3</v>
      </c>
      <c r="B402" s="35" t="s">
        <v>292</v>
      </c>
      <c r="C402" s="35" t="s">
        <v>540</v>
      </c>
      <c r="D402" s="35">
        <v>85.2</v>
      </c>
      <c r="E402" s="35" t="s">
        <v>292</v>
      </c>
      <c r="F402" s="35">
        <v>255.6</v>
      </c>
    </row>
    <row r="403" spans="1:7">
      <c r="A403" s="35">
        <v>1</v>
      </c>
      <c r="B403" s="35" t="s">
        <v>292</v>
      </c>
      <c r="C403" s="35" t="s">
        <v>541</v>
      </c>
      <c r="D403" s="35">
        <v>351.95</v>
      </c>
      <c r="E403" s="35" t="s">
        <v>292</v>
      </c>
      <c r="F403" s="35">
        <v>351.95</v>
      </c>
    </row>
    <row r="404" spans="1:7">
      <c r="A404" s="35">
        <v>1</v>
      </c>
      <c r="B404" s="35" t="s">
        <v>292</v>
      </c>
      <c r="C404" s="35" t="s">
        <v>542</v>
      </c>
      <c r="D404" s="35">
        <v>25</v>
      </c>
      <c r="E404" s="35" t="s">
        <v>543</v>
      </c>
      <c r="F404" s="35">
        <v>25</v>
      </c>
    </row>
    <row r="405" spans="1:7">
      <c r="A405" s="35"/>
      <c r="B405" s="35"/>
      <c r="C405" s="35" t="s">
        <v>544</v>
      </c>
      <c r="D405" s="35"/>
      <c r="E405" s="35"/>
      <c r="F405" s="35">
        <v>704.67</v>
      </c>
    </row>
    <row r="406" spans="1:7">
      <c r="A406" s="35"/>
      <c r="B406" s="35"/>
      <c r="C406" s="35" t="s">
        <v>545</v>
      </c>
      <c r="D406" s="35"/>
      <c r="E406" s="35"/>
      <c r="F406" s="35">
        <v>8.1199999999999992</v>
      </c>
    </row>
    <row r="407" spans="1:7">
      <c r="A407" s="35"/>
      <c r="B407" s="35"/>
      <c r="C407" s="35" t="s">
        <v>546</v>
      </c>
      <c r="D407" s="35"/>
      <c r="E407" s="35"/>
      <c r="F407" s="35">
        <v>1345.34</v>
      </c>
    </row>
    <row r="409" spans="1:7">
      <c r="A409" s="35"/>
      <c r="B409" s="35"/>
      <c r="C409" s="35" t="s">
        <v>547</v>
      </c>
      <c r="D409" s="35"/>
      <c r="E409" s="35"/>
      <c r="F409" s="35"/>
      <c r="G409" s="35"/>
    </row>
    <row r="410" spans="1:7">
      <c r="A410" s="35"/>
      <c r="B410" s="35"/>
      <c r="C410" s="35" t="s">
        <v>548</v>
      </c>
      <c r="D410" s="35"/>
      <c r="E410" s="35"/>
      <c r="F410" s="35"/>
      <c r="G410" s="35"/>
    </row>
    <row r="411" spans="1:7">
      <c r="A411" s="35"/>
      <c r="B411" s="35"/>
      <c r="C411" s="35"/>
      <c r="D411" s="35"/>
      <c r="E411" s="35"/>
      <c r="F411" s="35"/>
      <c r="G411" s="35"/>
    </row>
    <row r="412" spans="1:7" ht="57.75" customHeight="1">
      <c r="A412" s="35"/>
      <c r="B412" s="316" t="s">
        <v>549</v>
      </c>
      <c r="C412" s="316"/>
      <c r="D412" s="316"/>
      <c r="E412" s="316"/>
      <c r="F412" s="316"/>
      <c r="G412" s="35"/>
    </row>
    <row r="413" spans="1:7">
      <c r="A413" s="35">
        <v>1</v>
      </c>
      <c r="B413" s="35" t="s">
        <v>31</v>
      </c>
      <c r="C413" s="35" t="s">
        <v>550</v>
      </c>
      <c r="D413" s="35">
        <v>163</v>
      </c>
      <c r="E413" s="35" t="s">
        <v>31</v>
      </c>
      <c r="F413" s="35">
        <v>163</v>
      </c>
      <c r="G413" s="35"/>
    </row>
    <row r="414" spans="1:7">
      <c r="A414" s="35"/>
      <c r="B414" s="35"/>
      <c r="C414" s="35" t="s">
        <v>331</v>
      </c>
      <c r="D414" s="35"/>
      <c r="E414" s="35"/>
      <c r="F414" s="35">
        <v>2</v>
      </c>
      <c r="G414" s="35"/>
    </row>
    <row r="415" spans="1:7">
      <c r="A415" s="35"/>
      <c r="B415" s="35"/>
      <c r="C415" s="35" t="s">
        <v>551</v>
      </c>
      <c r="D415" s="35"/>
      <c r="E415" s="35"/>
      <c r="F415" s="35">
        <v>165</v>
      </c>
      <c r="G415" s="35"/>
    </row>
    <row r="416" spans="1:7">
      <c r="A416" s="35"/>
      <c r="B416" s="35"/>
      <c r="C416" s="35"/>
      <c r="D416" s="35"/>
      <c r="E416" s="35"/>
      <c r="F416" s="35"/>
      <c r="G416" s="35"/>
    </row>
    <row r="417" spans="1:7">
      <c r="A417" s="35"/>
      <c r="B417" s="35"/>
      <c r="C417" s="35" t="s">
        <v>552</v>
      </c>
      <c r="D417" s="35"/>
      <c r="E417" s="35"/>
      <c r="F417" s="35"/>
      <c r="G417" s="35"/>
    </row>
    <row r="419" spans="1:7">
      <c r="A419" s="35"/>
      <c r="B419" s="35"/>
      <c r="C419" s="35" t="s">
        <v>553</v>
      </c>
      <c r="D419" s="35"/>
      <c r="E419" s="35"/>
      <c r="F419" s="35"/>
    </row>
    <row r="420" spans="1:7">
      <c r="A420" s="35"/>
      <c r="B420" s="35"/>
      <c r="C420" s="35"/>
      <c r="D420" s="35"/>
      <c r="E420" s="35"/>
      <c r="F420" s="35"/>
    </row>
    <row r="421" spans="1:7">
      <c r="A421" s="35"/>
      <c r="B421" s="35"/>
      <c r="C421" s="35" t="s">
        <v>554</v>
      </c>
      <c r="D421" s="35"/>
      <c r="E421" s="35"/>
      <c r="F421" s="35"/>
    </row>
    <row r="422" spans="1:7">
      <c r="A422" s="35">
        <v>360</v>
      </c>
      <c r="B422" s="35"/>
      <c r="C422" s="35" t="s">
        <v>555</v>
      </c>
      <c r="D422" s="35">
        <v>40.950000000000003</v>
      </c>
      <c r="E422" s="35" t="s">
        <v>289</v>
      </c>
      <c r="F422" s="35">
        <v>14742</v>
      </c>
    </row>
    <row r="423" spans="1:7">
      <c r="A423" s="35">
        <v>90</v>
      </c>
      <c r="B423" s="35"/>
      <c r="C423" s="35" t="s">
        <v>556</v>
      </c>
      <c r="D423" s="35">
        <v>29.8</v>
      </c>
      <c r="E423" s="35" t="s">
        <v>31</v>
      </c>
      <c r="F423" s="35">
        <v>2682</v>
      </c>
    </row>
    <row r="424" spans="1:7">
      <c r="A424" s="35">
        <v>3</v>
      </c>
      <c r="B424" s="35"/>
      <c r="C424" s="35" t="s">
        <v>306</v>
      </c>
      <c r="D424" s="35">
        <v>302</v>
      </c>
      <c r="E424" s="35" t="s">
        <v>305</v>
      </c>
      <c r="F424" s="35">
        <v>906</v>
      </c>
    </row>
    <row r="425" spans="1:7">
      <c r="A425" s="35">
        <v>90</v>
      </c>
      <c r="B425" s="35"/>
      <c r="C425" s="35" t="s">
        <v>557</v>
      </c>
      <c r="D425" s="35">
        <v>25.75</v>
      </c>
      <c r="E425" s="35" t="s">
        <v>289</v>
      </c>
      <c r="F425" s="35">
        <v>2317.5</v>
      </c>
    </row>
    <row r="426" spans="1:7">
      <c r="A426" s="35"/>
      <c r="B426" s="35"/>
      <c r="C426" s="35" t="s">
        <v>315</v>
      </c>
      <c r="D426" s="35"/>
      <c r="E426" s="35"/>
      <c r="F426" s="35">
        <v>15892.5</v>
      </c>
    </row>
    <row r="427" spans="1:7">
      <c r="A427" s="35"/>
      <c r="B427" s="35"/>
      <c r="C427" s="35" t="s">
        <v>331</v>
      </c>
      <c r="D427" s="35"/>
      <c r="E427" s="35"/>
      <c r="F427" s="35">
        <v>97.5</v>
      </c>
    </row>
    <row r="428" spans="1:7">
      <c r="A428" s="35"/>
      <c r="B428" s="35"/>
      <c r="C428" s="35" t="s">
        <v>356</v>
      </c>
      <c r="D428" s="35"/>
      <c r="E428" s="35"/>
      <c r="F428" s="35">
        <v>36637.5</v>
      </c>
    </row>
    <row r="429" spans="1:7">
      <c r="A429" s="35"/>
      <c r="B429" s="35"/>
      <c r="C429" s="35" t="s">
        <v>357</v>
      </c>
      <c r="D429" s="35"/>
      <c r="E429" s="35"/>
      <c r="F429" s="35">
        <v>407.08</v>
      </c>
    </row>
    <row r="430" spans="1:7">
      <c r="A430" s="35"/>
      <c r="B430" s="35"/>
      <c r="C430" s="35"/>
      <c r="D430" s="35"/>
      <c r="E430" s="35"/>
      <c r="F430" s="35"/>
    </row>
    <row r="431" spans="1:7">
      <c r="A431" s="35"/>
      <c r="B431" s="35"/>
      <c r="C431" s="35" t="s">
        <v>358</v>
      </c>
      <c r="D431" s="35"/>
      <c r="E431" s="35"/>
      <c r="F431" s="35"/>
    </row>
    <row r="432" spans="1:7">
      <c r="A432" s="35"/>
      <c r="B432" s="35"/>
      <c r="C432" s="35"/>
      <c r="D432" s="35"/>
      <c r="E432" s="35"/>
      <c r="F432" s="35"/>
    </row>
    <row r="433" spans="1:6">
      <c r="A433" s="35"/>
      <c r="B433" s="35"/>
      <c r="C433" s="35" t="s">
        <v>359</v>
      </c>
      <c r="D433" s="35"/>
      <c r="E433" s="35"/>
      <c r="F433" s="35"/>
    </row>
    <row r="434" spans="1:6">
      <c r="A434" s="35"/>
      <c r="B434" s="35"/>
      <c r="C434" s="35"/>
      <c r="D434" s="35"/>
      <c r="E434" s="35"/>
      <c r="F434" s="35"/>
    </row>
    <row r="435" spans="1:6">
      <c r="A435" s="35"/>
      <c r="B435" s="35"/>
      <c r="C435" s="35" t="s">
        <v>360</v>
      </c>
      <c r="D435" s="35"/>
      <c r="E435" s="35"/>
      <c r="F435" s="35">
        <v>11800</v>
      </c>
    </row>
    <row r="436" spans="1:6">
      <c r="A436" s="35">
        <v>180</v>
      </c>
      <c r="B436" s="35" t="s">
        <v>31</v>
      </c>
      <c r="C436" s="35" t="s">
        <v>361</v>
      </c>
      <c r="D436" s="35">
        <v>25.75</v>
      </c>
      <c r="E436" s="35" t="s">
        <v>31</v>
      </c>
      <c r="F436" s="35">
        <v>4635</v>
      </c>
    </row>
    <row r="437" spans="1:6">
      <c r="A437" s="35">
        <v>180</v>
      </c>
      <c r="B437" s="35" t="s">
        <v>31</v>
      </c>
      <c r="C437" s="35" t="s">
        <v>362</v>
      </c>
      <c r="D437" s="35">
        <v>16.55</v>
      </c>
      <c r="E437" s="35" t="s">
        <v>289</v>
      </c>
      <c r="F437" s="35">
        <v>2979</v>
      </c>
    </row>
    <row r="438" spans="1:6">
      <c r="A438" s="35"/>
      <c r="B438" s="35"/>
      <c r="C438" s="35" t="s">
        <v>331</v>
      </c>
      <c r="D438" s="35"/>
      <c r="E438" s="35"/>
      <c r="F438" s="35"/>
    </row>
    <row r="439" spans="1:6">
      <c r="A439" s="35"/>
      <c r="B439" s="35"/>
      <c r="C439" s="35" t="s">
        <v>363</v>
      </c>
      <c r="D439" s="35"/>
      <c r="E439" s="35"/>
      <c r="F439" s="35">
        <v>13456</v>
      </c>
    </row>
    <row r="440" spans="1:6">
      <c r="A440" s="35"/>
      <c r="B440" s="35"/>
      <c r="C440" s="35" t="s">
        <v>357</v>
      </c>
      <c r="D440" s="35"/>
      <c r="E440" s="35"/>
      <c r="F440" s="35">
        <v>149.51</v>
      </c>
    </row>
    <row r="441" spans="1:6">
      <c r="A441" s="35"/>
      <c r="B441" s="35"/>
      <c r="C441" s="35"/>
      <c r="D441" s="35"/>
      <c r="E441" s="35"/>
      <c r="F441" s="35"/>
    </row>
    <row r="443" spans="1:6">
      <c r="C443" t="s">
        <v>384</v>
      </c>
    </row>
    <row r="444" spans="1:6">
      <c r="A444">
        <v>11</v>
      </c>
      <c r="B444" s="35" t="s">
        <v>262</v>
      </c>
      <c r="C444" t="s">
        <v>385</v>
      </c>
      <c r="D444" s="35"/>
      <c r="E444" s="35" t="s">
        <v>262</v>
      </c>
      <c r="F444" s="54"/>
    </row>
    <row r="445" spans="1:6">
      <c r="A445">
        <v>2.2000000000000002</v>
      </c>
      <c r="B445" t="s">
        <v>194</v>
      </c>
      <c r="C445" t="s">
        <v>386</v>
      </c>
      <c r="D445" s="35">
        <v>1057.2</v>
      </c>
      <c r="E445" t="s">
        <v>194</v>
      </c>
      <c r="F445" s="54">
        <f>D445*A445</f>
        <v>2325.84</v>
      </c>
    </row>
    <row r="446" spans="1:6">
      <c r="A446">
        <v>1.1000000000000001</v>
      </c>
      <c r="B446" t="s">
        <v>194</v>
      </c>
      <c r="C446" t="s">
        <v>387</v>
      </c>
      <c r="D446" s="35">
        <v>1171.2</v>
      </c>
      <c r="E446" t="s">
        <v>194</v>
      </c>
      <c r="F446" s="54"/>
    </row>
    <row r="447" spans="1:6">
      <c r="A447">
        <v>1.1000000000000001</v>
      </c>
      <c r="B447" t="s">
        <v>194</v>
      </c>
      <c r="C447" s="35" t="s">
        <v>388</v>
      </c>
      <c r="D447" s="35">
        <v>741.6</v>
      </c>
      <c r="E447" t="s">
        <v>194</v>
      </c>
      <c r="F447" s="54">
        <f>D447*A447</f>
        <v>815.7600000000001</v>
      </c>
    </row>
    <row r="448" spans="1:6">
      <c r="B448" t="s">
        <v>389</v>
      </c>
      <c r="C448" t="s">
        <v>390</v>
      </c>
      <c r="D448" t="s">
        <v>389</v>
      </c>
      <c r="F448">
        <v>107.11</v>
      </c>
    </row>
    <row r="449" spans="3:6">
      <c r="C449" t="s">
        <v>391</v>
      </c>
      <c r="F449" s="54">
        <f>SUM(F445:F448)</f>
        <v>3248.7100000000005</v>
      </c>
    </row>
    <row r="450" spans="3:6">
      <c r="C450" t="s">
        <v>392</v>
      </c>
      <c r="F450" s="54">
        <f>F449/10</f>
        <v>324.87100000000004</v>
      </c>
    </row>
  </sheetData>
  <mergeCells count="8">
    <mergeCell ref="B400:F400"/>
    <mergeCell ref="B412:F412"/>
    <mergeCell ref="C279:G279"/>
    <mergeCell ref="C291:F291"/>
    <mergeCell ref="B316:E316"/>
    <mergeCell ref="B329:F329"/>
    <mergeCell ref="C348:F348"/>
    <mergeCell ref="C387:G387"/>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P3987"/>
  <sheetViews>
    <sheetView view="pageBreakPreview" zoomScale="82" zoomScaleSheetLayoutView="82" workbookViewId="0">
      <selection activeCell="F5" sqref="F5"/>
    </sheetView>
  </sheetViews>
  <sheetFormatPr defaultRowHeight="12.75"/>
  <cols>
    <col min="1" max="1" width="10.140625" style="211" customWidth="1"/>
    <col min="2" max="2" width="12.28515625" style="212" hidden="1" customWidth="1"/>
    <col min="3" max="3" width="73.5703125" style="191" customWidth="1"/>
    <col min="4" max="4" width="12.7109375" style="191" customWidth="1"/>
    <col min="5" max="5" width="10.5703125" style="212" customWidth="1"/>
    <col min="6" max="6" width="13.7109375" style="212" customWidth="1"/>
    <col min="7" max="7" width="15.28515625" style="212" customWidth="1"/>
    <col min="8" max="8" width="17.5703125" style="212" customWidth="1"/>
    <col min="9" max="9" width="19.28515625" style="212" customWidth="1"/>
    <col min="10" max="10" width="19.85546875" style="212" customWidth="1"/>
    <col min="11" max="11" width="21.7109375" style="191" customWidth="1"/>
    <col min="12" max="12" width="14.42578125" style="191" customWidth="1"/>
    <col min="13" max="13" width="10.140625" style="191" customWidth="1"/>
    <col min="14" max="14" width="15" style="191" customWidth="1"/>
    <col min="15" max="15" width="9.140625" style="191"/>
    <col min="16" max="16" width="14.85546875" style="191" customWidth="1"/>
    <col min="17" max="24" width="9.140625" style="191"/>
    <col min="25" max="25" width="13" style="191" customWidth="1"/>
    <col min="26" max="26" width="9.140625" style="191"/>
    <col min="27" max="27" width="16.140625" style="191" customWidth="1"/>
    <col min="28" max="28" width="9.140625" style="191"/>
    <col min="29" max="30" width="12.85546875" style="191" customWidth="1"/>
    <col min="31" max="31" width="14.28515625" style="191" customWidth="1"/>
    <col min="32" max="34" width="9.140625" style="191"/>
    <col min="35" max="35" width="16.28515625" style="191" customWidth="1"/>
    <col min="36" max="36" width="9.140625" style="191"/>
    <col min="37" max="38" width="12.85546875" style="191" customWidth="1"/>
    <col min="39" max="39" width="16.140625" style="191" customWidth="1"/>
    <col min="40" max="41" width="9.140625" style="191"/>
    <col min="42" max="42" width="12.5703125" style="191" customWidth="1"/>
    <col min="43" max="253" width="9.140625" style="191"/>
    <col min="254" max="254" width="7" style="191" customWidth="1"/>
    <col min="255" max="255" width="12" style="191" customWidth="1"/>
    <col min="256" max="256" width="69.28515625" style="191" customWidth="1"/>
    <col min="257" max="257" width="12.7109375" style="191" customWidth="1"/>
    <col min="258" max="258" width="8.28515625" style="191" customWidth="1"/>
    <col min="259" max="259" width="17.85546875" style="191" customWidth="1"/>
    <col min="260" max="260" width="24.42578125" style="191" customWidth="1"/>
    <col min="261" max="261" width="10.7109375" style="191" customWidth="1"/>
    <col min="262" max="262" width="13.7109375" style="191" customWidth="1"/>
    <col min="263" max="263" width="22" style="191" customWidth="1"/>
    <col min="264" max="264" width="13.85546875" style="191" customWidth="1"/>
    <col min="265" max="265" width="9.140625" style="191"/>
    <col min="266" max="266" width="14.42578125" style="191" customWidth="1"/>
    <col min="267" max="267" width="9.28515625" style="191" customWidth="1"/>
    <col min="268" max="268" width="14.42578125" style="191" customWidth="1"/>
    <col min="269" max="269" width="10.140625" style="191" customWidth="1"/>
    <col min="270" max="270" width="15" style="191" customWidth="1"/>
    <col min="271" max="271" width="9.140625" style="191"/>
    <col min="272" max="272" width="14.85546875" style="191" customWidth="1"/>
    <col min="273" max="280" width="9.140625" style="191"/>
    <col min="281" max="281" width="13" style="191" customWidth="1"/>
    <col min="282" max="282" width="9.140625" style="191"/>
    <col min="283" max="283" width="16.140625" style="191" customWidth="1"/>
    <col min="284" max="284" width="9.140625" style="191"/>
    <col min="285" max="286" width="12.85546875" style="191" customWidth="1"/>
    <col min="287" max="287" width="14.28515625" style="191" customWidth="1"/>
    <col min="288" max="290" width="9.140625" style="191"/>
    <col min="291" max="291" width="16.28515625" style="191" customWidth="1"/>
    <col min="292" max="292" width="9.140625" style="191"/>
    <col min="293" max="294" width="12.85546875" style="191" customWidth="1"/>
    <col min="295" max="295" width="16.140625" style="191" customWidth="1"/>
    <col min="296" max="297" width="9.140625" style="191"/>
    <col min="298" max="298" width="12.5703125" style="191" customWidth="1"/>
    <col min="299" max="509" width="9.140625" style="191"/>
    <col min="510" max="510" width="7" style="191" customWidth="1"/>
    <col min="511" max="511" width="12" style="191" customWidth="1"/>
    <col min="512" max="512" width="69.28515625" style="191" customWidth="1"/>
    <col min="513" max="513" width="12.7109375" style="191" customWidth="1"/>
    <col min="514" max="514" width="8.28515625" style="191" customWidth="1"/>
    <col min="515" max="515" width="17.85546875" style="191" customWidth="1"/>
    <col min="516" max="516" width="24.42578125" style="191" customWidth="1"/>
    <col min="517" max="517" width="10.7109375" style="191" customWidth="1"/>
    <col min="518" max="518" width="13.7109375" style="191" customWidth="1"/>
    <col min="519" max="519" width="22" style="191" customWidth="1"/>
    <col min="520" max="520" width="13.85546875" style="191" customWidth="1"/>
    <col min="521" max="521" width="9.140625" style="191"/>
    <col min="522" max="522" width="14.42578125" style="191" customWidth="1"/>
    <col min="523" max="523" width="9.28515625" style="191" customWidth="1"/>
    <col min="524" max="524" width="14.42578125" style="191" customWidth="1"/>
    <col min="525" max="525" width="10.140625" style="191" customWidth="1"/>
    <col min="526" max="526" width="15" style="191" customWidth="1"/>
    <col min="527" max="527" width="9.140625" style="191"/>
    <col min="528" max="528" width="14.85546875" style="191" customWidth="1"/>
    <col min="529" max="536" width="9.140625" style="191"/>
    <col min="537" max="537" width="13" style="191" customWidth="1"/>
    <col min="538" max="538" width="9.140625" style="191"/>
    <col min="539" max="539" width="16.140625" style="191" customWidth="1"/>
    <col min="540" max="540" width="9.140625" style="191"/>
    <col min="541" max="542" width="12.85546875" style="191" customWidth="1"/>
    <col min="543" max="543" width="14.28515625" style="191" customWidth="1"/>
    <col min="544" max="546" width="9.140625" style="191"/>
    <col min="547" max="547" width="16.28515625" style="191" customWidth="1"/>
    <col min="548" max="548" width="9.140625" style="191"/>
    <col min="549" max="550" width="12.85546875" style="191" customWidth="1"/>
    <col min="551" max="551" width="16.140625" style="191" customWidth="1"/>
    <col min="552" max="553" width="9.140625" style="191"/>
    <col min="554" max="554" width="12.5703125" style="191" customWidth="1"/>
    <col min="555" max="765" width="9.140625" style="191"/>
    <col min="766" max="766" width="7" style="191" customWidth="1"/>
    <col min="767" max="767" width="12" style="191" customWidth="1"/>
    <col min="768" max="768" width="69.28515625" style="191" customWidth="1"/>
    <col min="769" max="769" width="12.7109375" style="191" customWidth="1"/>
    <col min="770" max="770" width="8.28515625" style="191" customWidth="1"/>
    <col min="771" max="771" width="17.85546875" style="191" customWidth="1"/>
    <col min="772" max="772" width="24.42578125" style="191" customWidth="1"/>
    <col min="773" max="773" width="10.7109375" style="191" customWidth="1"/>
    <col min="774" max="774" width="13.7109375" style="191" customWidth="1"/>
    <col min="775" max="775" width="22" style="191" customWidth="1"/>
    <col min="776" max="776" width="13.85546875" style="191" customWidth="1"/>
    <col min="777" max="777" width="9.140625" style="191"/>
    <col min="778" max="778" width="14.42578125" style="191" customWidth="1"/>
    <col min="779" max="779" width="9.28515625" style="191" customWidth="1"/>
    <col min="780" max="780" width="14.42578125" style="191" customWidth="1"/>
    <col min="781" max="781" width="10.140625" style="191" customWidth="1"/>
    <col min="782" max="782" width="15" style="191" customWidth="1"/>
    <col min="783" max="783" width="9.140625" style="191"/>
    <col min="784" max="784" width="14.85546875" style="191" customWidth="1"/>
    <col min="785" max="792" width="9.140625" style="191"/>
    <col min="793" max="793" width="13" style="191" customWidth="1"/>
    <col min="794" max="794" width="9.140625" style="191"/>
    <col min="795" max="795" width="16.140625" style="191" customWidth="1"/>
    <col min="796" max="796" width="9.140625" style="191"/>
    <col min="797" max="798" width="12.85546875" style="191" customWidth="1"/>
    <col min="799" max="799" width="14.28515625" style="191" customWidth="1"/>
    <col min="800" max="802" width="9.140625" style="191"/>
    <col min="803" max="803" width="16.28515625" style="191" customWidth="1"/>
    <col min="804" max="804" width="9.140625" style="191"/>
    <col min="805" max="806" width="12.85546875" style="191" customWidth="1"/>
    <col min="807" max="807" width="16.140625" style="191" customWidth="1"/>
    <col min="808" max="809" width="9.140625" style="191"/>
    <col min="810" max="810" width="12.5703125" style="191" customWidth="1"/>
    <col min="811" max="1021" width="9.140625" style="191"/>
    <col min="1022" max="1022" width="7" style="191" customWidth="1"/>
    <col min="1023" max="1023" width="12" style="191" customWidth="1"/>
    <col min="1024" max="1024" width="69.28515625" style="191" customWidth="1"/>
    <col min="1025" max="1025" width="12.7109375" style="191" customWidth="1"/>
    <col min="1026" max="1026" width="8.28515625" style="191" customWidth="1"/>
    <col min="1027" max="1027" width="17.85546875" style="191" customWidth="1"/>
    <col min="1028" max="1028" width="24.42578125" style="191" customWidth="1"/>
    <col min="1029" max="1029" width="10.7109375" style="191" customWidth="1"/>
    <col min="1030" max="1030" width="13.7109375" style="191" customWidth="1"/>
    <col min="1031" max="1031" width="22" style="191" customWidth="1"/>
    <col min="1032" max="1032" width="13.85546875" style="191" customWidth="1"/>
    <col min="1033" max="1033" width="9.140625" style="191"/>
    <col min="1034" max="1034" width="14.42578125" style="191" customWidth="1"/>
    <col min="1035" max="1035" width="9.28515625" style="191" customWidth="1"/>
    <col min="1036" max="1036" width="14.42578125" style="191" customWidth="1"/>
    <col min="1037" max="1037" width="10.140625" style="191" customWidth="1"/>
    <col min="1038" max="1038" width="15" style="191" customWidth="1"/>
    <col min="1039" max="1039" width="9.140625" style="191"/>
    <col min="1040" max="1040" width="14.85546875" style="191" customWidth="1"/>
    <col min="1041" max="1048" width="9.140625" style="191"/>
    <col min="1049" max="1049" width="13" style="191" customWidth="1"/>
    <col min="1050" max="1050" width="9.140625" style="191"/>
    <col min="1051" max="1051" width="16.140625" style="191" customWidth="1"/>
    <col min="1052" max="1052" width="9.140625" style="191"/>
    <col min="1053" max="1054" width="12.85546875" style="191" customWidth="1"/>
    <col min="1055" max="1055" width="14.28515625" style="191" customWidth="1"/>
    <col min="1056" max="1058" width="9.140625" style="191"/>
    <col min="1059" max="1059" width="16.28515625" style="191" customWidth="1"/>
    <col min="1060" max="1060" width="9.140625" style="191"/>
    <col min="1061" max="1062" width="12.85546875" style="191" customWidth="1"/>
    <col min="1063" max="1063" width="16.140625" style="191" customWidth="1"/>
    <col min="1064" max="1065" width="9.140625" style="191"/>
    <col min="1066" max="1066" width="12.5703125" style="191" customWidth="1"/>
    <col min="1067" max="1277" width="9.140625" style="191"/>
    <col min="1278" max="1278" width="7" style="191" customWidth="1"/>
    <col min="1279" max="1279" width="12" style="191" customWidth="1"/>
    <col min="1280" max="1280" width="69.28515625" style="191" customWidth="1"/>
    <col min="1281" max="1281" width="12.7109375" style="191" customWidth="1"/>
    <col min="1282" max="1282" width="8.28515625" style="191" customWidth="1"/>
    <col min="1283" max="1283" width="17.85546875" style="191" customWidth="1"/>
    <col min="1284" max="1284" width="24.42578125" style="191" customWidth="1"/>
    <col min="1285" max="1285" width="10.7109375" style="191" customWidth="1"/>
    <col min="1286" max="1286" width="13.7109375" style="191" customWidth="1"/>
    <col min="1287" max="1287" width="22" style="191" customWidth="1"/>
    <col min="1288" max="1288" width="13.85546875" style="191" customWidth="1"/>
    <col min="1289" max="1289" width="9.140625" style="191"/>
    <col min="1290" max="1290" width="14.42578125" style="191" customWidth="1"/>
    <col min="1291" max="1291" width="9.28515625" style="191" customWidth="1"/>
    <col min="1292" max="1292" width="14.42578125" style="191" customWidth="1"/>
    <col min="1293" max="1293" width="10.140625" style="191" customWidth="1"/>
    <col min="1294" max="1294" width="15" style="191" customWidth="1"/>
    <col min="1295" max="1295" width="9.140625" style="191"/>
    <col min="1296" max="1296" width="14.85546875" style="191" customWidth="1"/>
    <col min="1297" max="1304" width="9.140625" style="191"/>
    <col min="1305" max="1305" width="13" style="191" customWidth="1"/>
    <col min="1306" max="1306" width="9.140625" style="191"/>
    <col min="1307" max="1307" width="16.140625" style="191" customWidth="1"/>
    <col min="1308" max="1308" width="9.140625" style="191"/>
    <col min="1309" max="1310" width="12.85546875" style="191" customWidth="1"/>
    <col min="1311" max="1311" width="14.28515625" style="191" customWidth="1"/>
    <col min="1312" max="1314" width="9.140625" style="191"/>
    <col min="1315" max="1315" width="16.28515625" style="191" customWidth="1"/>
    <col min="1316" max="1316" width="9.140625" style="191"/>
    <col min="1317" max="1318" width="12.85546875" style="191" customWidth="1"/>
    <col min="1319" max="1319" width="16.140625" style="191" customWidth="1"/>
    <col min="1320" max="1321" width="9.140625" style="191"/>
    <col min="1322" max="1322" width="12.5703125" style="191" customWidth="1"/>
    <col min="1323" max="1533" width="9.140625" style="191"/>
    <col min="1534" max="1534" width="7" style="191" customWidth="1"/>
    <col min="1535" max="1535" width="12" style="191" customWidth="1"/>
    <col min="1536" max="1536" width="69.28515625" style="191" customWidth="1"/>
    <col min="1537" max="1537" width="12.7109375" style="191" customWidth="1"/>
    <col min="1538" max="1538" width="8.28515625" style="191" customWidth="1"/>
    <col min="1539" max="1539" width="17.85546875" style="191" customWidth="1"/>
    <col min="1540" max="1540" width="24.42578125" style="191" customWidth="1"/>
    <col min="1541" max="1541" width="10.7109375" style="191" customWidth="1"/>
    <col min="1542" max="1542" width="13.7109375" style="191" customWidth="1"/>
    <col min="1543" max="1543" width="22" style="191" customWidth="1"/>
    <col min="1544" max="1544" width="13.85546875" style="191" customWidth="1"/>
    <col min="1545" max="1545" width="9.140625" style="191"/>
    <col min="1546" max="1546" width="14.42578125" style="191" customWidth="1"/>
    <col min="1547" max="1547" width="9.28515625" style="191" customWidth="1"/>
    <col min="1548" max="1548" width="14.42578125" style="191" customWidth="1"/>
    <col min="1549" max="1549" width="10.140625" style="191" customWidth="1"/>
    <col min="1550" max="1550" width="15" style="191" customWidth="1"/>
    <col min="1551" max="1551" width="9.140625" style="191"/>
    <col min="1552" max="1552" width="14.85546875" style="191" customWidth="1"/>
    <col min="1553" max="1560" width="9.140625" style="191"/>
    <col min="1561" max="1561" width="13" style="191" customWidth="1"/>
    <col min="1562" max="1562" width="9.140625" style="191"/>
    <col min="1563" max="1563" width="16.140625" style="191" customWidth="1"/>
    <col min="1564" max="1564" width="9.140625" style="191"/>
    <col min="1565" max="1566" width="12.85546875" style="191" customWidth="1"/>
    <col min="1567" max="1567" width="14.28515625" style="191" customWidth="1"/>
    <col min="1568" max="1570" width="9.140625" style="191"/>
    <col min="1571" max="1571" width="16.28515625" style="191" customWidth="1"/>
    <col min="1572" max="1572" width="9.140625" style="191"/>
    <col min="1573" max="1574" width="12.85546875" style="191" customWidth="1"/>
    <col min="1575" max="1575" width="16.140625" style="191" customWidth="1"/>
    <col min="1576" max="1577" width="9.140625" style="191"/>
    <col min="1578" max="1578" width="12.5703125" style="191" customWidth="1"/>
    <col min="1579" max="1789" width="9.140625" style="191"/>
    <col min="1790" max="1790" width="7" style="191" customWidth="1"/>
    <col min="1791" max="1791" width="12" style="191" customWidth="1"/>
    <col min="1792" max="1792" width="69.28515625" style="191" customWidth="1"/>
    <col min="1793" max="1793" width="12.7109375" style="191" customWidth="1"/>
    <col min="1794" max="1794" width="8.28515625" style="191" customWidth="1"/>
    <col min="1795" max="1795" width="17.85546875" style="191" customWidth="1"/>
    <col min="1796" max="1796" width="24.42578125" style="191" customWidth="1"/>
    <col min="1797" max="1797" width="10.7109375" style="191" customWidth="1"/>
    <col min="1798" max="1798" width="13.7109375" style="191" customWidth="1"/>
    <col min="1799" max="1799" width="22" style="191" customWidth="1"/>
    <col min="1800" max="1800" width="13.85546875" style="191" customWidth="1"/>
    <col min="1801" max="1801" width="9.140625" style="191"/>
    <col min="1802" max="1802" width="14.42578125" style="191" customWidth="1"/>
    <col min="1803" max="1803" width="9.28515625" style="191" customWidth="1"/>
    <col min="1804" max="1804" width="14.42578125" style="191" customWidth="1"/>
    <col min="1805" max="1805" width="10.140625" style="191" customWidth="1"/>
    <col min="1806" max="1806" width="15" style="191" customWidth="1"/>
    <col min="1807" max="1807" width="9.140625" style="191"/>
    <col min="1808" max="1808" width="14.85546875" style="191" customWidth="1"/>
    <col min="1809" max="1816" width="9.140625" style="191"/>
    <col min="1817" max="1817" width="13" style="191" customWidth="1"/>
    <col min="1818" max="1818" width="9.140625" style="191"/>
    <col min="1819" max="1819" width="16.140625" style="191" customWidth="1"/>
    <col min="1820" max="1820" width="9.140625" style="191"/>
    <col min="1821" max="1822" width="12.85546875" style="191" customWidth="1"/>
    <col min="1823" max="1823" width="14.28515625" style="191" customWidth="1"/>
    <col min="1824" max="1826" width="9.140625" style="191"/>
    <col min="1827" max="1827" width="16.28515625" style="191" customWidth="1"/>
    <col min="1828" max="1828" width="9.140625" style="191"/>
    <col min="1829" max="1830" width="12.85546875" style="191" customWidth="1"/>
    <col min="1831" max="1831" width="16.140625" style="191" customWidth="1"/>
    <col min="1832" max="1833" width="9.140625" style="191"/>
    <col min="1834" max="1834" width="12.5703125" style="191" customWidth="1"/>
    <col min="1835" max="2045" width="9.140625" style="191"/>
    <col min="2046" max="2046" width="7" style="191" customWidth="1"/>
    <col min="2047" max="2047" width="12" style="191" customWidth="1"/>
    <col min="2048" max="2048" width="69.28515625" style="191" customWidth="1"/>
    <col min="2049" max="2049" width="12.7109375" style="191" customWidth="1"/>
    <col min="2050" max="2050" width="8.28515625" style="191" customWidth="1"/>
    <col min="2051" max="2051" width="17.85546875" style="191" customWidth="1"/>
    <col min="2052" max="2052" width="24.42578125" style="191" customWidth="1"/>
    <col min="2053" max="2053" width="10.7109375" style="191" customWidth="1"/>
    <col min="2054" max="2054" width="13.7109375" style="191" customWidth="1"/>
    <col min="2055" max="2055" width="22" style="191" customWidth="1"/>
    <col min="2056" max="2056" width="13.85546875" style="191" customWidth="1"/>
    <col min="2057" max="2057" width="9.140625" style="191"/>
    <col min="2058" max="2058" width="14.42578125" style="191" customWidth="1"/>
    <col min="2059" max="2059" width="9.28515625" style="191" customWidth="1"/>
    <col min="2060" max="2060" width="14.42578125" style="191" customWidth="1"/>
    <col min="2061" max="2061" width="10.140625" style="191" customWidth="1"/>
    <col min="2062" max="2062" width="15" style="191" customWidth="1"/>
    <col min="2063" max="2063" width="9.140625" style="191"/>
    <col min="2064" max="2064" width="14.85546875" style="191" customWidth="1"/>
    <col min="2065" max="2072" width="9.140625" style="191"/>
    <col min="2073" max="2073" width="13" style="191" customWidth="1"/>
    <col min="2074" max="2074" width="9.140625" style="191"/>
    <col min="2075" max="2075" width="16.140625" style="191" customWidth="1"/>
    <col min="2076" max="2076" width="9.140625" style="191"/>
    <col min="2077" max="2078" width="12.85546875" style="191" customWidth="1"/>
    <col min="2079" max="2079" width="14.28515625" style="191" customWidth="1"/>
    <col min="2080" max="2082" width="9.140625" style="191"/>
    <col min="2083" max="2083" width="16.28515625" style="191" customWidth="1"/>
    <col min="2084" max="2084" width="9.140625" style="191"/>
    <col min="2085" max="2086" width="12.85546875" style="191" customWidth="1"/>
    <col min="2087" max="2087" width="16.140625" style="191" customWidth="1"/>
    <col min="2088" max="2089" width="9.140625" style="191"/>
    <col min="2090" max="2090" width="12.5703125" style="191" customWidth="1"/>
    <col min="2091" max="2301" width="9.140625" style="191"/>
    <col min="2302" max="2302" width="7" style="191" customWidth="1"/>
    <col min="2303" max="2303" width="12" style="191" customWidth="1"/>
    <col min="2304" max="2304" width="69.28515625" style="191" customWidth="1"/>
    <col min="2305" max="2305" width="12.7109375" style="191" customWidth="1"/>
    <col min="2306" max="2306" width="8.28515625" style="191" customWidth="1"/>
    <col min="2307" max="2307" width="17.85546875" style="191" customWidth="1"/>
    <col min="2308" max="2308" width="24.42578125" style="191" customWidth="1"/>
    <col min="2309" max="2309" width="10.7109375" style="191" customWidth="1"/>
    <col min="2310" max="2310" width="13.7109375" style="191" customWidth="1"/>
    <col min="2311" max="2311" width="22" style="191" customWidth="1"/>
    <col min="2312" max="2312" width="13.85546875" style="191" customWidth="1"/>
    <col min="2313" max="2313" width="9.140625" style="191"/>
    <col min="2314" max="2314" width="14.42578125" style="191" customWidth="1"/>
    <col min="2315" max="2315" width="9.28515625" style="191" customWidth="1"/>
    <col min="2316" max="2316" width="14.42578125" style="191" customWidth="1"/>
    <col min="2317" max="2317" width="10.140625" style="191" customWidth="1"/>
    <col min="2318" max="2318" width="15" style="191" customWidth="1"/>
    <col min="2319" max="2319" width="9.140625" style="191"/>
    <col min="2320" max="2320" width="14.85546875" style="191" customWidth="1"/>
    <col min="2321" max="2328" width="9.140625" style="191"/>
    <col min="2329" max="2329" width="13" style="191" customWidth="1"/>
    <col min="2330" max="2330" width="9.140625" style="191"/>
    <col min="2331" max="2331" width="16.140625" style="191" customWidth="1"/>
    <col min="2332" max="2332" width="9.140625" style="191"/>
    <col min="2333" max="2334" width="12.85546875" style="191" customWidth="1"/>
    <col min="2335" max="2335" width="14.28515625" style="191" customWidth="1"/>
    <col min="2336" max="2338" width="9.140625" style="191"/>
    <col min="2339" max="2339" width="16.28515625" style="191" customWidth="1"/>
    <col min="2340" max="2340" width="9.140625" style="191"/>
    <col min="2341" max="2342" width="12.85546875" style="191" customWidth="1"/>
    <col min="2343" max="2343" width="16.140625" style="191" customWidth="1"/>
    <col min="2344" max="2345" width="9.140625" style="191"/>
    <col min="2346" max="2346" width="12.5703125" style="191" customWidth="1"/>
    <col min="2347" max="2557" width="9.140625" style="191"/>
    <col min="2558" max="2558" width="7" style="191" customWidth="1"/>
    <col min="2559" max="2559" width="12" style="191" customWidth="1"/>
    <col min="2560" max="2560" width="69.28515625" style="191" customWidth="1"/>
    <col min="2561" max="2561" width="12.7109375" style="191" customWidth="1"/>
    <col min="2562" max="2562" width="8.28515625" style="191" customWidth="1"/>
    <col min="2563" max="2563" width="17.85546875" style="191" customWidth="1"/>
    <col min="2564" max="2564" width="24.42578125" style="191" customWidth="1"/>
    <col min="2565" max="2565" width="10.7109375" style="191" customWidth="1"/>
    <col min="2566" max="2566" width="13.7109375" style="191" customWidth="1"/>
    <col min="2567" max="2567" width="22" style="191" customWidth="1"/>
    <col min="2568" max="2568" width="13.85546875" style="191" customWidth="1"/>
    <col min="2569" max="2569" width="9.140625" style="191"/>
    <col min="2570" max="2570" width="14.42578125" style="191" customWidth="1"/>
    <col min="2571" max="2571" width="9.28515625" style="191" customWidth="1"/>
    <col min="2572" max="2572" width="14.42578125" style="191" customWidth="1"/>
    <col min="2573" max="2573" width="10.140625" style="191" customWidth="1"/>
    <col min="2574" max="2574" width="15" style="191" customWidth="1"/>
    <col min="2575" max="2575" width="9.140625" style="191"/>
    <col min="2576" max="2576" width="14.85546875" style="191" customWidth="1"/>
    <col min="2577" max="2584" width="9.140625" style="191"/>
    <col min="2585" max="2585" width="13" style="191" customWidth="1"/>
    <col min="2586" max="2586" width="9.140625" style="191"/>
    <col min="2587" max="2587" width="16.140625" style="191" customWidth="1"/>
    <col min="2588" max="2588" width="9.140625" style="191"/>
    <col min="2589" max="2590" width="12.85546875" style="191" customWidth="1"/>
    <col min="2591" max="2591" width="14.28515625" style="191" customWidth="1"/>
    <col min="2592" max="2594" width="9.140625" style="191"/>
    <col min="2595" max="2595" width="16.28515625" style="191" customWidth="1"/>
    <col min="2596" max="2596" width="9.140625" style="191"/>
    <col min="2597" max="2598" width="12.85546875" style="191" customWidth="1"/>
    <col min="2599" max="2599" width="16.140625" style="191" customWidth="1"/>
    <col min="2600" max="2601" width="9.140625" style="191"/>
    <col min="2602" max="2602" width="12.5703125" style="191" customWidth="1"/>
    <col min="2603" max="2813" width="9.140625" style="191"/>
    <col min="2814" max="2814" width="7" style="191" customWidth="1"/>
    <col min="2815" max="2815" width="12" style="191" customWidth="1"/>
    <col min="2816" max="2816" width="69.28515625" style="191" customWidth="1"/>
    <col min="2817" max="2817" width="12.7109375" style="191" customWidth="1"/>
    <col min="2818" max="2818" width="8.28515625" style="191" customWidth="1"/>
    <col min="2819" max="2819" width="17.85546875" style="191" customWidth="1"/>
    <col min="2820" max="2820" width="24.42578125" style="191" customWidth="1"/>
    <col min="2821" max="2821" width="10.7109375" style="191" customWidth="1"/>
    <col min="2822" max="2822" width="13.7109375" style="191" customWidth="1"/>
    <col min="2823" max="2823" width="22" style="191" customWidth="1"/>
    <col min="2824" max="2824" width="13.85546875" style="191" customWidth="1"/>
    <col min="2825" max="2825" width="9.140625" style="191"/>
    <col min="2826" max="2826" width="14.42578125" style="191" customWidth="1"/>
    <col min="2827" max="2827" width="9.28515625" style="191" customWidth="1"/>
    <col min="2828" max="2828" width="14.42578125" style="191" customWidth="1"/>
    <col min="2829" max="2829" width="10.140625" style="191" customWidth="1"/>
    <col min="2830" max="2830" width="15" style="191" customWidth="1"/>
    <col min="2831" max="2831" width="9.140625" style="191"/>
    <col min="2832" max="2832" width="14.85546875" style="191" customWidth="1"/>
    <col min="2833" max="2840" width="9.140625" style="191"/>
    <col min="2841" max="2841" width="13" style="191" customWidth="1"/>
    <col min="2842" max="2842" width="9.140625" style="191"/>
    <col min="2843" max="2843" width="16.140625" style="191" customWidth="1"/>
    <col min="2844" max="2844" width="9.140625" style="191"/>
    <col min="2845" max="2846" width="12.85546875" style="191" customWidth="1"/>
    <col min="2847" max="2847" width="14.28515625" style="191" customWidth="1"/>
    <col min="2848" max="2850" width="9.140625" style="191"/>
    <col min="2851" max="2851" width="16.28515625" style="191" customWidth="1"/>
    <col min="2852" max="2852" width="9.140625" style="191"/>
    <col min="2853" max="2854" width="12.85546875" style="191" customWidth="1"/>
    <col min="2855" max="2855" width="16.140625" style="191" customWidth="1"/>
    <col min="2856" max="2857" width="9.140625" style="191"/>
    <col min="2858" max="2858" width="12.5703125" style="191" customWidth="1"/>
    <col min="2859" max="3069" width="9.140625" style="191"/>
    <col min="3070" max="3070" width="7" style="191" customWidth="1"/>
    <col min="3071" max="3071" width="12" style="191" customWidth="1"/>
    <col min="3072" max="3072" width="69.28515625" style="191" customWidth="1"/>
    <col min="3073" max="3073" width="12.7109375" style="191" customWidth="1"/>
    <col min="3074" max="3074" width="8.28515625" style="191" customWidth="1"/>
    <col min="3075" max="3075" width="17.85546875" style="191" customWidth="1"/>
    <col min="3076" max="3076" width="24.42578125" style="191" customWidth="1"/>
    <col min="3077" max="3077" width="10.7109375" style="191" customWidth="1"/>
    <col min="3078" max="3078" width="13.7109375" style="191" customWidth="1"/>
    <col min="3079" max="3079" width="22" style="191" customWidth="1"/>
    <col min="3080" max="3080" width="13.85546875" style="191" customWidth="1"/>
    <col min="3081" max="3081" width="9.140625" style="191"/>
    <col min="3082" max="3082" width="14.42578125" style="191" customWidth="1"/>
    <col min="3083" max="3083" width="9.28515625" style="191" customWidth="1"/>
    <col min="3084" max="3084" width="14.42578125" style="191" customWidth="1"/>
    <col min="3085" max="3085" width="10.140625" style="191" customWidth="1"/>
    <col min="3086" max="3086" width="15" style="191" customWidth="1"/>
    <col min="3087" max="3087" width="9.140625" style="191"/>
    <col min="3088" max="3088" width="14.85546875" style="191" customWidth="1"/>
    <col min="3089" max="3096" width="9.140625" style="191"/>
    <col min="3097" max="3097" width="13" style="191" customWidth="1"/>
    <col min="3098" max="3098" width="9.140625" style="191"/>
    <col min="3099" max="3099" width="16.140625" style="191" customWidth="1"/>
    <col min="3100" max="3100" width="9.140625" style="191"/>
    <col min="3101" max="3102" width="12.85546875" style="191" customWidth="1"/>
    <col min="3103" max="3103" width="14.28515625" style="191" customWidth="1"/>
    <col min="3104" max="3106" width="9.140625" style="191"/>
    <col min="3107" max="3107" width="16.28515625" style="191" customWidth="1"/>
    <col min="3108" max="3108" width="9.140625" style="191"/>
    <col min="3109" max="3110" width="12.85546875" style="191" customWidth="1"/>
    <col min="3111" max="3111" width="16.140625" style="191" customWidth="1"/>
    <col min="3112" max="3113" width="9.140625" style="191"/>
    <col min="3114" max="3114" width="12.5703125" style="191" customWidth="1"/>
    <col min="3115" max="3325" width="9.140625" style="191"/>
    <col min="3326" max="3326" width="7" style="191" customWidth="1"/>
    <col min="3327" max="3327" width="12" style="191" customWidth="1"/>
    <col min="3328" max="3328" width="69.28515625" style="191" customWidth="1"/>
    <col min="3329" max="3329" width="12.7109375" style="191" customWidth="1"/>
    <col min="3330" max="3330" width="8.28515625" style="191" customWidth="1"/>
    <col min="3331" max="3331" width="17.85546875" style="191" customWidth="1"/>
    <col min="3332" max="3332" width="24.42578125" style="191" customWidth="1"/>
    <col min="3333" max="3333" width="10.7109375" style="191" customWidth="1"/>
    <col min="3334" max="3334" width="13.7109375" style="191" customWidth="1"/>
    <col min="3335" max="3335" width="22" style="191" customWidth="1"/>
    <col min="3336" max="3336" width="13.85546875" style="191" customWidth="1"/>
    <col min="3337" max="3337" width="9.140625" style="191"/>
    <col min="3338" max="3338" width="14.42578125" style="191" customWidth="1"/>
    <col min="3339" max="3339" width="9.28515625" style="191" customWidth="1"/>
    <col min="3340" max="3340" width="14.42578125" style="191" customWidth="1"/>
    <col min="3341" max="3341" width="10.140625" style="191" customWidth="1"/>
    <col min="3342" max="3342" width="15" style="191" customWidth="1"/>
    <col min="3343" max="3343" width="9.140625" style="191"/>
    <col min="3344" max="3344" width="14.85546875" style="191" customWidth="1"/>
    <col min="3345" max="3352" width="9.140625" style="191"/>
    <col min="3353" max="3353" width="13" style="191" customWidth="1"/>
    <col min="3354" max="3354" width="9.140625" style="191"/>
    <col min="3355" max="3355" width="16.140625" style="191" customWidth="1"/>
    <col min="3356" max="3356" width="9.140625" style="191"/>
    <col min="3357" max="3358" width="12.85546875" style="191" customWidth="1"/>
    <col min="3359" max="3359" width="14.28515625" style="191" customWidth="1"/>
    <col min="3360" max="3362" width="9.140625" style="191"/>
    <col min="3363" max="3363" width="16.28515625" style="191" customWidth="1"/>
    <col min="3364" max="3364" width="9.140625" style="191"/>
    <col min="3365" max="3366" width="12.85546875" style="191" customWidth="1"/>
    <col min="3367" max="3367" width="16.140625" style="191" customWidth="1"/>
    <col min="3368" max="3369" width="9.140625" style="191"/>
    <col min="3370" max="3370" width="12.5703125" style="191" customWidth="1"/>
    <col min="3371" max="3581" width="9.140625" style="191"/>
    <col min="3582" max="3582" width="7" style="191" customWidth="1"/>
    <col min="3583" max="3583" width="12" style="191" customWidth="1"/>
    <col min="3584" max="3584" width="69.28515625" style="191" customWidth="1"/>
    <col min="3585" max="3585" width="12.7109375" style="191" customWidth="1"/>
    <col min="3586" max="3586" width="8.28515625" style="191" customWidth="1"/>
    <col min="3587" max="3587" width="17.85546875" style="191" customWidth="1"/>
    <col min="3588" max="3588" width="24.42578125" style="191" customWidth="1"/>
    <col min="3589" max="3589" width="10.7109375" style="191" customWidth="1"/>
    <col min="3590" max="3590" width="13.7109375" style="191" customWidth="1"/>
    <col min="3591" max="3591" width="22" style="191" customWidth="1"/>
    <col min="3592" max="3592" width="13.85546875" style="191" customWidth="1"/>
    <col min="3593" max="3593" width="9.140625" style="191"/>
    <col min="3594" max="3594" width="14.42578125" style="191" customWidth="1"/>
    <col min="3595" max="3595" width="9.28515625" style="191" customWidth="1"/>
    <col min="3596" max="3596" width="14.42578125" style="191" customWidth="1"/>
    <col min="3597" max="3597" width="10.140625" style="191" customWidth="1"/>
    <col min="3598" max="3598" width="15" style="191" customWidth="1"/>
    <col min="3599" max="3599" width="9.140625" style="191"/>
    <col min="3600" max="3600" width="14.85546875" style="191" customWidth="1"/>
    <col min="3601" max="3608" width="9.140625" style="191"/>
    <col min="3609" max="3609" width="13" style="191" customWidth="1"/>
    <col min="3610" max="3610" width="9.140625" style="191"/>
    <col min="3611" max="3611" width="16.140625" style="191" customWidth="1"/>
    <col min="3612" max="3612" width="9.140625" style="191"/>
    <col min="3613" max="3614" width="12.85546875" style="191" customWidth="1"/>
    <col min="3615" max="3615" width="14.28515625" style="191" customWidth="1"/>
    <col min="3616" max="3618" width="9.140625" style="191"/>
    <col min="3619" max="3619" width="16.28515625" style="191" customWidth="1"/>
    <col min="3620" max="3620" width="9.140625" style="191"/>
    <col min="3621" max="3622" width="12.85546875" style="191" customWidth="1"/>
    <col min="3623" max="3623" width="16.140625" style="191" customWidth="1"/>
    <col min="3624" max="3625" width="9.140625" style="191"/>
    <col min="3626" max="3626" width="12.5703125" style="191" customWidth="1"/>
    <col min="3627" max="3837" width="9.140625" style="191"/>
    <col min="3838" max="3838" width="7" style="191" customWidth="1"/>
    <col min="3839" max="3839" width="12" style="191" customWidth="1"/>
    <col min="3840" max="3840" width="69.28515625" style="191" customWidth="1"/>
    <col min="3841" max="3841" width="12.7109375" style="191" customWidth="1"/>
    <col min="3842" max="3842" width="8.28515625" style="191" customWidth="1"/>
    <col min="3843" max="3843" width="17.85546875" style="191" customWidth="1"/>
    <col min="3844" max="3844" width="24.42578125" style="191" customWidth="1"/>
    <col min="3845" max="3845" width="10.7109375" style="191" customWidth="1"/>
    <col min="3846" max="3846" width="13.7109375" style="191" customWidth="1"/>
    <col min="3847" max="3847" width="22" style="191" customWidth="1"/>
    <col min="3848" max="3848" width="13.85546875" style="191" customWidth="1"/>
    <col min="3849" max="3849" width="9.140625" style="191"/>
    <col min="3850" max="3850" width="14.42578125" style="191" customWidth="1"/>
    <col min="3851" max="3851" width="9.28515625" style="191" customWidth="1"/>
    <col min="3852" max="3852" width="14.42578125" style="191" customWidth="1"/>
    <col min="3853" max="3853" width="10.140625" style="191" customWidth="1"/>
    <col min="3854" max="3854" width="15" style="191" customWidth="1"/>
    <col min="3855" max="3855" width="9.140625" style="191"/>
    <col min="3856" max="3856" width="14.85546875" style="191" customWidth="1"/>
    <col min="3857" max="3864" width="9.140625" style="191"/>
    <col min="3865" max="3865" width="13" style="191" customWidth="1"/>
    <col min="3866" max="3866" width="9.140625" style="191"/>
    <col min="3867" max="3867" width="16.140625" style="191" customWidth="1"/>
    <col min="3868" max="3868" width="9.140625" style="191"/>
    <col min="3869" max="3870" width="12.85546875" style="191" customWidth="1"/>
    <col min="3871" max="3871" width="14.28515625" style="191" customWidth="1"/>
    <col min="3872" max="3874" width="9.140625" style="191"/>
    <col min="3875" max="3875" width="16.28515625" style="191" customWidth="1"/>
    <col min="3876" max="3876" width="9.140625" style="191"/>
    <col min="3877" max="3878" width="12.85546875" style="191" customWidth="1"/>
    <col min="3879" max="3879" width="16.140625" style="191" customWidth="1"/>
    <col min="3880" max="3881" width="9.140625" style="191"/>
    <col min="3882" max="3882" width="12.5703125" style="191" customWidth="1"/>
    <col min="3883" max="4093" width="9.140625" style="191"/>
    <col min="4094" max="4094" width="7" style="191" customWidth="1"/>
    <col min="4095" max="4095" width="12" style="191" customWidth="1"/>
    <col min="4096" max="4096" width="69.28515625" style="191" customWidth="1"/>
    <col min="4097" max="4097" width="12.7109375" style="191" customWidth="1"/>
    <col min="4098" max="4098" width="8.28515625" style="191" customWidth="1"/>
    <col min="4099" max="4099" width="17.85546875" style="191" customWidth="1"/>
    <col min="4100" max="4100" width="24.42578125" style="191" customWidth="1"/>
    <col min="4101" max="4101" width="10.7109375" style="191" customWidth="1"/>
    <col min="4102" max="4102" width="13.7109375" style="191" customWidth="1"/>
    <col min="4103" max="4103" width="22" style="191" customWidth="1"/>
    <col min="4104" max="4104" width="13.85546875" style="191" customWidth="1"/>
    <col min="4105" max="4105" width="9.140625" style="191"/>
    <col min="4106" max="4106" width="14.42578125" style="191" customWidth="1"/>
    <col min="4107" max="4107" width="9.28515625" style="191" customWidth="1"/>
    <col min="4108" max="4108" width="14.42578125" style="191" customWidth="1"/>
    <col min="4109" max="4109" width="10.140625" style="191" customWidth="1"/>
    <col min="4110" max="4110" width="15" style="191" customWidth="1"/>
    <col min="4111" max="4111" width="9.140625" style="191"/>
    <col min="4112" max="4112" width="14.85546875" style="191" customWidth="1"/>
    <col min="4113" max="4120" width="9.140625" style="191"/>
    <col min="4121" max="4121" width="13" style="191" customWidth="1"/>
    <col min="4122" max="4122" width="9.140625" style="191"/>
    <col min="4123" max="4123" width="16.140625" style="191" customWidth="1"/>
    <col min="4124" max="4124" width="9.140625" style="191"/>
    <col min="4125" max="4126" width="12.85546875" style="191" customWidth="1"/>
    <col min="4127" max="4127" width="14.28515625" style="191" customWidth="1"/>
    <col min="4128" max="4130" width="9.140625" style="191"/>
    <col min="4131" max="4131" width="16.28515625" style="191" customWidth="1"/>
    <col min="4132" max="4132" width="9.140625" style="191"/>
    <col min="4133" max="4134" width="12.85546875" style="191" customWidth="1"/>
    <col min="4135" max="4135" width="16.140625" style="191" customWidth="1"/>
    <col min="4136" max="4137" width="9.140625" style="191"/>
    <col min="4138" max="4138" width="12.5703125" style="191" customWidth="1"/>
    <col min="4139" max="4349" width="9.140625" style="191"/>
    <col min="4350" max="4350" width="7" style="191" customWidth="1"/>
    <col min="4351" max="4351" width="12" style="191" customWidth="1"/>
    <col min="4352" max="4352" width="69.28515625" style="191" customWidth="1"/>
    <col min="4353" max="4353" width="12.7109375" style="191" customWidth="1"/>
    <col min="4354" max="4354" width="8.28515625" style="191" customWidth="1"/>
    <col min="4355" max="4355" width="17.85546875" style="191" customWidth="1"/>
    <col min="4356" max="4356" width="24.42578125" style="191" customWidth="1"/>
    <col min="4357" max="4357" width="10.7109375" style="191" customWidth="1"/>
    <col min="4358" max="4358" width="13.7109375" style="191" customWidth="1"/>
    <col min="4359" max="4359" width="22" style="191" customWidth="1"/>
    <col min="4360" max="4360" width="13.85546875" style="191" customWidth="1"/>
    <col min="4361" max="4361" width="9.140625" style="191"/>
    <col min="4362" max="4362" width="14.42578125" style="191" customWidth="1"/>
    <col min="4363" max="4363" width="9.28515625" style="191" customWidth="1"/>
    <col min="4364" max="4364" width="14.42578125" style="191" customWidth="1"/>
    <col min="4365" max="4365" width="10.140625" style="191" customWidth="1"/>
    <col min="4366" max="4366" width="15" style="191" customWidth="1"/>
    <col min="4367" max="4367" width="9.140625" style="191"/>
    <col min="4368" max="4368" width="14.85546875" style="191" customWidth="1"/>
    <col min="4369" max="4376" width="9.140625" style="191"/>
    <col min="4377" max="4377" width="13" style="191" customWidth="1"/>
    <col min="4378" max="4378" width="9.140625" style="191"/>
    <col min="4379" max="4379" width="16.140625" style="191" customWidth="1"/>
    <col min="4380" max="4380" width="9.140625" style="191"/>
    <col min="4381" max="4382" width="12.85546875" style="191" customWidth="1"/>
    <col min="4383" max="4383" width="14.28515625" style="191" customWidth="1"/>
    <col min="4384" max="4386" width="9.140625" style="191"/>
    <col min="4387" max="4387" width="16.28515625" style="191" customWidth="1"/>
    <col min="4388" max="4388" width="9.140625" style="191"/>
    <col min="4389" max="4390" width="12.85546875" style="191" customWidth="1"/>
    <col min="4391" max="4391" width="16.140625" style="191" customWidth="1"/>
    <col min="4392" max="4393" width="9.140625" style="191"/>
    <col min="4394" max="4394" width="12.5703125" style="191" customWidth="1"/>
    <col min="4395" max="4605" width="9.140625" style="191"/>
    <col min="4606" max="4606" width="7" style="191" customWidth="1"/>
    <col min="4607" max="4607" width="12" style="191" customWidth="1"/>
    <col min="4608" max="4608" width="69.28515625" style="191" customWidth="1"/>
    <col min="4609" max="4609" width="12.7109375" style="191" customWidth="1"/>
    <col min="4610" max="4610" width="8.28515625" style="191" customWidth="1"/>
    <col min="4611" max="4611" width="17.85546875" style="191" customWidth="1"/>
    <col min="4612" max="4612" width="24.42578125" style="191" customWidth="1"/>
    <col min="4613" max="4613" width="10.7109375" style="191" customWidth="1"/>
    <col min="4614" max="4614" width="13.7109375" style="191" customWidth="1"/>
    <col min="4615" max="4615" width="22" style="191" customWidth="1"/>
    <col min="4616" max="4616" width="13.85546875" style="191" customWidth="1"/>
    <col min="4617" max="4617" width="9.140625" style="191"/>
    <col min="4618" max="4618" width="14.42578125" style="191" customWidth="1"/>
    <col min="4619" max="4619" width="9.28515625" style="191" customWidth="1"/>
    <col min="4620" max="4620" width="14.42578125" style="191" customWidth="1"/>
    <col min="4621" max="4621" width="10.140625" style="191" customWidth="1"/>
    <col min="4622" max="4622" width="15" style="191" customWidth="1"/>
    <col min="4623" max="4623" width="9.140625" style="191"/>
    <col min="4624" max="4624" width="14.85546875" style="191" customWidth="1"/>
    <col min="4625" max="4632" width="9.140625" style="191"/>
    <col min="4633" max="4633" width="13" style="191" customWidth="1"/>
    <col min="4634" max="4634" width="9.140625" style="191"/>
    <col min="4635" max="4635" width="16.140625" style="191" customWidth="1"/>
    <col min="4636" max="4636" width="9.140625" style="191"/>
    <col min="4637" max="4638" width="12.85546875" style="191" customWidth="1"/>
    <col min="4639" max="4639" width="14.28515625" style="191" customWidth="1"/>
    <col min="4640" max="4642" width="9.140625" style="191"/>
    <col min="4643" max="4643" width="16.28515625" style="191" customWidth="1"/>
    <col min="4644" max="4644" width="9.140625" style="191"/>
    <col min="4645" max="4646" width="12.85546875" style="191" customWidth="1"/>
    <col min="4647" max="4647" width="16.140625" style="191" customWidth="1"/>
    <col min="4648" max="4649" width="9.140625" style="191"/>
    <col min="4650" max="4650" width="12.5703125" style="191" customWidth="1"/>
    <col min="4651" max="4861" width="9.140625" style="191"/>
    <col min="4862" max="4862" width="7" style="191" customWidth="1"/>
    <col min="4863" max="4863" width="12" style="191" customWidth="1"/>
    <col min="4864" max="4864" width="69.28515625" style="191" customWidth="1"/>
    <col min="4865" max="4865" width="12.7109375" style="191" customWidth="1"/>
    <col min="4866" max="4866" width="8.28515625" style="191" customWidth="1"/>
    <col min="4867" max="4867" width="17.85546875" style="191" customWidth="1"/>
    <col min="4868" max="4868" width="24.42578125" style="191" customWidth="1"/>
    <col min="4869" max="4869" width="10.7109375" style="191" customWidth="1"/>
    <col min="4870" max="4870" width="13.7109375" style="191" customWidth="1"/>
    <col min="4871" max="4871" width="22" style="191" customWidth="1"/>
    <col min="4872" max="4872" width="13.85546875" style="191" customWidth="1"/>
    <col min="4873" max="4873" width="9.140625" style="191"/>
    <col min="4874" max="4874" width="14.42578125" style="191" customWidth="1"/>
    <col min="4875" max="4875" width="9.28515625" style="191" customWidth="1"/>
    <col min="4876" max="4876" width="14.42578125" style="191" customWidth="1"/>
    <col min="4877" max="4877" width="10.140625" style="191" customWidth="1"/>
    <col min="4878" max="4878" width="15" style="191" customWidth="1"/>
    <col min="4879" max="4879" width="9.140625" style="191"/>
    <col min="4880" max="4880" width="14.85546875" style="191" customWidth="1"/>
    <col min="4881" max="4888" width="9.140625" style="191"/>
    <col min="4889" max="4889" width="13" style="191" customWidth="1"/>
    <col min="4890" max="4890" width="9.140625" style="191"/>
    <col min="4891" max="4891" width="16.140625" style="191" customWidth="1"/>
    <col min="4892" max="4892" width="9.140625" style="191"/>
    <col min="4893" max="4894" width="12.85546875" style="191" customWidth="1"/>
    <col min="4895" max="4895" width="14.28515625" style="191" customWidth="1"/>
    <col min="4896" max="4898" width="9.140625" style="191"/>
    <col min="4899" max="4899" width="16.28515625" style="191" customWidth="1"/>
    <col min="4900" max="4900" width="9.140625" style="191"/>
    <col min="4901" max="4902" width="12.85546875" style="191" customWidth="1"/>
    <col min="4903" max="4903" width="16.140625" style="191" customWidth="1"/>
    <col min="4904" max="4905" width="9.140625" style="191"/>
    <col min="4906" max="4906" width="12.5703125" style="191" customWidth="1"/>
    <col min="4907" max="5117" width="9.140625" style="191"/>
    <col min="5118" max="5118" width="7" style="191" customWidth="1"/>
    <col min="5119" max="5119" width="12" style="191" customWidth="1"/>
    <col min="5120" max="5120" width="69.28515625" style="191" customWidth="1"/>
    <col min="5121" max="5121" width="12.7109375" style="191" customWidth="1"/>
    <col min="5122" max="5122" width="8.28515625" style="191" customWidth="1"/>
    <col min="5123" max="5123" width="17.85546875" style="191" customWidth="1"/>
    <col min="5124" max="5124" width="24.42578125" style="191" customWidth="1"/>
    <col min="5125" max="5125" width="10.7109375" style="191" customWidth="1"/>
    <col min="5126" max="5126" width="13.7109375" style="191" customWidth="1"/>
    <col min="5127" max="5127" width="22" style="191" customWidth="1"/>
    <col min="5128" max="5128" width="13.85546875" style="191" customWidth="1"/>
    <col min="5129" max="5129" width="9.140625" style="191"/>
    <col min="5130" max="5130" width="14.42578125" style="191" customWidth="1"/>
    <col min="5131" max="5131" width="9.28515625" style="191" customWidth="1"/>
    <col min="5132" max="5132" width="14.42578125" style="191" customWidth="1"/>
    <col min="5133" max="5133" width="10.140625" style="191" customWidth="1"/>
    <col min="5134" max="5134" width="15" style="191" customWidth="1"/>
    <col min="5135" max="5135" width="9.140625" style="191"/>
    <col min="5136" max="5136" width="14.85546875" style="191" customWidth="1"/>
    <col min="5137" max="5144" width="9.140625" style="191"/>
    <col min="5145" max="5145" width="13" style="191" customWidth="1"/>
    <col min="5146" max="5146" width="9.140625" style="191"/>
    <col min="5147" max="5147" width="16.140625" style="191" customWidth="1"/>
    <col min="5148" max="5148" width="9.140625" style="191"/>
    <col min="5149" max="5150" width="12.85546875" style="191" customWidth="1"/>
    <col min="5151" max="5151" width="14.28515625" style="191" customWidth="1"/>
    <col min="5152" max="5154" width="9.140625" style="191"/>
    <col min="5155" max="5155" width="16.28515625" style="191" customWidth="1"/>
    <col min="5156" max="5156" width="9.140625" style="191"/>
    <col min="5157" max="5158" width="12.85546875" style="191" customWidth="1"/>
    <col min="5159" max="5159" width="16.140625" style="191" customWidth="1"/>
    <col min="5160" max="5161" width="9.140625" style="191"/>
    <col min="5162" max="5162" width="12.5703125" style="191" customWidth="1"/>
    <col min="5163" max="5373" width="9.140625" style="191"/>
    <col min="5374" max="5374" width="7" style="191" customWidth="1"/>
    <col min="5375" max="5375" width="12" style="191" customWidth="1"/>
    <col min="5376" max="5376" width="69.28515625" style="191" customWidth="1"/>
    <col min="5377" max="5377" width="12.7109375" style="191" customWidth="1"/>
    <col min="5378" max="5378" width="8.28515625" style="191" customWidth="1"/>
    <col min="5379" max="5379" width="17.85546875" style="191" customWidth="1"/>
    <col min="5380" max="5380" width="24.42578125" style="191" customWidth="1"/>
    <col min="5381" max="5381" width="10.7109375" style="191" customWidth="1"/>
    <col min="5382" max="5382" width="13.7109375" style="191" customWidth="1"/>
    <col min="5383" max="5383" width="22" style="191" customWidth="1"/>
    <col min="5384" max="5384" width="13.85546875" style="191" customWidth="1"/>
    <col min="5385" max="5385" width="9.140625" style="191"/>
    <col min="5386" max="5386" width="14.42578125" style="191" customWidth="1"/>
    <col min="5387" max="5387" width="9.28515625" style="191" customWidth="1"/>
    <col min="5388" max="5388" width="14.42578125" style="191" customWidth="1"/>
    <col min="5389" max="5389" width="10.140625" style="191" customWidth="1"/>
    <col min="5390" max="5390" width="15" style="191" customWidth="1"/>
    <col min="5391" max="5391" width="9.140625" style="191"/>
    <col min="5392" max="5392" width="14.85546875" style="191" customWidth="1"/>
    <col min="5393" max="5400" width="9.140625" style="191"/>
    <col min="5401" max="5401" width="13" style="191" customWidth="1"/>
    <col min="5402" max="5402" width="9.140625" style="191"/>
    <col min="5403" max="5403" width="16.140625" style="191" customWidth="1"/>
    <col min="5404" max="5404" width="9.140625" style="191"/>
    <col min="5405" max="5406" width="12.85546875" style="191" customWidth="1"/>
    <col min="5407" max="5407" width="14.28515625" style="191" customWidth="1"/>
    <col min="5408" max="5410" width="9.140625" style="191"/>
    <col min="5411" max="5411" width="16.28515625" style="191" customWidth="1"/>
    <col min="5412" max="5412" width="9.140625" style="191"/>
    <col min="5413" max="5414" width="12.85546875" style="191" customWidth="1"/>
    <col min="5415" max="5415" width="16.140625" style="191" customWidth="1"/>
    <col min="5416" max="5417" width="9.140625" style="191"/>
    <col min="5418" max="5418" width="12.5703125" style="191" customWidth="1"/>
    <col min="5419" max="5629" width="9.140625" style="191"/>
    <col min="5630" max="5630" width="7" style="191" customWidth="1"/>
    <col min="5631" max="5631" width="12" style="191" customWidth="1"/>
    <col min="5632" max="5632" width="69.28515625" style="191" customWidth="1"/>
    <col min="5633" max="5633" width="12.7109375" style="191" customWidth="1"/>
    <col min="5634" max="5634" width="8.28515625" style="191" customWidth="1"/>
    <col min="5635" max="5635" width="17.85546875" style="191" customWidth="1"/>
    <col min="5636" max="5636" width="24.42578125" style="191" customWidth="1"/>
    <col min="5637" max="5637" width="10.7109375" style="191" customWidth="1"/>
    <col min="5638" max="5638" width="13.7109375" style="191" customWidth="1"/>
    <col min="5639" max="5639" width="22" style="191" customWidth="1"/>
    <col min="5640" max="5640" width="13.85546875" style="191" customWidth="1"/>
    <col min="5641" max="5641" width="9.140625" style="191"/>
    <col min="5642" max="5642" width="14.42578125" style="191" customWidth="1"/>
    <col min="5643" max="5643" width="9.28515625" style="191" customWidth="1"/>
    <col min="5644" max="5644" width="14.42578125" style="191" customWidth="1"/>
    <col min="5645" max="5645" width="10.140625" style="191" customWidth="1"/>
    <col min="5646" max="5646" width="15" style="191" customWidth="1"/>
    <col min="5647" max="5647" width="9.140625" style="191"/>
    <col min="5648" max="5648" width="14.85546875" style="191" customWidth="1"/>
    <col min="5649" max="5656" width="9.140625" style="191"/>
    <col min="5657" max="5657" width="13" style="191" customWidth="1"/>
    <col min="5658" max="5658" width="9.140625" style="191"/>
    <col min="5659" max="5659" width="16.140625" style="191" customWidth="1"/>
    <col min="5660" max="5660" width="9.140625" style="191"/>
    <col min="5661" max="5662" width="12.85546875" style="191" customWidth="1"/>
    <col min="5663" max="5663" width="14.28515625" style="191" customWidth="1"/>
    <col min="5664" max="5666" width="9.140625" style="191"/>
    <col min="5667" max="5667" width="16.28515625" style="191" customWidth="1"/>
    <col min="5668" max="5668" width="9.140625" style="191"/>
    <col min="5669" max="5670" width="12.85546875" style="191" customWidth="1"/>
    <col min="5671" max="5671" width="16.140625" style="191" customWidth="1"/>
    <col min="5672" max="5673" width="9.140625" style="191"/>
    <col min="5674" max="5674" width="12.5703125" style="191" customWidth="1"/>
    <col min="5675" max="5885" width="9.140625" style="191"/>
    <col min="5886" max="5886" width="7" style="191" customWidth="1"/>
    <col min="5887" max="5887" width="12" style="191" customWidth="1"/>
    <col min="5888" max="5888" width="69.28515625" style="191" customWidth="1"/>
    <col min="5889" max="5889" width="12.7109375" style="191" customWidth="1"/>
    <col min="5890" max="5890" width="8.28515625" style="191" customWidth="1"/>
    <col min="5891" max="5891" width="17.85546875" style="191" customWidth="1"/>
    <col min="5892" max="5892" width="24.42578125" style="191" customWidth="1"/>
    <col min="5893" max="5893" width="10.7109375" style="191" customWidth="1"/>
    <col min="5894" max="5894" width="13.7109375" style="191" customWidth="1"/>
    <col min="5895" max="5895" width="22" style="191" customWidth="1"/>
    <col min="5896" max="5896" width="13.85546875" style="191" customWidth="1"/>
    <col min="5897" max="5897" width="9.140625" style="191"/>
    <col min="5898" max="5898" width="14.42578125" style="191" customWidth="1"/>
    <col min="5899" max="5899" width="9.28515625" style="191" customWidth="1"/>
    <col min="5900" max="5900" width="14.42578125" style="191" customWidth="1"/>
    <col min="5901" max="5901" width="10.140625" style="191" customWidth="1"/>
    <col min="5902" max="5902" width="15" style="191" customWidth="1"/>
    <col min="5903" max="5903" width="9.140625" style="191"/>
    <col min="5904" max="5904" width="14.85546875" style="191" customWidth="1"/>
    <col min="5905" max="5912" width="9.140625" style="191"/>
    <col min="5913" max="5913" width="13" style="191" customWidth="1"/>
    <col min="5914" max="5914" width="9.140625" style="191"/>
    <col min="5915" max="5915" width="16.140625" style="191" customWidth="1"/>
    <col min="5916" max="5916" width="9.140625" style="191"/>
    <col min="5917" max="5918" width="12.85546875" style="191" customWidth="1"/>
    <col min="5919" max="5919" width="14.28515625" style="191" customWidth="1"/>
    <col min="5920" max="5922" width="9.140625" style="191"/>
    <col min="5923" max="5923" width="16.28515625" style="191" customWidth="1"/>
    <col min="5924" max="5924" width="9.140625" style="191"/>
    <col min="5925" max="5926" width="12.85546875" style="191" customWidth="1"/>
    <col min="5927" max="5927" width="16.140625" style="191" customWidth="1"/>
    <col min="5928" max="5929" width="9.140625" style="191"/>
    <col min="5930" max="5930" width="12.5703125" style="191" customWidth="1"/>
    <col min="5931" max="6141" width="9.140625" style="191"/>
    <col min="6142" max="6142" width="7" style="191" customWidth="1"/>
    <col min="6143" max="6143" width="12" style="191" customWidth="1"/>
    <col min="6144" max="6144" width="69.28515625" style="191" customWidth="1"/>
    <col min="6145" max="6145" width="12.7109375" style="191" customWidth="1"/>
    <col min="6146" max="6146" width="8.28515625" style="191" customWidth="1"/>
    <col min="6147" max="6147" width="17.85546875" style="191" customWidth="1"/>
    <col min="6148" max="6148" width="24.42578125" style="191" customWidth="1"/>
    <col min="6149" max="6149" width="10.7109375" style="191" customWidth="1"/>
    <col min="6150" max="6150" width="13.7109375" style="191" customWidth="1"/>
    <col min="6151" max="6151" width="22" style="191" customWidth="1"/>
    <col min="6152" max="6152" width="13.85546875" style="191" customWidth="1"/>
    <col min="6153" max="6153" width="9.140625" style="191"/>
    <col min="6154" max="6154" width="14.42578125" style="191" customWidth="1"/>
    <col min="6155" max="6155" width="9.28515625" style="191" customWidth="1"/>
    <col min="6156" max="6156" width="14.42578125" style="191" customWidth="1"/>
    <col min="6157" max="6157" width="10.140625" style="191" customWidth="1"/>
    <col min="6158" max="6158" width="15" style="191" customWidth="1"/>
    <col min="6159" max="6159" width="9.140625" style="191"/>
    <col min="6160" max="6160" width="14.85546875" style="191" customWidth="1"/>
    <col min="6161" max="6168" width="9.140625" style="191"/>
    <col min="6169" max="6169" width="13" style="191" customWidth="1"/>
    <col min="6170" max="6170" width="9.140625" style="191"/>
    <col min="6171" max="6171" width="16.140625" style="191" customWidth="1"/>
    <col min="6172" max="6172" width="9.140625" style="191"/>
    <col min="6173" max="6174" width="12.85546875" style="191" customWidth="1"/>
    <col min="6175" max="6175" width="14.28515625" style="191" customWidth="1"/>
    <col min="6176" max="6178" width="9.140625" style="191"/>
    <col min="6179" max="6179" width="16.28515625" style="191" customWidth="1"/>
    <col min="6180" max="6180" width="9.140625" style="191"/>
    <col min="6181" max="6182" width="12.85546875" style="191" customWidth="1"/>
    <col min="6183" max="6183" width="16.140625" style="191" customWidth="1"/>
    <col min="6184" max="6185" width="9.140625" style="191"/>
    <col min="6186" max="6186" width="12.5703125" style="191" customWidth="1"/>
    <col min="6187" max="6397" width="9.140625" style="191"/>
    <col min="6398" max="6398" width="7" style="191" customWidth="1"/>
    <col min="6399" max="6399" width="12" style="191" customWidth="1"/>
    <col min="6400" max="6400" width="69.28515625" style="191" customWidth="1"/>
    <col min="6401" max="6401" width="12.7109375" style="191" customWidth="1"/>
    <col min="6402" max="6402" width="8.28515625" style="191" customWidth="1"/>
    <col min="6403" max="6403" width="17.85546875" style="191" customWidth="1"/>
    <col min="6404" max="6404" width="24.42578125" style="191" customWidth="1"/>
    <col min="6405" max="6405" width="10.7109375" style="191" customWidth="1"/>
    <col min="6406" max="6406" width="13.7109375" style="191" customWidth="1"/>
    <col min="6407" max="6407" width="22" style="191" customWidth="1"/>
    <col min="6408" max="6408" width="13.85546875" style="191" customWidth="1"/>
    <col min="6409" max="6409" width="9.140625" style="191"/>
    <col min="6410" max="6410" width="14.42578125" style="191" customWidth="1"/>
    <col min="6411" max="6411" width="9.28515625" style="191" customWidth="1"/>
    <col min="6412" max="6412" width="14.42578125" style="191" customWidth="1"/>
    <col min="6413" max="6413" width="10.140625" style="191" customWidth="1"/>
    <col min="6414" max="6414" width="15" style="191" customWidth="1"/>
    <col min="6415" max="6415" width="9.140625" style="191"/>
    <col min="6416" max="6416" width="14.85546875" style="191" customWidth="1"/>
    <col min="6417" max="6424" width="9.140625" style="191"/>
    <col min="6425" max="6425" width="13" style="191" customWidth="1"/>
    <col min="6426" max="6426" width="9.140625" style="191"/>
    <col min="6427" max="6427" width="16.140625" style="191" customWidth="1"/>
    <col min="6428" max="6428" width="9.140625" style="191"/>
    <col min="6429" max="6430" width="12.85546875" style="191" customWidth="1"/>
    <col min="6431" max="6431" width="14.28515625" style="191" customWidth="1"/>
    <col min="6432" max="6434" width="9.140625" style="191"/>
    <col min="6435" max="6435" width="16.28515625" style="191" customWidth="1"/>
    <col min="6436" max="6436" width="9.140625" style="191"/>
    <col min="6437" max="6438" width="12.85546875" style="191" customWidth="1"/>
    <col min="6439" max="6439" width="16.140625" style="191" customWidth="1"/>
    <col min="6440" max="6441" width="9.140625" style="191"/>
    <col min="6442" max="6442" width="12.5703125" style="191" customWidth="1"/>
    <col min="6443" max="6653" width="9.140625" style="191"/>
    <col min="6654" max="6654" width="7" style="191" customWidth="1"/>
    <col min="6655" max="6655" width="12" style="191" customWidth="1"/>
    <col min="6656" max="6656" width="69.28515625" style="191" customWidth="1"/>
    <col min="6657" max="6657" width="12.7109375" style="191" customWidth="1"/>
    <col min="6658" max="6658" width="8.28515625" style="191" customWidth="1"/>
    <col min="6659" max="6659" width="17.85546875" style="191" customWidth="1"/>
    <col min="6660" max="6660" width="24.42578125" style="191" customWidth="1"/>
    <col min="6661" max="6661" width="10.7109375" style="191" customWidth="1"/>
    <col min="6662" max="6662" width="13.7109375" style="191" customWidth="1"/>
    <col min="6663" max="6663" width="22" style="191" customWidth="1"/>
    <col min="6664" max="6664" width="13.85546875" style="191" customWidth="1"/>
    <col min="6665" max="6665" width="9.140625" style="191"/>
    <col min="6666" max="6666" width="14.42578125" style="191" customWidth="1"/>
    <col min="6667" max="6667" width="9.28515625" style="191" customWidth="1"/>
    <col min="6668" max="6668" width="14.42578125" style="191" customWidth="1"/>
    <col min="6669" max="6669" width="10.140625" style="191" customWidth="1"/>
    <col min="6670" max="6670" width="15" style="191" customWidth="1"/>
    <col min="6671" max="6671" width="9.140625" style="191"/>
    <col min="6672" max="6672" width="14.85546875" style="191" customWidth="1"/>
    <col min="6673" max="6680" width="9.140625" style="191"/>
    <col min="6681" max="6681" width="13" style="191" customWidth="1"/>
    <col min="6682" max="6682" width="9.140625" style="191"/>
    <col min="6683" max="6683" width="16.140625" style="191" customWidth="1"/>
    <col min="6684" max="6684" width="9.140625" style="191"/>
    <col min="6685" max="6686" width="12.85546875" style="191" customWidth="1"/>
    <col min="6687" max="6687" width="14.28515625" style="191" customWidth="1"/>
    <col min="6688" max="6690" width="9.140625" style="191"/>
    <col min="6691" max="6691" width="16.28515625" style="191" customWidth="1"/>
    <col min="6692" max="6692" width="9.140625" style="191"/>
    <col min="6693" max="6694" width="12.85546875" style="191" customWidth="1"/>
    <col min="6695" max="6695" width="16.140625" style="191" customWidth="1"/>
    <col min="6696" max="6697" width="9.140625" style="191"/>
    <col min="6698" max="6698" width="12.5703125" style="191" customWidth="1"/>
    <col min="6699" max="6909" width="9.140625" style="191"/>
    <col min="6910" max="6910" width="7" style="191" customWidth="1"/>
    <col min="6911" max="6911" width="12" style="191" customWidth="1"/>
    <col min="6912" max="6912" width="69.28515625" style="191" customWidth="1"/>
    <col min="6913" max="6913" width="12.7109375" style="191" customWidth="1"/>
    <col min="6914" max="6914" width="8.28515625" style="191" customWidth="1"/>
    <col min="6915" max="6915" width="17.85546875" style="191" customWidth="1"/>
    <col min="6916" max="6916" width="24.42578125" style="191" customWidth="1"/>
    <col min="6917" max="6917" width="10.7109375" style="191" customWidth="1"/>
    <col min="6918" max="6918" width="13.7109375" style="191" customWidth="1"/>
    <col min="6919" max="6919" width="22" style="191" customWidth="1"/>
    <col min="6920" max="6920" width="13.85546875" style="191" customWidth="1"/>
    <col min="6921" max="6921" width="9.140625" style="191"/>
    <col min="6922" max="6922" width="14.42578125" style="191" customWidth="1"/>
    <col min="6923" max="6923" width="9.28515625" style="191" customWidth="1"/>
    <col min="6924" max="6924" width="14.42578125" style="191" customWidth="1"/>
    <col min="6925" max="6925" width="10.140625" style="191" customWidth="1"/>
    <col min="6926" max="6926" width="15" style="191" customWidth="1"/>
    <col min="6927" max="6927" width="9.140625" style="191"/>
    <col min="6928" max="6928" width="14.85546875" style="191" customWidth="1"/>
    <col min="6929" max="6936" width="9.140625" style="191"/>
    <col min="6937" max="6937" width="13" style="191" customWidth="1"/>
    <col min="6938" max="6938" width="9.140625" style="191"/>
    <col min="6939" max="6939" width="16.140625" style="191" customWidth="1"/>
    <col min="6940" max="6940" width="9.140625" style="191"/>
    <col min="6941" max="6942" width="12.85546875" style="191" customWidth="1"/>
    <col min="6943" max="6943" width="14.28515625" style="191" customWidth="1"/>
    <col min="6944" max="6946" width="9.140625" style="191"/>
    <col min="6947" max="6947" width="16.28515625" style="191" customWidth="1"/>
    <col min="6948" max="6948" width="9.140625" style="191"/>
    <col min="6949" max="6950" width="12.85546875" style="191" customWidth="1"/>
    <col min="6951" max="6951" width="16.140625" style="191" customWidth="1"/>
    <col min="6952" max="6953" width="9.140625" style="191"/>
    <col min="6954" max="6954" width="12.5703125" style="191" customWidth="1"/>
    <col min="6955" max="7165" width="9.140625" style="191"/>
    <col min="7166" max="7166" width="7" style="191" customWidth="1"/>
    <col min="7167" max="7167" width="12" style="191" customWidth="1"/>
    <col min="7168" max="7168" width="69.28515625" style="191" customWidth="1"/>
    <col min="7169" max="7169" width="12.7109375" style="191" customWidth="1"/>
    <col min="7170" max="7170" width="8.28515625" style="191" customWidth="1"/>
    <col min="7171" max="7171" width="17.85546875" style="191" customWidth="1"/>
    <col min="7172" max="7172" width="24.42578125" style="191" customWidth="1"/>
    <col min="7173" max="7173" width="10.7109375" style="191" customWidth="1"/>
    <col min="7174" max="7174" width="13.7109375" style="191" customWidth="1"/>
    <col min="7175" max="7175" width="22" style="191" customWidth="1"/>
    <col min="7176" max="7176" width="13.85546875" style="191" customWidth="1"/>
    <col min="7177" max="7177" width="9.140625" style="191"/>
    <col min="7178" max="7178" width="14.42578125" style="191" customWidth="1"/>
    <col min="7179" max="7179" width="9.28515625" style="191" customWidth="1"/>
    <col min="7180" max="7180" width="14.42578125" style="191" customWidth="1"/>
    <col min="7181" max="7181" width="10.140625" style="191" customWidth="1"/>
    <col min="7182" max="7182" width="15" style="191" customWidth="1"/>
    <col min="7183" max="7183" width="9.140625" style="191"/>
    <col min="7184" max="7184" width="14.85546875" style="191" customWidth="1"/>
    <col min="7185" max="7192" width="9.140625" style="191"/>
    <col min="7193" max="7193" width="13" style="191" customWidth="1"/>
    <col min="7194" max="7194" width="9.140625" style="191"/>
    <col min="7195" max="7195" width="16.140625" style="191" customWidth="1"/>
    <col min="7196" max="7196" width="9.140625" style="191"/>
    <col min="7197" max="7198" width="12.85546875" style="191" customWidth="1"/>
    <col min="7199" max="7199" width="14.28515625" style="191" customWidth="1"/>
    <col min="7200" max="7202" width="9.140625" style="191"/>
    <col min="7203" max="7203" width="16.28515625" style="191" customWidth="1"/>
    <col min="7204" max="7204" width="9.140625" style="191"/>
    <col min="7205" max="7206" width="12.85546875" style="191" customWidth="1"/>
    <col min="7207" max="7207" width="16.140625" style="191" customWidth="1"/>
    <col min="7208" max="7209" width="9.140625" style="191"/>
    <col min="7210" max="7210" width="12.5703125" style="191" customWidth="1"/>
    <col min="7211" max="7421" width="9.140625" style="191"/>
    <col min="7422" max="7422" width="7" style="191" customWidth="1"/>
    <col min="7423" max="7423" width="12" style="191" customWidth="1"/>
    <col min="7424" max="7424" width="69.28515625" style="191" customWidth="1"/>
    <col min="7425" max="7425" width="12.7109375" style="191" customWidth="1"/>
    <col min="7426" max="7426" width="8.28515625" style="191" customWidth="1"/>
    <col min="7427" max="7427" width="17.85546875" style="191" customWidth="1"/>
    <col min="7428" max="7428" width="24.42578125" style="191" customWidth="1"/>
    <col min="7429" max="7429" width="10.7109375" style="191" customWidth="1"/>
    <col min="7430" max="7430" width="13.7109375" style="191" customWidth="1"/>
    <col min="7431" max="7431" width="22" style="191" customWidth="1"/>
    <col min="7432" max="7432" width="13.85546875" style="191" customWidth="1"/>
    <col min="7433" max="7433" width="9.140625" style="191"/>
    <col min="7434" max="7434" width="14.42578125" style="191" customWidth="1"/>
    <col min="7435" max="7435" width="9.28515625" style="191" customWidth="1"/>
    <col min="7436" max="7436" width="14.42578125" style="191" customWidth="1"/>
    <col min="7437" max="7437" width="10.140625" style="191" customWidth="1"/>
    <col min="7438" max="7438" width="15" style="191" customWidth="1"/>
    <col min="7439" max="7439" width="9.140625" style="191"/>
    <col min="7440" max="7440" width="14.85546875" style="191" customWidth="1"/>
    <col min="7441" max="7448" width="9.140625" style="191"/>
    <col min="7449" max="7449" width="13" style="191" customWidth="1"/>
    <col min="7450" max="7450" width="9.140625" style="191"/>
    <col min="7451" max="7451" width="16.140625" style="191" customWidth="1"/>
    <col min="7452" max="7452" width="9.140625" style="191"/>
    <col min="7453" max="7454" width="12.85546875" style="191" customWidth="1"/>
    <col min="7455" max="7455" width="14.28515625" style="191" customWidth="1"/>
    <col min="7456" max="7458" width="9.140625" style="191"/>
    <col min="7459" max="7459" width="16.28515625" style="191" customWidth="1"/>
    <col min="7460" max="7460" width="9.140625" style="191"/>
    <col min="7461" max="7462" width="12.85546875" style="191" customWidth="1"/>
    <col min="7463" max="7463" width="16.140625" style="191" customWidth="1"/>
    <col min="7464" max="7465" width="9.140625" style="191"/>
    <col min="7466" max="7466" width="12.5703125" style="191" customWidth="1"/>
    <col min="7467" max="7677" width="9.140625" style="191"/>
    <col min="7678" max="7678" width="7" style="191" customWidth="1"/>
    <col min="7679" max="7679" width="12" style="191" customWidth="1"/>
    <col min="7680" max="7680" width="69.28515625" style="191" customWidth="1"/>
    <col min="7681" max="7681" width="12.7109375" style="191" customWidth="1"/>
    <col min="7682" max="7682" width="8.28515625" style="191" customWidth="1"/>
    <col min="7683" max="7683" width="17.85546875" style="191" customWidth="1"/>
    <col min="7684" max="7684" width="24.42578125" style="191" customWidth="1"/>
    <col min="7685" max="7685" width="10.7109375" style="191" customWidth="1"/>
    <col min="7686" max="7686" width="13.7109375" style="191" customWidth="1"/>
    <col min="7687" max="7687" width="22" style="191" customWidth="1"/>
    <col min="7688" max="7688" width="13.85546875" style="191" customWidth="1"/>
    <col min="7689" max="7689" width="9.140625" style="191"/>
    <col min="7690" max="7690" width="14.42578125" style="191" customWidth="1"/>
    <col min="7691" max="7691" width="9.28515625" style="191" customWidth="1"/>
    <col min="7692" max="7692" width="14.42578125" style="191" customWidth="1"/>
    <col min="7693" max="7693" width="10.140625" style="191" customWidth="1"/>
    <col min="7694" max="7694" width="15" style="191" customWidth="1"/>
    <col min="7695" max="7695" width="9.140625" style="191"/>
    <col min="7696" max="7696" width="14.85546875" style="191" customWidth="1"/>
    <col min="7697" max="7704" width="9.140625" style="191"/>
    <col min="7705" max="7705" width="13" style="191" customWidth="1"/>
    <col min="7706" max="7706" width="9.140625" style="191"/>
    <col min="7707" max="7707" width="16.140625" style="191" customWidth="1"/>
    <col min="7708" max="7708" width="9.140625" style="191"/>
    <col min="7709" max="7710" width="12.85546875" style="191" customWidth="1"/>
    <col min="7711" max="7711" width="14.28515625" style="191" customWidth="1"/>
    <col min="7712" max="7714" width="9.140625" style="191"/>
    <col min="7715" max="7715" width="16.28515625" style="191" customWidth="1"/>
    <col min="7716" max="7716" width="9.140625" style="191"/>
    <col min="7717" max="7718" width="12.85546875" style="191" customWidth="1"/>
    <col min="7719" max="7719" width="16.140625" style="191" customWidth="1"/>
    <col min="7720" max="7721" width="9.140625" style="191"/>
    <col min="7722" max="7722" width="12.5703125" style="191" customWidth="1"/>
    <col min="7723" max="7933" width="9.140625" style="191"/>
    <col min="7934" max="7934" width="7" style="191" customWidth="1"/>
    <col min="7935" max="7935" width="12" style="191" customWidth="1"/>
    <col min="7936" max="7936" width="69.28515625" style="191" customWidth="1"/>
    <col min="7937" max="7937" width="12.7109375" style="191" customWidth="1"/>
    <col min="7938" max="7938" width="8.28515625" style="191" customWidth="1"/>
    <col min="7939" max="7939" width="17.85546875" style="191" customWidth="1"/>
    <col min="7940" max="7940" width="24.42578125" style="191" customWidth="1"/>
    <col min="7941" max="7941" width="10.7109375" style="191" customWidth="1"/>
    <col min="7942" max="7942" width="13.7109375" style="191" customWidth="1"/>
    <col min="7943" max="7943" width="22" style="191" customWidth="1"/>
    <col min="7944" max="7944" width="13.85546875" style="191" customWidth="1"/>
    <col min="7945" max="7945" width="9.140625" style="191"/>
    <col min="7946" max="7946" width="14.42578125" style="191" customWidth="1"/>
    <col min="7947" max="7947" width="9.28515625" style="191" customWidth="1"/>
    <col min="7948" max="7948" width="14.42578125" style="191" customWidth="1"/>
    <col min="7949" max="7949" width="10.140625" style="191" customWidth="1"/>
    <col min="7950" max="7950" width="15" style="191" customWidth="1"/>
    <col min="7951" max="7951" width="9.140625" style="191"/>
    <col min="7952" max="7952" width="14.85546875" style="191" customWidth="1"/>
    <col min="7953" max="7960" width="9.140625" style="191"/>
    <col min="7961" max="7961" width="13" style="191" customWidth="1"/>
    <col min="7962" max="7962" width="9.140625" style="191"/>
    <col min="7963" max="7963" width="16.140625" style="191" customWidth="1"/>
    <col min="7964" max="7964" width="9.140625" style="191"/>
    <col min="7965" max="7966" width="12.85546875" style="191" customWidth="1"/>
    <col min="7967" max="7967" width="14.28515625" style="191" customWidth="1"/>
    <col min="7968" max="7970" width="9.140625" style="191"/>
    <col min="7971" max="7971" width="16.28515625" style="191" customWidth="1"/>
    <col min="7972" max="7972" width="9.140625" style="191"/>
    <col min="7973" max="7974" width="12.85546875" style="191" customWidth="1"/>
    <col min="7975" max="7975" width="16.140625" style="191" customWidth="1"/>
    <col min="7976" max="7977" width="9.140625" style="191"/>
    <col min="7978" max="7978" width="12.5703125" style="191" customWidth="1"/>
    <col min="7979" max="8189" width="9.140625" style="191"/>
    <col min="8190" max="8190" width="7" style="191" customWidth="1"/>
    <col min="8191" max="8191" width="12" style="191" customWidth="1"/>
    <col min="8192" max="8192" width="69.28515625" style="191" customWidth="1"/>
    <col min="8193" max="8193" width="12.7109375" style="191" customWidth="1"/>
    <col min="8194" max="8194" width="8.28515625" style="191" customWidth="1"/>
    <col min="8195" max="8195" width="17.85546875" style="191" customWidth="1"/>
    <col min="8196" max="8196" width="24.42578125" style="191" customWidth="1"/>
    <col min="8197" max="8197" width="10.7109375" style="191" customWidth="1"/>
    <col min="8198" max="8198" width="13.7109375" style="191" customWidth="1"/>
    <col min="8199" max="8199" width="22" style="191" customWidth="1"/>
    <col min="8200" max="8200" width="13.85546875" style="191" customWidth="1"/>
    <col min="8201" max="8201" width="9.140625" style="191"/>
    <col min="8202" max="8202" width="14.42578125" style="191" customWidth="1"/>
    <col min="8203" max="8203" width="9.28515625" style="191" customWidth="1"/>
    <col min="8204" max="8204" width="14.42578125" style="191" customWidth="1"/>
    <col min="8205" max="8205" width="10.140625" style="191" customWidth="1"/>
    <col min="8206" max="8206" width="15" style="191" customWidth="1"/>
    <col min="8207" max="8207" width="9.140625" style="191"/>
    <col min="8208" max="8208" width="14.85546875" style="191" customWidth="1"/>
    <col min="8209" max="8216" width="9.140625" style="191"/>
    <col min="8217" max="8217" width="13" style="191" customWidth="1"/>
    <col min="8218" max="8218" width="9.140625" style="191"/>
    <col min="8219" max="8219" width="16.140625" style="191" customWidth="1"/>
    <col min="8220" max="8220" width="9.140625" style="191"/>
    <col min="8221" max="8222" width="12.85546875" style="191" customWidth="1"/>
    <col min="8223" max="8223" width="14.28515625" style="191" customWidth="1"/>
    <col min="8224" max="8226" width="9.140625" style="191"/>
    <col min="8227" max="8227" width="16.28515625" style="191" customWidth="1"/>
    <col min="8228" max="8228" width="9.140625" style="191"/>
    <col min="8229" max="8230" width="12.85546875" style="191" customWidth="1"/>
    <col min="8231" max="8231" width="16.140625" style="191" customWidth="1"/>
    <col min="8232" max="8233" width="9.140625" style="191"/>
    <col min="8234" max="8234" width="12.5703125" style="191" customWidth="1"/>
    <col min="8235" max="8445" width="9.140625" style="191"/>
    <col min="8446" max="8446" width="7" style="191" customWidth="1"/>
    <col min="8447" max="8447" width="12" style="191" customWidth="1"/>
    <col min="8448" max="8448" width="69.28515625" style="191" customWidth="1"/>
    <col min="8449" max="8449" width="12.7109375" style="191" customWidth="1"/>
    <col min="8450" max="8450" width="8.28515625" style="191" customWidth="1"/>
    <col min="8451" max="8451" width="17.85546875" style="191" customWidth="1"/>
    <col min="8452" max="8452" width="24.42578125" style="191" customWidth="1"/>
    <col min="8453" max="8453" width="10.7109375" style="191" customWidth="1"/>
    <col min="8454" max="8454" width="13.7109375" style="191" customWidth="1"/>
    <col min="8455" max="8455" width="22" style="191" customWidth="1"/>
    <col min="8456" max="8456" width="13.85546875" style="191" customWidth="1"/>
    <col min="8457" max="8457" width="9.140625" style="191"/>
    <col min="8458" max="8458" width="14.42578125" style="191" customWidth="1"/>
    <col min="8459" max="8459" width="9.28515625" style="191" customWidth="1"/>
    <col min="8460" max="8460" width="14.42578125" style="191" customWidth="1"/>
    <col min="8461" max="8461" width="10.140625" style="191" customWidth="1"/>
    <col min="8462" max="8462" width="15" style="191" customWidth="1"/>
    <col min="8463" max="8463" width="9.140625" style="191"/>
    <col min="8464" max="8464" width="14.85546875" style="191" customWidth="1"/>
    <col min="8465" max="8472" width="9.140625" style="191"/>
    <col min="8473" max="8473" width="13" style="191" customWidth="1"/>
    <col min="8474" max="8474" width="9.140625" style="191"/>
    <col min="8475" max="8475" width="16.140625" style="191" customWidth="1"/>
    <col min="8476" max="8476" width="9.140625" style="191"/>
    <col min="8477" max="8478" width="12.85546875" style="191" customWidth="1"/>
    <col min="8479" max="8479" width="14.28515625" style="191" customWidth="1"/>
    <col min="8480" max="8482" width="9.140625" style="191"/>
    <col min="8483" max="8483" width="16.28515625" style="191" customWidth="1"/>
    <col min="8484" max="8484" width="9.140625" style="191"/>
    <col min="8485" max="8486" width="12.85546875" style="191" customWidth="1"/>
    <col min="8487" max="8487" width="16.140625" style="191" customWidth="1"/>
    <col min="8488" max="8489" width="9.140625" style="191"/>
    <col min="8490" max="8490" width="12.5703125" style="191" customWidth="1"/>
    <col min="8491" max="8701" width="9.140625" style="191"/>
    <col min="8702" max="8702" width="7" style="191" customWidth="1"/>
    <col min="8703" max="8703" width="12" style="191" customWidth="1"/>
    <col min="8704" max="8704" width="69.28515625" style="191" customWidth="1"/>
    <col min="8705" max="8705" width="12.7109375" style="191" customWidth="1"/>
    <col min="8706" max="8706" width="8.28515625" style="191" customWidth="1"/>
    <col min="8707" max="8707" width="17.85546875" style="191" customWidth="1"/>
    <col min="8708" max="8708" width="24.42578125" style="191" customWidth="1"/>
    <col min="8709" max="8709" width="10.7109375" style="191" customWidth="1"/>
    <col min="8710" max="8710" width="13.7109375" style="191" customWidth="1"/>
    <col min="8711" max="8711" width="22" style="191" customWidth="1"/>
    <col min="8712" max="8712" width="13.85546875" style="191" customWidth="1"/>
    <col min="8713" max="8713" width="9.140625" style="191"/>
    <col min="8714" max="8714" width="14.42578125" style="191" customWidth="1"/>
    <col min="8715" max="8715" width="9.28515625" style="191" customWidth="1"/>
    <col min="8716" max="8716" width="14.42578125" style="191" customWidth="1"/>
    <col min="8717" max="8717" width="10.140625" style="191" customWidth="1"/>
    <col min="8718" max="8718" width="15" style="191" customWidth="1"/>
    <col min="8719" max="8719" width="9.140625" style="191"/>
    <col min="8720" max="8720" width="14.85546875" style="191" customWidth="1"/>
    <col min="8721" max="8728" width="9.140625" style="191"/>
    <col min="8729" max="8729" width="13" style="191" customWidth="1"/>
    <col min="8730" max="8730" width="9.140625" style="191"/>
    <col min="8731" max="8731" width="16.140625" style="191" customWidth="1"/>
    <col min="8732" max="8732" width="9.140625" style="191"/>
    <col min="8733" max="8734" width="12.85546875" style="191" customWidth="1"/>
    <col min="8735" max="8735" width="14.28515625" style="191" customWidth="1"/>
    <col min="8736" max="8738" width="9.140625" style="191"/>
    <col min="8739" max="8739" width="16.28515625" style="191" customWidth="1"/>
    <col min="8740" max="8740" width="9.140625" style="191"/>
    <col min="8741" max="8742" width="12.85546875" style="191" customWidth="1"/>
    <col min="8743" max="8743" width="16.140625" style="191" customWidth="1"/>
    <col min="8744" max="8745" width="9.140625" style="191"/>
    <col min="8746" max="8746" width="12.5703125" style="191" customWidth="1"/>
    <col min="8747" max="8957" width="9.140625" style="191"/>
    <col min="8958" max="8958" width="7" style="191" customWidth="1"/>
    <col min="8959" max="8959" width="12" style="191" customWidth="1"/>
    <col min="8960" max="8960" width="69.28515625" style="191" customWidth="1"/>
    <col min="8961" max="8961" width="12.7109375" style="191" customWidth="1"/>
    <col min="8962" max="8962" width="8.28515625" style="191" customWidth="1"/>
    <col min="8963" max="8963" width="17.85546875" style="191" customWidth="1"/>
    <col min="8964" max="8964" width="24.42578125" style="191" customWidth="1"/>
    <col min="8965" max="8965" width="10.7109375" style="191" customWidth="1"/>
    <col min="8966" max="8966" width="13.7109375" style="191" customWidth="1"/>
    <col min="8967" max="8967" width="22" style="191" customWidth="1"/>
    <col min="8968" max="8968" width="13.85546875" style="191" customWidth="1"/>
    <col min="8969" max="8969" width="9.140625" style="191"/>
    <col min="8970" max="8970" width="14.42578125" style="191" customWidth="1"/>
    <col min="8971" max="8971" width="9.28515625" style="191" customWidth="1"/>
    <col min="8972" max="8972" width="14.42578125" style="191" customWidth="1"/>
    <col min="8973" max="8973" width="10.140625" style="191" customWidth="1"/>
    <col min="8974" max="8974" width="15" style="191" customWidth="1"/>
    <col min="8975" max="8975" width="9.140625" style="191"/>
    <col min="8976" max="8976" width="14.85546875" style="191" customWidth="1"/>
    <col min="8977" max="8984" width="9.140625" style="191"/>
    <col min="8985" max="8985" width="13" style="191" customWidth="1"/>
    <col min="8986" max="8986" width="9.140625" style="191"/>
    <col min="8987" max="8987" width="16.140625" style="191" customWidth="1"/>
    <col min="8988" max="8988" width="9.140625" style="191"/>
    <col min="8989" max="8990" width="12.85546875" style="191" customWidth="1"/>
    <col min="8991" max="8991" width="14.28515625" style="191" customWidth="1"/>
    <col min="8992" max="8994" width="9.140625" style="191"/>
    <col min="8995" max="8995" width="16.28515625" style="191" customWidth="1"/>
    <col min="8996" max="8996" width="9.140625" style="191"/>
    <col min="8997" max="8998" width="12.85546875" style="191" customWidth="1"/>
    <col min="8999" max="8999" width="16.140625" style="191" customWidth="1"/>
    <col min="9000" max="9001" width="9.140625" style="191"/>
    <col min="9002" max="9002" width="12.5703125" style="191" customWidth="1"/>
    <col min="9003" max="9213" width="9.140625" style="191"/>
    <col min="9214" max="9214" width="7" style="191" customWidth="1"/>
    <col min="9215" max="9215" width="12" style="191" customWidth="1"/>
    <col min="9216" max="9216" width="69.28515625" style="191" customWidth="1"/>
    <col min="9217" max="9217" width="12.7109375" style="191" customWidth="1"/>
    <col min="9218" max="9218" width="8.28515625" style="191" customWidth="1"/>
    <col min="9219" max="9219" width="17.85546875" style="191" customWidth="1"/>
    <col min="9220" max="9220" width="24.42578125" style="191" customWidth="1"/>
    <col min="9221" max="9221" width="10.7109375" style="191" customWidth="1"/>
    <col min="9222" max="9222" width="13.7109375" style="191" customWidth="1"/>
    <col min="9223" max="9223" width="22" style="191" customWidth="1"/>
    <col min="9224" max="9224" width="13.85546875" style="191" customWidth="1"/>
    <col min="9225" max="9225" width="9.140625" style="191"/>
    <col min="9226" max="9226" width="14.42578125" style="191" customWidth="1"/>
    <col min="9227" max="9227" width="9.28515625" style="191" customWidth="1"/>
    <col min="9228" max="9228" width="14.42578125" style="191" customWidth="1"/>
    <col min="9229" max="9229" width="10.140625" style="191" customWidth="1"/>
    <col min="9230" max="9230" width="15" style="191" customWidth="1"/>
    <col min="9231" max="9231" width="9.140625" style="191"/>
    <col min="9232" max="9232" width="14.85546875" style="191" customWidth="1"/>
    <col min="9233" max="9240" width="9.140625" style="191"/>
    <col min="9241" max="9241" width="13" style="191" customWidth="1"/>
    <col min="9242" max="9242" width="9.140625" style="191"/>
    <col min="9243" max="9243" width="16.140625" style="191" customWidth="1"/>
    <col min="9244" max="9244" width="9.140625" style="191"/>
    <col min="9245" max="9246" width="12.85546875" style="191" customWidth="1"/>
    <col min="9247" max="9247" width="14.28515625" style="191" customWidth="1"/>
    <col min="9248" max="9250" width="9.140625" style="191"/>
    <col min="9251" max="9251" width="16.28515625" style="191" customWidth="1"/>
    <col min="9252" max="9252" width="9.140625" style="191"/>
    <col min="9253" max="9254" width="12.85546875" style="191" customWidth="1"/>
    <col min="9255" max="9255" width="16.140625" style="191" customWidth="1"/>
    <col min="9256" max="9257" width="9.140625" style="191"/>
    <col min="9258" max="9258" width="12.5703125" style="191" customWidth="1"/>
    <col min="9259" max="9469" width="9.140625" style="191"/>
    <col min="9470" max="9470" width="7" style="191" customWidth="1"/>
    <col min="9471" max="9471" width="12" style="191" customWidth="1"/>
    <col min="9472" max="9472" width="69.28515625" style="191" customWidth="1"/>
    <col min="9473" max="9473" width="12.7109375" style="191" customWidth="1"/>
    <col min="9474" max="9474" width="8.28515625" style="191" customWidth="1"/>
    <col min="9475" max="9475" width="17.85546875" style="191" customWidth="1"/>
    <col min="9476" max="9476" width="24.42578125" style="191" customWidth="1"/>
    <col min="9477" max="9477" width="10.7109375" style="191" customWidth="1"/>
    <col min="9478" max="9478" width="13.7109375" style="191" customWidth="1"/>
    <col min="9479" max="9479" width="22" style="191" customWidth="1"/>
    <col min="9480" max="9480" width="13.85546875" style="191" customWidth="1"/>
    <col min="9481" max="9481" width="9.140625" style="191"/>
    <col min="9482" max="9482" width="14.42578125" style="191" customWidth="1"/>
    <col min="9483" max="9483" width="9.28515625" style="191" customWidth="1"/>
    <col min="9484" max="9484" width="14.42578125" style="191" customWidth="1"/>
    <col min="9485" max="9485" width="10.140625" style="191" customWidth="1"/>
    <col min="9486" max="9486" width="15" style="191" customWidth="1"/>
    <col min="9487" max="9487" width="9.140625" style="191"/>
    <col min="9488" max="9488" width="14.85546875" style="191" customWidth="1"/>
    <col min="9489" max="9496" width="9.140625" style="191"/>
    <col min="9497" max="9497" width="13" style="191" customWidth="1"/>
    <col min="9498" max="9498" width="9.140625" style="191"/>
    <col min="9499" max="9499" width="16.140625" style="191" customWidth="1"/>
    <col min="9500" max="9500" width="9.140625" style="191"/>
    <col min="9501" max="9502" width="12.85546875" style="191" customWidth="1"/>
    <col min="9503" max="9503" width="14.28515625" style="191" customWidth="1"/>
    <col min="9504" max="9506" width="9.140625" style="191"/>
    <col min="9507" max="9507" width="16.28515625" style="191" customWidth="1"/>
    <col min="9508" max="9508" width="9.140625" style="191"/>
    <col min="9509" max="9510" width="12.85546875" style="191" customWidth="1"/>
    <col min="9511" max="9511" width="16.140625" style="191" customWidth="1"/>
    <col min="9512" max="9513" width="9.140625" style="191"/>
    <col min="9514" max="9514" width="12.5703125" style="191" customWidth="1"/>
    <col min="9515" max="9725" width="9.140625" style="191"/>
    <col min="9726" max="9726" width="7" style="191" customWidth="1"/>
    <col min="9727" max="9727" width="12" style="191" customWidth="1"/>
    <col min="9728" max="9728" width="69.28515625" style="191" customWidth="1"/>
    <col min="9729" max="9729" width="12.7109375" style="191" customWidth="1"/>
    <col min="9730" max="9730" width="8.28515625" style="191" customWidth="1"/>
    <col min="9731" max="9731" width="17.85546875" style="191" customWidth="1"/>
    <col min="9732" max="9732" width="24.42578125" style="191" customWidth="1"/>
    <col min="9733" max="9733" width="10.7109375" style="191" customWidth="1"/>
    <col min="9734" max="9734" width="13.7109375" style="191" customWidth="1"/>
    <col min="9735" max="9735" width="22" style="191" customWidth="1"/>
    <col min="9736" max="9736" width="13.85546875" style="191" customWidth="1"/>
    <col min="9737" max="9737" width="9.140625" style="191"/>
    <col min="9738" max="9738" width="14.42578125" style="191" customWidth="1"/>
    <col min="9739" max="9739" width="9.28515625" style="191" customWidth="1"/>
    <col min="9740" max="9740" width="14.42578125" style="191" customWidth="1"/>
    <col min="9741" max="9741" width="10.140625" style="191" customWidth="1"/>
    <col min="9742" max="9742" width="15" style="191" customWidth="1"/>
    <col min="9743" max="9743" width="9.140625" style="191"/>
    <col min="9744" max="9744" width="14.85546875" style="191" customWidth="1"/>
    <col min="9745" max="9752" width="9.140625" style="191"/>
    <col min="9753" max="9753" width="13" style="191" customWidth="1"/>
    <col min="9754" max="9754" width="9.140625" style="191"/>
    <col min="9755" max="9755" width="16.140625" style="191" customWidth="1"/>
    <col min="9756" max="9756" width="9.140625" style="191"/>
    <col min="9757" max="9758" width="12.85546875" style="191" customWidth="1"/>
    <col min="9759" max="9759" width="14.28515625" style="191" customWidth="1"/>
    <col min="9760" max="9762" width="9.140625" style="191"/>
    <col min="9763" max="9763" width="16.28515625" style="191" customWidth="1"/>
    <col min="9764" max="9764" width="9.140625" style="191"/>
    <col min="9765" max="9766" width="12.85546875" style="191" customWidth="1"/>
    <col min="9767" max="9767" width="16.140625" style="191" customWidth="1"/>
    <col min="9768" max="9769" width="9.140625" style="191"/>
    <col min="9770" max="9770" width="12.5703125" style="191" customWidth="1"/>
    <col min="9771" max="9981" width="9.140625" style="191"/>
    <col min="9982" max="9982" width="7" style="191" customWidth="1"/>
    <col min="9983" max="9983" width="12" style="191" customWidth="1"/>
    <col min="9984" max="9984" width="69.28515625" style="191" customWidth="1"/>
    <col min="9985" max="9985" width="12.7109375" style="191" customWidth="1"/>
    <col min="9986" max="9986" width="8.28515625" style="191" customWidth="1"/>
    <col min="9987" max="9987" width="17.85546875" style="191" customWidth="1"/>
    <col min="9988" max="9988" width="24.42578125" style="191" customWidth="1"/>
    <col min="9989" max="9989" width="10.7109375" style="191" customWidth="1"/>
    <col min="9990" max="9990" width="13.7109375" style="191" customWidth="1"/>
    <col min="9991" max="9991" width="22" style="191" customWidth="1"/>
    <col min="9992" max="9992" width="13.85546875" style="191" customWidth="1"/>
    <col min="9993" max="9993" width="9.140625" style="191"/>
    <col min="9994" max="9994" width="14.42578125" style="191" customWidth="1"/>
    <col min="9995" max="9995" width="9.28515625" style="191" customWidth="1"/>
    <col min="9996" max="9996" width="14.42578125" style="191" customWidth="1"/>
    <col min="9997" max="9997" width="10.140625" style="191" customWidth="1"/>
    <col min="9998" max="9998" width="15" style="191" customWidth="1"/>
    <col min="9999" max="9999" width="9.140625" style="191"/>
    <col min="10000" max="10000" width="14.85546875" style="191" customWidth="1"/>
    <col min="10001" max="10008" width="9.140625" style="191"/>
    <col min="10009" max="10009" width="13" style="191" customWidth="1"/>
    <col min="10010" max="10010" width="9.140625" style="191"/>
    <col min="10011" max="10011" width="16.140625" style="191" customWidth="1"/>
    <col min="10012" max="10012" width="9.140625" style="191"/>
    <col min="10013" max="10014" width="12.85546875" style="191" customWidth="1"/>
    <col min="10015" max="10015" width="14.28515625" style="191" customWidth="1"/>
    <col min="10016" max="10018" width="9.140625" style="191"/>
    <col min="10019" max="10019" width="16.28515625" style="191" customWidth="1"/>
    <col min="10020" max="10020" width="9.140625" style="191"/>
    <col min="10021" max="10022" width="12.85546875" style="191" customWidth="1"/>
    <col min="10023" max="10023" width="16.140625" style="191" customWidth="1"/>
    <col min="10024" max="10025" width="9.140625" style="191"/>
    <col min="10026" max="10026" width="12.5703125" style="191" customWidth="1"/>
    <col min="10027" max="10237" width="9.140625" style="191"/>
    <col min="10238" max="10238" width="7" style="191" customWidth="1"/>
    <col min="10239" max="10239" width="12" style="191" customWidth="1"/>
    <col min="10240" max="10240" width="69.28515625" style="191" customWidth="1"/>
    <col min="10241" max="10241" width="12.7109375" style="191" customWidth="1"/>
    <col min="10242" max="10242" width="8.28515625" style="191" customWidth="1"/>
    <col min="10243" max="10243" width="17.85546875" style="191" customWidth="1"/>
    <col min="10244" max="10244" width="24.42578125" style="191" customWidth="1"/>
    <col min="10245" max="10245" width="10.7109375" style="191" customWidth="1"/>
    <col min="10246" max="10246" width="13.7109375" style="191" customWidth="1"/>
    <col min="10247" max="10247" width="22" style="191" customWidth="1"/>
    <col min="10248" max="10248" width="13.85546875" style="191" customWidth="1"/>
    <col min="10249" max="10249" width="9.140625" style="191"/>
    <col min="10250" max="10250" width="14.42578125" style="191" customWidth="1"/>
    <col min="10251" max="10251" width="9.28515625" style="191" customWidth="1"/>
    <col min="10252" max="10252" width="14.42578125" style="191" customWidth="1"/>
    <col min="10253" max="10253" width="10.140625" style="191" customWidth="1"/>
    <col min="10254" max="10254" width="15" style="191" customWidth="1"/>
    <col min="10255" max="10255" width="9.140625" style="191"/>
    <col min="10256" max="10256" width="14.85546875" style="191" customWidth="1"/>
    <col min="10257" max="10264" width="9.140625" style="191"/>
    <col min="10265" max="10265" width="13" style="191" customWidth="1"/>
    <col min="10266" max="10266" width="9.140625" style="191"/>
    <col min="10267" max="10267" width="16.140625" style="191" customWidth="1"/>
    <col min="10268" max="10268" width="9.140625" style="191"/>
    <col min="10269" max="10270" width="12.85546875" style="191" customWidth="1"/>
    <col min="10271" max="10271" width="14.28515625" style="191" customWidth="1"/>
    <col min="10272" max="10274" width="9.140625" style="191"/>
    <col min="10275" max="10275" width="16.28515625" style="191" customWidth="1"/>
    <col min="10276" max="10276" width="9.140625" style="191"/>
    <col min="10277" max="10278" width="12.85546875" style="191" customWidth="1"/>
    <col min="10279" max="10279" width="16.140625" style="191" customWidth="1"/>
    <col min="10280" max="10281" width="9.140625" style="191"/>
    <col min="10282" max="10282" width="12.5703125" style="191" customWidth="1"/>
    <col min="10283" max="10493" width="9.140625" style="191"/>
    <col min="10494" max="10494" width="7" style="191" customWidth="1"/>
    <col min="10495" max="10495" width="12" style="191" customWidth="1"/>
    <col min="10496" max="10496" width="69.28515625" style="191" customWidth="1"/>
    <col min="10497" max="10497" width="12.7109375" style="191" customWidth="1"/>
    <col min="10498" max="10498" width="8.28515625" style="191" customWidth="1"/>
    <col min="10499" max="10499" width="17.85546875" style="191" customWidth="1"/>
    <col min="10500" max="10500" width="24.42578125" style="191" customWidth="1"/>
    <col min="10501" max="10501" width="10.7109375" style="191" customWidth="1"/>
    <col min="10502" max="10502" width="13.7109375" style="191" customWidth="1"/>
    <col min="10503" max="10503" width="22" style="191" customWidth="1"/>
    <col min="10504" max="10504" width="13.85546875" style="191" customWidth="1"/>
    <col min="10505" max="10505" width="9.140625" style="191"/>
    <col min="10506" max="10506" width="14.42578125" style="191" customWidth="1"/>
    <col min="10507" max="10507" width="9.28515625" style="191" customWidth="1"/>
    <col min="10508" max="10508" width="14.42578125" style="191" customWidth="1"/>
    <col min="10509" max="10509" width="10.140625" style="191" customWidth="1"/>
    <col min="10510" max="10510" width="15" style="191" customWidth="1"/>
    <col min="10511" max="10511" width="9.140625" style="191"/>
    <col min="10512" max="10512" width="14.85546875" style="191" customWidth="1"/>
    <col min="10513" max="10520" width="9.140625" style="191"/>
    <col min="10521" max="10521" width="13" style="191" customWidth="1"/>
    <col min="10522" max="10522" width="9.140625" style="191"/>
    <col min="10523" max="10523" width="16.140625" style="191" customWidth="1"/>
    <col min="10524" max="10524" width="9.140625" style="191"/>
    <col min="10525" max="10526" width="12.85546875" style="191" customWidth="1"/>
    <col min="10527" max="10527" width="14.28515625" style="191" customWidth="1"/>
    <col min="10528" max="10530" width="9.140625" style="191"/>
    <col min="10531" max="10531" width="16.28515625" style="191" customWidth="1"/>
    <col min="10532" max="10532" width="9.140625" style="191"/>
    <col min="10533" max="10534" width="12.85546875" style="191" customWidth="1"/>
    <col min="10535" max="10535" width="16.140625" style="191" customWidth="1"/>
    <col min="10536" max="10537" width="9.140625" style="191"/>
    <col min="10538" max="10538" width="12.5703125" style="191" customWidth="1"/>
    <col min="10539" max="10749" width="9.140625" style="191"/>
    <col min="10750" max="10750" width="7" style="191" customWidth="1"/>
    <col min="10751" max="10751" width="12" style="191" customWidth="1"/>
    <col min="10752" max="10752" width="69.28515625" style="191" customWidth="1"/>
    <col min="10753" max="10753" width="12.7109375" style="191" customWidth="1"/>
    <col min="10754" max="10754" width="8.28515625" style="191" customWidth="1"/>
    <col min="10755" max="10755" width="17.85546875" style="191" customWidth="1"/>
    <col min="10756" max="10756" width="24.42578125" style="191" customWidth="1"/>
    <col min="10757" max="10757" width="10.7109375" style="191" customWidth="1"/>
    <col min="10758" max="10758" width="13.7109375" style="191" customWidth="1"/>
    <col min="10759" max="10759" width="22" style="191" customWidth="1"/>
    <col min="10760" max="10760" width="13.85546875" style="191" customWidth="1"/>
    <col min="10761" max="10761" width="9.140625" style="191"/>
    <col min="10762" max="10762" width="14.42578125" style="191" customWidth="1"/>
    <col min="10763" max="10763" width="9.28515625" style="191" customWidth="1"/>
    <col min="10764" max="10764" width="14.42578125" style="191" customWidth="1"/>
    <col min="10765" max="10765" width="10.140625" style="191" customWidth="1"/>
    <col min="10766" max="10766" width="15" style="191" customWidth="1"/>
    <col min="10767" max="10767" width="9.140625" style="191"/>
    <col min="10768" max="10768" width="14.85546875" style="191" customWidth="1"/>
    <col min="10769" max="10776" width="9.140625" style="191"/>
    <col min="10777" max="10777" width="13" style="191" customWidth="1"/>
    <col min="10778" max="10778" width="9.140625" style="191"/>
    <col min="10779" max="10779" width="16.140625" style="191" customWidth="1"/>
    <col min="10780" max="10780" width="9.140625" style="191"/>
    <col min="10781" max="10782" width="12.85546875" style="191" customWidth="1"/>
    <col min="10783" max="10783" width="14.28515625" style="191" customWidth="1"/>
    <col min="10784" max="10786" width="9.140625" style="191"/>
    <col min="10787" max="10787" width="16.28515625" style="191" customWidth="1"/>
    <col min="10788" max="10788" width="9.140625" style="191"/>
    <col min="10789" max="10790" width="12.85546875" style="191" customWidth="1"/>
    <col min="10791" max="10791" width="16.140625" style="191" customWidth="1"/>
    <col min="10792" max="10793" width="9.140625" style="191"/>
    <col min="10794" max="10794" width="12.5703125" style="191" customWidth="1"/>
    <col min="10795" max="11005" width="9.140625" style="191"/>
    <col min="11006" max="11006" width="7" style="191" customWidth="1"/>
    <col min="11007" max="11007" width="12" style="191" customWidth="1"/>
    <col min="11008" max="11008" width="69.28515625" style="191" customWidth="1"/>
    <col min="11009" max="11009" width="12.7109375" style="191" customWidth="1"/>
    <col min="11010" max="11010" width="8.28515625" style="191" customWidth="1"/>
    <col min="11011" max="11011" width="17.85546875" style="191" customWidth="1"/>
    <col min="11012" max="11012" width="24.42578125" style="191" customWidth="1"/>
    <col min="11013" max="11013" width="10.7109375" style="191" customWidth="1"/>
    <col min="11014" max="11014" width="13.7109375" style="191" customWidth="1"/>
    <col min="11015" max="11015" width="22" style="191" customWidth="1"/>
    <col min="11016" max="11016" width="13.85546875" style="191" customWidth="1"/>
    <col min="11017" max="11017" width="9.140625" style="191"/>
    <col min="11018" max="11018" width="14.42578125" style="191" customWidth="1"/>
    <col min="11019" max="11019" width="9.28515625" style="191" customWidth="1"/>
    <col min="11020" max="11020" width="14.42578125" style="191" customWidth="1"/>
    <col min="11021" max="11021" width="10.140625" style="191" customWidth="1"/>
    <col min="11022" max="11022" width="15" style="191" customWidth="1"/>
    <col min="11023" max="11023" width="9.140625" style="191"/>
    <col min="11024" max="11024" width="14.85546875" style="191" customWidth="1"/>
    <col min="11025" max="11032" width="9.140625" style="191"/>
    <col min="11033" max="11033" width="13" style="191" customWidth="1"/>
    <col min="11034" max="11034" width="9.140625" style="191"/>
    <col min="11035" max="11035" width="16.140625" style="191" customWidth="1"/>
    <col min="11036" max="11036" width="9.140625" style="191"/>
    <col min="11037" max="11038" width="12.85546875" style="191" customWidth="1"/>
    <col min="11039" max="11039" width="14.28515625" style="191" customWidth="1"/>
    <col min="11040" max="11042" width="9.140625" style="191"/>
    <col min="11043" max="11043" width="16.28515625" style="191" customWidth="1"/>
    <col min="11044" max="11044" width="9.140625" style="191"/>
    <col min="11045" max="11046" width="12.85546875" style="191" customWidth="1"/>
    <col min="11047" max="11047" width="16.140625" style="191" customWidth="1"/>
    <col min="11048" max="11049" width="9.140625" style="191"/>
    <col min="11050" max="11050" width="12.5703125" style="191" customWidth="1"/>
    <col min="11051" max="11261" width="9.140625" style="191"/>
    <col min="11262" max="11262" width="7" style="191" customWidth="1"/>
    <col min="11263" max="11263" width="12" style="191" customWidth="1"/>
    <col min="11264" max="11264" width="69.28515625" style="191" customWidth="1"/>
    <col min="11265" max="11265" width="12.7109375" style="191" customWidth="1"/>
    <col min="11266" max="11266" width="8.28515625" style="191" customWidth="1"/>
    <col min="11267" max="11267" width="17.85546875" style="191" customWidth="1"/>
    <col min="11268" max="11268" width="24.42578125" style="191" customWidth="1"/>
    <col min="11269" max="11269" width="10.7109375" style="191" customWidth="1"/>
    <col min="11270" max="11270" width="13.7109375" style="191" customWidth="1"/>
    <col min="11271" max="11271" width="22" style="191" customWidth="1"/>
    <col min="11272" max="11272" width="13.85546875" style="191" customWidth="1"/>
    <col min="11273" max="11273" width="9.140625" style="191"/>
    <col min="11274" max="11274" width="14.42578125" style="191" customWidth="1"/>
    <col min="11275" max="11275" width="9.28515625" style="191" customWidth="1"/>
    <col min="11276" max="11276" width="14.42578125" style="191" customWidth="1"/>
    <col min="11277" max="11277" width="10.140625" style="191" customWidth="1"/>
    <col min="11278" max="11278" width="15" style="191" customWidth="1"/>
    <col min="11279" max="11279" width="9.140625" style="191"/>
    <col min="11280" max="11280" width="14.85546875" style="191" customWidth="1"/>
    <col min="11281" max="11288" width="9.140625" style="191"/>
    <col min="11289" max="11289" width="13" style="191" customWidth="1"/>
    <col min="11290" max="11290" width="9.140625" style="191"/>
    <col min="11291" max="11291" width="16.140625" style="191" customWidth="1"/>
    <col min="11292" max="11292" width="9.140625" style="191"/>
    <col min="11293" max="11294" width="12.85546875" style="191" customWidth="1"/>
    <col min="11295" max="11295" width="14.28515625" style="191" customWidth="1"/>
    <col min="11296" max="11298" width="9.140625" style="191"/>
    <col min="11299" max="11299" width="16.28515625" style="191" customWidth="1"/>
    <col min="11300" max="11300" width="9.140625" style="191"/>
    <col min="11301" max="11302" width="12.85546875" style="191" customWidth="1"/>
    <col min="11303" max="11303" width="16.140625" style="191" customWidth="1"/>
    <col min="11304" max="11305" width="9.140625" style="191"/>
    <col min="11306" max="11306" width="12.5703125" style="191" customWidth="1"/>
    <col min="11307" max="11517" width="9.140625" style="191"/>
    <col min="11518" max="11518" width="7" style="191" customWidth="1"/>
    <col min="11519" max="11519" width="12" style="191" customWidth="1"/>
    <col min="11520" max="11520" width="69.28515625" style="191" customWidth="1"/>
    <col min="11521" max="11521" width="12.7109375" style="191" customWidth="1"/>
    <col min="11522" max="11522" width="8.28515625" style="191" customWidth="1"/>
    <col min="11523" max="11523" width="17.85546875" style="191" customWidth="1"/>
    <col min="11524" max="11524" width="24.42578125" style="191" customWidth="1"/>
    <col min="11525" max="11525" width="10.7109375" style="191" customWidth="1"/>
    <col min="11526" max="11526" width="13.7109375" style="191" customWidth="1"/>
    <col min="11527" max="11527" width="22" style="191" customWidth="1"/>
    <col min="11528" max="11528" width="13.85546875" style="191" customWidth="1"/>
    <col min="11529" max="11529" width="9.140625" style="191"/>
    <col min="11530" max="11530" width="14.42578125" style="191" customWidth="1"/>
    <col min="11531" max="11531" width="9.28515625" style="191" customWidth="1"/>
    <col min="11532" max="11532" width="14.42578125" style="191" customWidth="1"/>
    <col min="11533" max="11533" width="10.140625" style="191" customWidth="1"/>
    <col min="11534" max="11534" width="15" style="191" customWidth="1"/>
    <col min="11535" max="11535" width="9.140625" style="191"/>
    <col min="11536" max="11536" width="14.85546875" style="191" customWidth="1"/>
    <col min="11537" max="11544" width="9.140625" style="191"/>
    <col min="11545" max="11545" width="13" style="191" customWidth="1"/>
    <col min="11546" max="11546" width="9.140625" style="191"/>
    <col min="11547" max="11547" width="16.140625" style="191" customWidth="1"/>
    <col min="11548" max="11548" width="9.140625" style="191"/>
    <col min="11549" max="11550" width="12.85546875" style="191" customWidth="1"/>
    <col min="11551" max="11551" width="14.28515625" style="191" customWidth="1"/>
    <col min="11552" max="11554" width="9.140625" style="191"/>
    <col min="11555" max="11555" width="16.28515625" style="191" customWidth="1"/>
    <col min="11556" max="11556" width="9.140625" style="191"/>
    <col min="11557" max="11558" width="12.85546875" style="191" customWidth="1"/>
    <col min="11559" max="11559" width="16.140625" style="191" customWidth="1"/>
    <col min="11560" max="11561" width="9.140625" style="191"/>
    <col min="11562" max="11562" width="12.5703125" style="191" customWidth="1"/>
    <col min="11563" max="11773" width="9.140625" style="191"/>
    <col min="11774" max="11774" width="7" style="191" customWidth="1"/>
    <col min="11775" max="11775" width="12" style="191" customWidth="1"/>
    <col min="11776" max="11776" width="69.28515625" style="191" customWidth="1"/>
    <col min="11777" max="11777" width="12.7109375" style="191" customWidth="1"/>
    <col min="11778" max="11778" width="8.28515625" style="191" customWidth="1"/>
    <col min="11779" max="11779" width="17.85546875" style="191" customWidth="1"/>
    <col min="11780" max="11780" width="24.42578125" style="191" customWidth="1"/>
    <col min="11781" max="11781" width="10.7109375" style="191" customWidth="1"/>
    <col min="11782" max="11782" width="13.7109375" style="191" customWidth="1"/>
    <col min="11783" max="11783" width="22" style="191" customWidth="1"/>
    <col min="11784" max="11784" width="13.85546875" style="191" customWidth="1"/>
    <col min="11785" max="11785" width="9.140625" style="191"/>
    <col min="11786" max="11786" width="14.42578125" style="191" customWidth="1"/>
    <col min="11787" max="11787" width="9.28515625" style="191" customWidth="1"/>
    <col min="11788" max="11788" width="14.42578125" style="191" customWidth="1"/>
    <col min="11789" max="11789" width="10.140625" style="191" customWidth="1"/>
    <col min="11790" max="11790" width="15" style="191" customWidth="1"/>
    <col min="11791" max="11791" width="9.140625" style="191"/>
    <col min="11792" max="11792" width="14.85546875" style="191" customWidth="1"/>
    <col min="11793" max="11800" width="9.140625" style="191"/>
    <col min="11801" max="11801" width="13" style="191" customWidth="1"/>
    <col min="11802" max="11802" width="9.140625" style="191"/>
    <col min="11803" max="11803" width="16.140625" style="191" customWidth="1"/>
    <col min="11804" max="11804" width="9.140625" style="191"/>
    <col min="11805" max="11806" width="12.85546875" style="191" customWidth="1"/>
    <col min="11807" max="11807" width="14.28515625" style="191" customWidth="1"/>
    <col min="11808" max="11810" width="9.140625" style="191"/>
    <col min="11811" max="11811" width="16.28515625" style="191" customWidth="1"/>
    <col min="11812" max="11812" width="9.140625" style="191"/>
    <col min="11813" max="11814" width="12.85546875" style="191" customWidth="1"/>
    <col min="11815" max="11815" width="16.140625" style="191" customWidth="1"/>
    <col min="11816" max="11817" width="9.140625" style="191"/>
    <col min="11818" max="11818" width="12.5703125" style="191" customWidth="1"/>
    <col min="11819" max="12029" width="9.140625" style="191"/>
    <col min="12030" max="12030" width="7" style="191" customWidth="1"/>
    <col min="12031" max="12031" width="12" style="191" customWidth="1"/>
    <col min="12032" max="12032" width="69.28515625" style="191" customWidth="1"/>
    <col min="12033" max="12033" width="12.7109375" style="191" customWidth="1"/>
    <col min="12034" max="12034" width="8.28515625" style="191" customWidth="1"/>
    <col min="12035" max="12035" width="17.85546875" style="191" customWidth="1"/>
    <col min="12036" max="12036" width="24.42578125" style="191" customWidth="1"/>
    <col min="12037" max="12037" width="10.7109375" style="191" customWidth="1"/>
    <col min="12038" max="12038" width="13.7109375" style="191" customWidth="1"/>
    <col min="12039" max="12039" width="22" style="191" customWidth="1"/>
    <col min="12040" max="12040" width="13.85546875" style="191" customWidth="1"/>
    <col min="12041" max="12041" width="9.140625" style="191"/>
    <col min="12042" max="12042" width="14.42578125" style="191" customWidth="1"/>
    <col min="12043" max="12043" width="9.28515625" style="191" customWidth="1"/>
    <col min="12044" max="12044" width="14.42578125" style="191" customWidth="1"/>
    <col min="12045" max="12045" width="10.140625" style="191" customWidth="1"/>
    <col min="12046" max="12046" width="15" style="191" customWidth="1"/>
    <col min="12047" max="12047" width="9.140625" style="191"/>
    <col min="12048" max="12048" width="14.85546875" style="191" customWidth="1"/>
    <col min="12049" max="12056" width="9.140625" style="191"/>
    <col min="12057" max="12057" width="13" style="191" customWidth="1"/>
    <col min="12058" max="12058" width="9.140625" style="191"/>
    <col min="12059" max="12059" width="16.140625" style="191" customWidth="1"/>
    <col min="12060" max="12060" width="9.140625" style="191"/>
    <col min="12061" max="12062" width="12.85546875" style="191" customWidth="1"/>
    <col min="12063" max="12063" width="14.28515625" style="191" customWidth="1"/>
    <col min="12064" max="12066" width="9.140625" style="191"/>
    <col min="12067" max="12067" width="16.28515625" style="191" customWidth="1"/>
    <col min="12068" max="12068" width="9.140625" style="191"/>
    <col min="12069" max="12070" width="12.85546875" style="191" customWidth="1"/>
    <col min="12071" max="12071" width="16.140625" style="191" customWidth="1"/>
    <col min="12072" max="12073" width="9.140625" style="191"/>
    <col min="12074" max="12074" width="12.5703125" style="191" customWidth="1"/>
    <col min="12075" max="12285" width="9.140625" style="191"/>
    <col min="12286" max="12286" width="7" style="191" customWidth="1"/>
    <col min="12287" max="12287" width="12" style="191" customWidth="1"/>
    <col min="12288" max="12288" width="69.28515625" style="191" customWidth="1"/>
    <col min="12289" max="12289" width="12.7109375" style="191" customWidth="1"/>
    <col min="12290" max="12290" width="8.28515625" style="191" customWidth="1"/>
    <col min="12291" max="12291" width="17.85546875" style="191" customWidth="1"/>
    <col min="12292" max="12292" width="24.42578125" style="191" customWidth="1"/>
    <col min="12293" max="12293" width="10.7109375" style="191" customWidth="1"/>
    <col min="12294" max="12294" width="13.7109375" style="191" customWidth="1"/>
    <col min="12295" max="12295" width="22" style="191" customWidth="1"/>
    <col min="12296" max="12296" width="13.85546875" style="191" customWidth="1"/>
    <col min="12297" max="12297" width="9.140625" style="191"/>
    <col min="12298" max="12298" width="14.42578125" style="191" customWidth="1"/>
    <col min="12299" max="12299" width="9.28515625" style="191" customWidth="1"/>
    <col min="12300" max="12300" width="14.42578125" style="191" customWidth="1"/>
    <col min="12301" max="12301" width="10.140625" style="191" customWidth="1"/>
    <col min="12302" max="12302" width="15" style="191" customWidth="1"/>
    <col min="12303" max="12303" width="9.140625" style="191"/>
    <col min="12304" max="12304" width="14.85546875" style="191" customWidth="1"/>
    <col min="12305" max="12312" width="9.140625" style="191"/>
    <col min="12313" max="12313" width="13" style="191" customWidth="1"/>
    <col min="12314" max="12314" width="9.140625" style="191"/>
    <col min="12315" max="12315" width="16.140625" style="191" customWidth="1"/>
    <col min="12316" max="12316" width="9.140625" style="191"/>
    <col min="12317" max="12318" width="12.85546875" style="191" customWidth="1"/>
    <col min="12319" max="12319" width="14.28515625" style="191" customWidth="1"/>
    <col min="12320" max="12322" width="9.140625" style="191"/>
    <col min="12323" max="12323" width="16.28515625" style="191" customWidth="1"/>
    <col min="12324" max="12324" width="9.140625" style="191"/>
    <col min="12325" max="12326" width="12.85546875" style="191" customWidth="1"/>
    <col min="12327" max="12327" width="16.140625" style="191" customWidth="1"/>
    <col min="12328" max="12329" width="9.140625" style="191"/>
    <col min="12330" max="12330" width="12.5703125" style="191" customWidth="1"/>
    <col min="12331" max="12541" width="9.140625" style="191"/>
    <col min="12542" max="12542" width="7" style="191" customWidth="1"/>
    <col min="12543" max="12543" width="12" style="191" customWidth="1"/>
    <col min="12544" max="12544" width="69.28515625" style="191" customWidth="1"/>
    <col min="12545" max="12545" width="12.7109375" style="191" customWidth="1"/>
    <col min="12546" max="12546" width="8.28515625" style="191" customWidth="1"/>
    <col min="12547" max="12547" width="17.85546875" style="191" customWidth="1"/>
    <col min="12548" max="12548" width="24.42578125" style="191" customWidth="1"/>
    <col min="12549" max="12549" width="10.7109375" style="191" customWidth="1"/>
    <col min="12550" max="12550" width="13.7109375" style="191" customWidth="1"/>
    <col min="12551" max="12551" width="22" style="191" customWidth="1"/>
    <col min="12552" max="12552" width="13.85546875" style="191" customWidth="1"/>
    <col min="12553" max="12553" width="9.140625" style="191"/>
    <col min="12554" max="12554" width="14.42578125" style="191" customWidth="1"/>
    <col min="12555" max="12555" width="9.28515625" style="191" customWidth="1"/>
    <col min="12556" max="12556" width="14.42578125" style="191" customWidth="1"/>
    <col min="12557" max="12557" width="10.140625" style="191" customWidth="1"/>
    <col min="12558" max="12558" width="15" style="191" customWidth="1"/>
    <col min="12559" max="12559" width="9.140625" style="191"/>
    <col min="12560" max="12560" width="14.85546875" style="191" customWidth="1"/>
    <col min="12561" max="12568" width="9.140625" style="191"/>
    <col min="12569" max="12569" width="13" style="191" customWidth="1"/>
    <col min="12570" max="12570" width="9.140625" style="191"/>
    <col min="12571" max="12571" width="16.140625" style="191" customWidth="1"/>
    <col min="12572" max="12572" width="9.140625" style="191"/>
    <col min="12573" max="12574" width="12.85546875" style="191" customWidth="1"/>
    <col min="12575" max="12575" width="14.28515625" style="191" customWidth="1"/>
    <col min="12576" max="12578" width="9.140625" style="191"/>
    <col min="12579" max="12579" width="16.28515625" style="191" customWidth="1"/>
    <col min="12580" max="12580" width="9.140625" style="191"/>
    <col min="12581" max="12582" width="12.85546875" style="191" customWidth="1"/>
    <col min="12583" max="12583" width="16.140625" style="191" customWidth="1"/>
    <col min="12584" max="12585" width="9.140625" style="191"/>
    <col min="12586" max="12586" width="12.5703125" style="191" customWidth="1"/>
    <col min="12587" max="12797" width="9.140625" style="191"/>
    <col min="12798" max="12798" width="7" style="191" customWidth="1"/>
    <col min="12799" max="12799" width="12" style="191" customWidth="1"/>
    <col min="12800" max="12800" width="69.28515625" style="191" customWidth="1"/>
    <col min="12801" max="12801" width="12.7109375" style="191" customWidth="1"/>
    <col min="12802" max="12802" width="8.28515625" style="191" customWidth="1"/>
    <col min="12803" max="12803" width="17.85546875" style="191" customWidth="1"/>
    <col min="12804" max="12804" width="24.42578125" style="191" customWidth="1"/>
    <col min="12805" max="12805" width="10.7109375" style="191" customWidth="1"/>
    <col min="12806" max="12806" width="13.7109375" style="191" customWidth="1"/>
    <col min="12807" max="12807" width="22" style="191" customWidth="1"/>
    <col min="12808" max="12808" width="13.85546875" style="191" customWidth="1"/>
    <col min="12809" max="12809" width="9.140625" style="191"/>
    <col min="12810" max="12810" width="14.42578125" style="191" customWidth="1"/>
    <col min="12811" max="12811" width="9.28515625" style="191" customWidth="1"/>
    <col min="12812" max="12812" width="14.42578125" style="191" customWidth="1"/>
    <col min="12813" max="12813" width="10.140625" style="191" customWidth="1"/>
    <col min="12814" max="12814" width="15" style="191" customWidth="1"/>
    <col min="12815" max="12815" width="9.140625" style="191"/>
    <col min="12816" max="12816" width="14.85546875" style="191" customWidth="1"/>
    <col min="12817" max="12824" width="9.140625" style="191"/>
    <col min="12825" max="12825" width="13" style="191" customWidth="1"/>
    <col min="12826" max="12826" width="9.140625" style="191"/>
    <col min="12827" max="12827" width="16.140625" style="191" customWidth="1"/>
    <col min="12828" max="12828" width="9.140625" style="191"/>
    <col min="12829" max="12830" width="12.85546875" style="191" customWidth="1"/>
    <col min="12831" max="12831" width="14.28515625" style="191" customWidth="1"/>
    <col min="12832" max="12834" width="9.140625" style="191"/>
    <col min="12835" max="12835" width="16.28515625" style="191" customWidth="1"/>
    <col min="12836" max="12836" width="9.140625" style="191"/>
    <col min="12837" max="12838" width="12.85546875" style="191" customWidth="1"/>
    <col min="12839" max="12839" width="16.140625" style="191" customWidth="1"/>
    <col min="12840" max="12841" width="9.140625" style="191"/>
    <col min="12842" max="12842" width="12.5703125" style="191" customWidth="1"/>
    <col min="12843" max="13053" width="9.140625" style="191"/>
    <col min="13054" max="13054" width="7" style="191" customWidth="1"/>
    <col min="13055" max="13055" width="12" style="191" customWidth="1"/>
    <col min="13056" max="13056" width="69.28515625" style="191" customWidth="1"/>
    <col min="13057" max="13057" width="12.7109375" style="191" customWidth="1"/>
    <col min="13058" max="13058" width="8.28515625" style="191" customWidth="1"/>
    <col min="13059" max="13059" width="17.85546875" style="191" customWidth="1"/>
    <col min="13060" max="13060" width="24.42578125" style="191" customWidth="1"/>
    <col min="13061" max="13061" width="10.7109375" style="191" customWidth="1"/>
    <col min="13062" max="13062" width="13.7109375" style="191" customWidth="1"/>
    <col min="13063" max="13063" width="22" style="191" customWidth="1"/>
    <col min="13064" max="13064" width="13.85546875" style="191" customWidth="1"/>
    <col min="13065" max="13065" width="9.140625" style="191"/>
    <col min="13066" max="13066" width="14.42578125" style="191" customWidth="1"/>
    <col min="13067" max="13067" width="9.28515625" style="191" customWidth="1"/>
    <col min="13068" max="13068" width="14.42578125" style="191" customWidth="1"/>
    <col min="13069" max="13069" width="10.140625" style="191" customWidth="1"/>
    <col min="13070" max="13070" width="15" style="191" customWidth="1"/>
    <col min="13071" max="13071" width="9.140625" style="191"/>
    <col min="13072" max="13072" width="14.85546875" style="191" customWidth="1"/>
    <col min="13073" max="13080" width="9.140625" style="191"/>
    <col min="13081" max="13081" width="13" style="191" customWidth="1"/>
    <col min="13082" max="13082" width="9.140625" style="191"/>
    <col min="13083" max="13083" width="16.140625" style="191" customWidth="1"/>
    <col min="13084" max="13084" width="9.140625" style="191"/>
    <col min="13085" max="13086" width="12.85546875" style="191" customWidth="1"/>
    <col min="13087" max="13087" width="14.28515625" style="191" customWidth="1"/>
    <col min="13088" max="13090" width="9.140625" style="191"/>
    <col min="13091" max="13091" width="16.28515625" style="191" customWidth="1"/>
    <col min="13092" max="13092" width="9.140625" style="191"/>
    <col min="13093" max="13094" width="12.85546875" style="191" customWidth="1"/>
    <col min="13095" max="13095" width="16.140625" style="191" customWidth="1"/>
    <col min="13096" max="13097" width="9.140625" style="191"/>
    <col min="13098" max="13098" width="12.5703125" style="191" customWidth="1"/>
    <col min="13099" max="13309" width="9.140625" style="191"/>
    <col min="13310" max="13310" width="7" style="191" customWidth="1"/>
    <col min="13311" max="13311" width="12" style="191" customWidth="1"/>
    <col min="13312" max="13312" width="69.28515625" style="191" customWidth="1"/>
    <col min="13313" max="13313" width="12.7109375" style="191" customWidth="1"/>
    <col min="13314" max="13314" width="8.28515625" style="191" customWidth="1"/>
    <col min="13315" max="13315" width="17.85546875" style="191" customWidth="1"/>
    <col min="13316" max="13316" width="24.42578125" style="191" customWidth="1"/>
    <col min="13317" max="13317" width="10.7109375" style="191" customWidth="1"/>
    <col min="13318" max="13318" width="13.7109375" style="191" customWidth="1"/>
    <col min="13319" max="13319" width="22" style="191" customWidth="1"/>
    <col min="13320" max="13320" width="13.85546875" style="191" customWidth="1"/>
    <col min="13321" max="13321" width="9.140625" style="191"/>
    <col min="13322" max="13322" width="14.42578125" style="191" customWidth="1"/>
    <col min="13323" max="13323" width="9.28515625" style="191" customWidth="1"/>
    <col min="13324" max="13324" width="14.42578125" style="191" customWidth="1"/>
    <col min="13325" max="13325" width="10.140625" style="191" customWidth="1"/>
    <col min="13326" max="13326" width="15" style="191" customWidth="1"/>
    <col min="13327" max="13327" width="9.140625" style="191"/>
    <col min="13328" max="13328" width="14.85546875" style="191" customWidth="1"/>
    <col min="13329" max="13336" width="9.140625" style="191"/>
    <col min="13337" max="13337" width="13" style="191" customWidth="1"/>
    <col min="13338" max="13338" width="9.140625" style="191"/>
    <col min="13339" max="13339" width="16.140625" style="191" customWidth="1"/>
    <col min="13340" max="13340" width="9.140625" style="191"/>
    <col min="13341" max="13342" width="12.85546875" style="191" customWidth="1"/>
    <col min="13343" max="13343" width="14.28515625" style="191" customWidth="1"/>
    <col min="13344" max="13346" width="9.140625" style="191"/>
    <col min="13347" max="13347" width="16.28515625" style="191" customWidth="1"/>
    <col min="13348" max="13348" width="9.140625" style="191"/>
    <col min="13349" max="13350" width="12.85546875" style="191" customWidth="1"/>
    <col min="13351" max="13351" width="16.140625" style="191" customWidth="1"/>
    <col min="13352" max="13353" width="9.140625" style="191"/>
    <col min="13354" max="13354" width="12.5703125" style="191" customWidth="1"/>
    <col min="13355" max="13565" width="9.140625" style="191"/>
    <col min="13566" max="13566" width="7" style="191" customWidth="1"/>
    <col min="13567" max="13567" width="12" style="191" customWidth="1"/>
    <col min="13568" max="13568" width="69.28515625" style="191" customWidth="1"/>
    <col min="13569" max="13569" width="12.7109375" style="191" customWidth="1"/>
    <col min="13570" max="13570" width="8.28515625" style="191" customWidth="1"/>
    <col min="13571" max="13571" width="17.85546875" style="191" customWidth="1"/>
    <col min="13572" max="13572" width="24.42578125" style="191" customWidth="1"/>
    <col min="13573" max="13573" width="10.7109375" style="191" customWidth="1"/>
    <col min="13574" max="13574" width="13.7109375" style="191" customWidth="1"/>
    <col min="13575" max="13575" width="22" style="191" customWidth="1"/>
    <col min="13576" max="13576" width="13.85546875" style="191" customWidth="1"/>
    <col min="13577" max="13577" width="9.140625" style="191"/>
    <col min="13578" max="13578" width="14.42578125" style="191" customWidth="1"/>
    <col min="13579" max="13579" width="9.28515625" style="191" customWidth="1"/>
    <col min="13580" max="13580" width="14.42578125" style="191" customWidth="1"/>
    <col min="13581" max="13581" width="10.140625" style="191" customWidth="1"/>
    <col min="13582" max="13582" width="15" style="191" customWidth="1"/>
    <col min="13583" max="13583" width="9.140625" style="191"/>
    <col min="13584" max="13584" width="14.85546875" style="191" customWidth="1"/>
    <col min="13585" max="13592" width="9.140625" style="191"/>
    <col min="13593" max="13593" width="13" style="191" customWidth="1"/>
    <col min="13594" max="13594" width="9.140625" style="191"/>
    <col min="13595" max="13595" width="16.140625" style="191" customWidth="1"/>
    <col min="13596" max="13596" width="9.140625" style="191"/>
    <col min="13597" max="13598" width="12.85546875" style="191" customWidth="1"/>
    <col min="13599" max="13599" width="14.28515625" style="191" customWidth="1"/>
    <col min="13600" max="13602" width="9.140625" style="191"/>
    <col min="13603" max="13603" width="16.28515625" style="191" customWidth="1"/>
    <col min="13604" max="13604" width="9.140625" style="191"/>
    <col min="13605" max="13606" width="12.85546875" style="191" customWidth="1"/>
    <col min="13607" max="13607" width="16.140625" style="191" customWidth="1"/>
    <col min="13608" max="13609" width="9.140625" style="191"/>
    <col min="13610" max="13610" width="12.5703125" style="191" customWidth="1"/>
    <col min="13611" max="13821" width="9.140625" style="191"/>
    <col min="13822" max="13822" width="7" style="191" customWidth="1"/>
    <col min="13823" max="13823" width="12" style="191" customWidth="1"/>
    <col min="13824" max="13824" width="69.28515625" style="191" customWidth="1"/>
    <col min="13825" max="13825" width="12.7109375" style="191" customWidth="1"/>
    <col min="13826" max="13826" width="8.28515625" style="191" customWidth="1"/>
    <col min="13827" max="13827" width="17.85546875" style="191" customWidth="1"/>
    <col min="13828" max="13828" width="24.42578125" style="191" customWidth="1"/>
    <col min="13829" max="13829" width="10.7109375" style="191" customWidth="1"/>
    <col min="13830" max="13830" width="13.7109375" style="191" customWidth="1"/>
    <col min="13831" max="13831" width="22" style="191" customWidth="1"/>
    <col min="13832" max="13832" width="13.85546875" style="191" customWidth="1"/>
    <col min="13833" max="13833" width="9.140625" style="191"/>
    <col min="13834" max="13834" width="14.42578125" style="191" customWidth="1"/>
    <col min="13835" max="13835" width="9.28515625" style="191" customWidth="1"/>
    <col min="13836" max="13836" width="14.42578125" style="191" customWidth="1"/>
    <col min="13837" max="13837" width="10.140625" style="191" customWidth="1"/>
    <col min="13838" max="13838" width="15" style="191" customWidth="1"/>
    <col min="13839" max="13839" width="9.140625" style="191"/>
    <col min="13840" max="13840" width="14.85546875" style="191" customWidth="1"/>
    <col min="13841" max="13848" width="9.140625" style="191"/>
    <col min="13849" max="13849" width="13" style="191" customWidth="1"/>
    <col min="13850" max="13850" width="9.140625" style="191"/>
    <col min="13851" max="13851" width="16.140625" style="191" customWidth="1"/>
    <col min="13852" max="13852" width="9.140625" style="191"/>
    <col min="13853" max="13854" width="12.85546875" style="191" customWidth="1"/>
    <col min="13855" max="13855" width="14.28515625" style="191" customWidth="1"/>
    <col min="13856" max="13858" width="9.140625" style="191"/>
    <col min="13859" max="13859" width="16.28515625" style="191" customWidth="1"/>
    <col min="13860" max="13860" width="9.140625" style="191"/>
    <col min="13861" max="13862" width="12.85546875" style="191" customWidth="1"/>
    <col min="13863" max="13863" width="16.140625" style="191" customWidth="1"/>
    <col min="13864" max="13865" width="9.140625" style="191"/>
    <col min="13866" max="13866" width="12.5703125" style="191" customWidth="1"/>
    <col min="13867" max="14077" width="9.140625" style="191"/>
    <col min="14078" max="14078" width="7" style="191" customWidth="1"/>
    <col min="14079" max="14079" width="12" style="191" customWidth="1"/>
    <col min="14080" max="14080" width="69.28515625" style="191" customWidth="1"/>
    <col min="14081" max="14081" width="12.7109375" style="191" customWidth="1"/>
    <col min="14082" max="14082" width="8.28515625" style="191" customWidth="1"/>
    <col min="14083" max="14083" width="17.85546875" style="191" customWidth="1"/>
    <col min="14084" max="14084" width="24.42578125" style="191" customWidth="1"/>
    <col min="14085" max="14085" width="10.7109375" style="191" customWidth="1"/>
    <col min="14086" max="14086" width="13.7109375" style="191" customWidth="1"/>
    <col min="14087" max="14087" width="22" style="191" customWidth="1"/>
    <col min="14088" max="14088" width="13.85546875" style="191" customWidth="1"/>
    <col min="14089" max="14089" width="9.140625" style="191"/>
    <col min="14090" max="14090" width="14.42578125" style="191" customWidth="1"/>
    <col min="14091" max="14091" width="9.28515625" style="191" customWidth="1"/>
    <col min="14092" max="14092" width="14.42578125" style="191" customWidth="1"/>
    <col min="14093" max="14093" width="10.140625" style="191" customWidth="1"/>
    <col min="14094" max="14094" width="15" style="191" customWidth="1"/>
    <col min="14095" max="14095" width="9.140625" style="191"/>
    <col min="14096" max="14096" width="14.85546875" style="191" customWidth="1"/>
    <col min="14097" max="14104" width="9.140625" style="191"/>
    <col min="14105" max="14105" width="13" style="191" customWidth="1"/>
    <col min="14106" max="14106" width="9.140625" style="191"/>
    <col min="14107" max="14107" width="16.140625" style="191" customWidth="1"/>
    <col min="14108" max="14108" width="9.140625" style="191"/>
    <col min="14109" max="14110" width="12.85546875" style="191" customWidth="1"/>
    <col min="14111" max="14111" width="14.28515625" style="191" customWidth="1"/>
    <col min="14112" max="14114" width="9.140625" style="191"/>
    <col min="14115" max="14115" width="16.28515625" style="191" customWidth="1"/>
    <col min="14116" max="14116" width="9.140625" style="191"/>
    <col min="14117" max="14118" width="12.85546875" style="191" customWidth="1"/>
    <col min="14119" max="14119" width="16.140625" style="191" customWidth="1"/>
    <col min="14120" max="14121" width="9.140625" style="191"/>
    <col min="14122" max="14122" width="12.5703125" style="191" customWidth="1"/>
    <col min="14123" max="14333" width="9.140625" style="191"/>
    <col min="14334" max="14334" width="7" style="191" customWidth="1"/>
    <col min="14335" max="14335" width="12" style="191" customWidth="1"/>
    <col min="14336" max="14336" width="69.28515625" style="191" customWidth="1"/>
    <col min="14337" max="14337" width="12.7109375" style="191" customWidth="1"/>
    <col min="14338" max="14338" width="8.28515625" style="191" customWidth="1"/>
    <col min="14339" max="14339" width="17.85546875" style="191" customWidth="1"/>
    <col min="14340" max="14340" width="24.42578125" style="191" customWidth="1"/>
    <col min="14341" max="14341" width="10.7109375" style="191" customWidth="1"/>
    <col min="14342" max="14342" width="13.7109375" style="191" customWidth="1"/>
    <col min="14343" max="14343" width="22" style="191" customWidth="1"/>
    <col min="14344" max="14344" width="13.85546875" style="191" customWidth="1"/>
    <col min="14345" max="14345" width="9.140625" style="191"/>
    <col min="14346" max="14346" width="14.42578125" style="191" customWidth="1"/>
    <col min="14347" max="14347" width="9.28515625" style="191" customWidth="1"/>
    <col min="14348" max="14348" width="14.42578125" style="191" customWidth="1"/>
    <col min="14349" max="14349" width="10.140625" style="191" customWidth="1"/>
    <col min="14350" max="14350" width="15" style="191" customWidth="1"/>
    <col min="14351" max="14351" width="9.140625" style="191"/>
    <col min="14352" max="14352" width="14.85546875" style="191" customWidth="1"/>
    <col min="14353" max="14360" width="9.140625" style="191"/>
    <col min="14361" max="14361" width="13" style="191" customWidth="1"/>
    <col min="14362" max="14362" width="9.140625" style="191"/>
    <col min="14363" max="14363" width="16.140625" style="191" customWidth="1"/>
    <col min="14364" max="14364" width="9.140625" style="191"/>
    <col min="14365" max="14366" width="12.85546875" style="191" customWidth="1"/>
    <col min="14367" max="14367" width="14.28515625" style="191" customWidth="1"/>
    <col min="14368" max="14370" width="9.140625" style="191"/>
    <col min="14371" max="14371" width="16.28515625" style="191" customWidth="1"/>
    <col min="14372" max="14372" width="9.140625" style="191"/>
    <col min="14373" max="14374" width="12.85546875" style="191" customWidth="1"/>
    <col min="14375" max="14375" width="16.140625" style="191" customWidth="1"/>
    <col min="14376" max="14377" width="9.140625" style="191"/>
    <col min="14378" max="14378" width="12.5703125" style="191" customWidth="1"/>
    <col min="14379" max="14589" width="9.140625" style="191"/>
    <col min="14590" max="14590" width="7" style="191" customWidth="1"/>
    <col min="14591" max="14591" width="12" style="191" customWidth="1"/>
    <col min="14592" max="14592" width="69.28515625" style="191" customWidth="1"/>
    <col min="14593" max="14593" width="12.7109375" style="191" customWidth="1"/>
    <col min="14594" max="14594" width="8.28515625" style="191" customWidth="1"/>
    <col min="14595" max="14595" width="17.85546875" style="191" customWidth="1"/>
    <col min="14596" max="14596" width="24.42578125" style="191" customWidth="1"/>
    <col min="14597" max="14597" width="10.7109375" style="191" customWidth="1"/>
    <col min="14598" max="14598" width="13.7109375" style="191" customWidth="1"/>
    <col min="14599" max="14599" width="22" style="191" customWidth="1"/>
    <col min="14600" max="14600" width="13.85546875" style="191" customWidth="1"/>
    <col min="14601" max="14601" width="9.140625" style="191"/>
    <col min="14602" max="14602" width="14.42578125" style="191" customWidth="1"/>
    <col min="14603" max="14603" width="9.28515625" style="191" customWidth="1"/>
    <col min="14604" max="14604" width="14.42578125" style="191" customWidth="1"/>
    <col min="14605" max="14605" width="10.140625" style="191" customWidth="1"/>
    <col min="14606" max="14606" width="15" style="191" customWidth="1"/>
    <col min="14607" max="14607" width="9.140625" style="191"/>
    <col min="14608" max="14608" width="14.85546875" style="191" customWidth="1"/>
    <col min="14609" max="14616" width="9.140625" style="191"/>
    <col min="14617" max="14617" width="13" style="191" customWidth="1"/>
    <col min="14618" max="14618" width="9.140625" style="191"/>
    <col min="14619" max="14619" width="16.140625" style="191" customWidth="1"/>
    <col min="14620" max="14620" width="9.140625" style="191"/>
    <col min="14621" max="14622" width="12.85546875" style="191" customWidth="1"/>
    <col min="14623" max="14623" width="14.28515625" style="191" customWidth="1"/>
    <col min="14624" max="14626" width="9.140625" style="191"/>
    <col min="14627" max="14627" width="16.28515625" style="191" customWidth="1"/>
    <col min="14628" max="14628" width="9.140625" style="191"/>
    <col min="14629" max="14630" width="12.85546875" style="191" customWidth="1"/>
    <col min="14631" max="14631" width="16.140625" style="191" customWidth="1"/>
    <col min="14632" max="14633" width="9.140625" style="191"/>
    <col min="14634" max="14634" width="12.5703125" style="191" customWidth="1"/>
    <col min="14635" max="14845" width="9.140625" style="191"/>
    <col min="14846" max="14846" width="7" style="191" customWidth="1"/>
    <col min="14847" max="14847" width="12" style="191" customWidth="1"/>
    <col min="14848" max="14848" width="69.28515625" style="191" customWidth="1"/>
    <col min="14849" max="14849" width="12.7109375" style="191" customWidth="1"/>
    <col min="14850" max="14850" width="8.28515625" style="191" customWidth="1"/>
    <col min="14851" max="14851" width="17.85546875" style="191" customWidth="1"/>
    <col min="14852" max="14852" width="24.42578125" style="191" customWidth="1"/>
    <col min="14853" max="14853" width="10.7109375" style="191" customWidth="1"/>
    <col min="14854" max="14854" width="13.7109375" style="191" customWidth="1"/>
    <col min="14855" max="14855" width="22" style="191" customWidth="1"/>
    <col min="14856" max="14856" width="13.85546875" style="191" customWidth="1"/>
    <col min="14857" max="14857" width="9.140625" style="191"/>
    <col min="14858" max="14858" width="14.42578125" style="191" customWidth="1"/>
    <col min="14859" max="14859" width="9.28515625" style="191" customWidth="1"/>
    <col min="14860" max="14860" width="14.42578125" style="191" customWidth="1"/>
    <col min="14861" max="14861" width="10.140625" style="191" customWidth="1"/>
    <col min="14862" max="14862" width="15" style="191" customWidth="1"/>
    <col min="14863" max="14863" width="9.140625" style="191"/>
    <col min="14864" max="14864" width="14.85546875" style="191" customWidth="1"/>
    <col min="14865" max="14872" width="9.140625" style="191"/>
    <col min="14873" max="14873" width="13" style="191" customWidth="1"/>
    <col min="14874" max="14874" width="9.140625" style="191"/>
    <col min="14875" max="14875" width="16.140625" style="191" customWidth="1"/>
    <col min="14876" max="14876" width="9.140625" style="191"/>
    <col min="14877" max="14878" width="12.85546875" style="191" customWidth="1"/>
    <col min="14879" max="14879" width="14.28515625" style="191" customWidth="1"/>
    <col min="14880" max="14882" width="9.140625" style="191"/>
    <col min="14883" max="14883" width="16.28515625" style="191" customWidth="1"/>
    <col min="14884" max="14884" width="9.140625" style="191"/>
    <col min="14885" max="14886" width="12.85546875" style="191" customWidth="1"/>
    <col min="14887" max="14887" width="16.140625" style="191" customWidth="1"/>
    <col min="14888" max="14889" width="9.140625" style="191"/>
    <col min="14890" max="14890" width="12.5703125" style="191" customWidth="1"/>
    <col min="14891" max="15101" width="9.140625" style="191"/>
    <col min="15102" max="15102" width="7" style="191" customWidth="1"/>
    <col min="15103" max="15103" width="12" style="191" customWidth="1"/>
    <col min="15104" max="15104" width="69.28515625" style="191" customWidth="1"/>
    <col min="15105" max="15105" width="12.7109375" style="191" customWidth="1"/>
    <col min="15106" max="15106" width="8.28515625" style="191" customWidth="1"/>
    <col min="15107" max="15107" width="17.85546875" style="191" customWidth="1"/>
    <col min="15108" max="15108" width="24.42578125" style="191" customWidth="1"/>
    <col min="15109" max="15109" width="10.7109375" style="191" customWidth="1"/>
    <col min="15110" max="15110" width="13.7109375" style="191" customWidth="1"/>
    <col min="15111" max="15111" width="22" style="191" customWidth="1"/>
    <col min="15112" max="15112" width="13.85546875" style="191" customWidth="1"/>
    <col min="15113" max="15113" width="9.140625" style="191"/>
    <col min="15114" max="15114" width="14.42578125" style="191" customWidth="1"/>
    <col min="15115" max="15115" width="9.28515625" style="191" customWidth="1"/>
    <col min="15116" max="15116" width="14.42578125" style="191" customWidth="1"/>
    <col min="15117" max="15117" width="10.140625" style="191" customWidth="1"/>
    <col min="15118" max="15118" width="15" style="191" customWidth="1"/>
    <col min="15119" max="15119" width="9.140625" style="191"/>
    <col min="15120" max="15120" width="14.85546875" style="191" customWidth="1"/>
    <col min="15121" max="15128" width="9.140625" style="191"/>
    <col min="15129" max="15129" width="13" style="191" customWidth="1"/>
    <col min="15130" max="15130" width="9.140625" style="191"/>
    <col min="15131" max="15131" width="16.140625" style="191" customWidth="1"/>
    <col min="15132" max="15132" width="9.140625" style="191"/>
    <col min="15133" max="15134" width="12.85546875" style="191" customWidth="1"/>
    <col min="15135" max="15135" width="14.28515625" style="191" customWidth="1"/>
    <col min="15136" max="15138" width="9.140625" style="191"/>
    <col min="15139" max="15139" width="16.28515625" style="191" customWidth="1"/>
    <col min="15140" max="15140" width="9.140625" style="191"/>
    <col min="15141" max="15142" width="12.85546875" style="191" customWidth="1"/>
    <col min="15143" max="15143" width="16.140625" style="191" customWidth="1"/>
    <col min="15144" max="15145" width="9.140625" style="191"/>
    <col min="15146" max="15146" width="12.5703125" style="191" customWidth="1"/>
    <col min="15147" max="15357" width="9.140625" style="191"/>
    <col min="15358" max="15358" width="7" style="191" customWidth="1"/>
    <col min="15359" max="15359" width="12" style="191" customWidth="1"/>
    <col min="15360" max="15360" width="69.28515625" style="191" customWidth="1"/>
    <col min="15361" max="15361" width="12.7109375" style="191" customWidth="1"/>
    <col min="15362" max="15362" width="8.28515625" style="191" customWidth="1"/>
    <col min="15363" max="15363" width="17.85546875" style="191" customWidth="1"/>
    <col min="15364" max="15364" width="24.42578125" style="191" customWidth="1"/>
    <col min="15365" max="15365" width="10.7109375" style="191" customWidth="1"/>
    <col min="15366" max="15366" width="13.7109375" style="191" customWidth="1"/>
    <col min="15367" max="15367" width="22" style="191" customWidth="1"/>
    <col min="15368" max="15368" width="13.85546875" style="191" customWidth="1"/>
    <col min="15369" max="15369" width="9.140625" style="191"/>
    <col min="15370" max="15370" width="14.42578125" style="191" customWidth="1"/>
    <col min="15371" max="15371" width="9.28515625" style="191" customWidth="1"/>
    <col min="15372" max="15372" width="14.42578125" style="191" customWidth="1"/>
    <col min="15373" max="15373" width="10.140625" style="191" customWidth="1"/>
    <col min="15374" max="15374" width="15" style="191" customWidth="1"/>
    <col min="15375" max="15375" width="9.140625" style="191"/>
    <col min="15376" max="15376" width="14.85546875" style="191" customWidth="1"/>
    <col min="15377" max="15384" width="9.140625" style="191"/>
    <col min="15385" max="15385" width="13" style="191" customWidth="1"/>
    <col min="15386" max="15386" width="9.140625" style="191"/>
    <col min="15387" max="15387" width="16.140625" style="191" customWidth="1"/>
    <col min="15388" max="15388" width="9.140625" style="191"/>
    <col min="15389" max="15390" width="12.85546875" style="191" customWidth="1"/>
    <col min="15391" max="15391" width="14.28515625" style="191" customWidth="1"/>
    <col min="15392" max="15394" width="9.140625" style="191"/>
    <col min="15395" max="15395" width="16.28515625" style="191" customWidth="1"/>
    <col min="15396" max="15396" width="9.140625" style="191"/>
    <col min="15397" max="15398" width="12.85546875" style="191" customWidth="1"/>
    <col min="15399" max="15399" width="16.140625" style="191" customWidth="1"/>
    <col min="15400" max="15401" width="9.140625" style="191"/>
    <col min="15402" max="15402" width="12.5703125" style="191" customWidth="1"/>
    <col min="15403" max="15613" width="9.140625" style="191"/>
    <col min="15614" max="15614" width="7" style="191" customWidth="1"/>
    <col min="15615" max="15615" width="12" style="191" customWidth="1"/>
    <col min="15616" max="15616" width="69.28515625" style="191" customWidth="1"/>
    <col min="15617" max="15617" width="12.7109375" style="191" customWidth="1"/>
    <col min="15618" max="15618" width="8.28515625" style="191" customWidth="1"/>
    <col min="15619" max="15619" width="17.85546875" style="191" customWidth="1"/>
    <col min="15620" max="15620" width="24.42578125" style="191" customWidth="1"/>
    <col min="15621" max="15621" width="10.7109375" style="191" customWidth="1"/>
    <col min="15622" max="15622" width="13.7109375" style="191" customWidth="1"/>
    <col min="15623" max="15623" width="22" style="191" customWidth="1"/>
    <col min="15624" max="15624" width="13.85546875" style="191" customWidth="1"/>
    <col min="15625" max="15625" width="9.140625" style="191"/>
    <col min="15626" max="15626" width="14.42578125" style="191" customWidth="1"/>
    <col min="15627" max="15627" width="9.28515625" style="191" customWidth="1"/>
    <col min="15628" max="15628" width="14.42578125" style="191" customWidth="1"/>
    <col min="15629" max="15629" width="10.140625" style="191" customWidth="1"/>
    <col min="15630" max="15630" width="15" style="191" customWidth="1"/>
    <col min="15631" max="15631" width="9.140625" style="191"/>
    <col min="15632" max="15632" width="14.85546875" style="191" customWidth="1"/>
    <col min="15633" max="15640" width="9.140625" style="191"/>
    <col min="15641" max="15641" width="13" style="191" customWidth="1"/>
    <col min="15642" max="15642" width="9.140625" style="191"/>
    <col min="15643" max="15643" width="16.140625" style="191" customWidth="1"/>
    <col min="15644" max="15644" width="9.140625" style="191"/>
    <col min="15645" max="15646" width="12.85546875" style="191" customWidth="1"/>
    <col min="15647" max="15647" width="14.28515625" style="191" customWidth="1"/>
    <col min="15648" max="15650" width="9.140625" style="191"/>
    <col min="15651" max="15651" width="16.28515625" style="191" customWidth="1"/>
    <col min="15652" max="15652" width="9.140625" style="191"/>
    <col min="15653" max="15654" width="12.85546875" style="191" customWidth="1"/>
    <col min="15655" max="15655" width="16.140625" style="191" customWidth="1"/>
    <col min="15656" max="15657" width="9.140625" style="191"/>
    <col min="15658" max="15658" width="12.5703125" style="191" customWidth="1"/>
    <col min="15659" max="15869" width="9.140625" style="191"/>
    <col min="15870" max="15870" width="7" style="191" customWidth="1"/>
    <col min="15871" max="15871" width="12" style="191" customWidth="1"/>
    <col min="15872" max="15872" width="69.28515625" style="191" customWidth="1"/>
    <col min="15873" max="15873" width="12.7109375" style="191" customWidth="1"/>
    <col min="15874" max="15874" width="8.28515625" style="191" customWidth="1"/>
    <col min="15875" max="15875" width="17.85546875" style="191" customWidth="1"/>
    <col min="15876" max="15876" width="24.42578125" style="191" customWidth="1"/>
    <col min="15877" max="15877" width="10.7109375" style="191" customWidth="1"/>
    <col min="15878" max="15878" width="13.7109375" style="191" customWidth="1"/>
    <col min="15879" max="15879" width="22" style="191" customWidth="1"/>
    <col min="15880" max="15880" width="13.85546875" style="191" customWidth="1"/>
    <col min="15881" max="15881" width="9.140625" style="191"/>
    <col min="15882" max="15882" width="14.42578125" style="191" customWidth="1"/>
    <col min="15883" max="15883" width="9.28515625" style="191" customWidth="1"/>
    <col min="15884" max="15884" width="14.42578125" style="191" customWidth="1"/>
    <col min="15885" max="15885" width="10.140625" style="191" customWidth="1"/>
    <col min="15886" max="15886" width="15" style="191" customWidth="1"/>
    <col min="15887" max="15887" width="9.140625" style="191"/>
    <col min="15888" max="15888" width="14.85546875" style="191" customWidth="1"/>
    <col min="15889" max="15896" width="9.140625" style="191"/>
    <col min="15897" max="15897" width="13" style="191" customWidth="1"/>
    <col min="15898" max="15898" width="9.140625" style="191"/>
    <col min="15899" max="15899" width="16.140625" style="191" customWidth="1"/>
    <col min="15900" max="15900" width="9.140625" style="191"/>
    <col min="15901" max="15902" width="12.85546875" style="191" customWidth="1"/>
    <col min="15903" max="15903" width="14.28515625" style="191" customWidth="1"/>
    <col min="15904" max="15906" width="9.140625" style="191"/>
    <col min="15907" max="15907" width="16.28515625" style="191" customWidth="1"/>
    <col min="15908" max="15908" width="9.140625" style="191"/>
    <col min="15909" max="15910" width="12.85546875" style="191" customWidth="1"/>
    <col min="15911" max="15911" width="16.140625" style="191" customWidth="1"/>
    <col min="15912" max="15913" width="9.140625" style="191"/>
    <col min="15914" max="15914" width="12.5703125" style="191" customWidth="1"/>
    <col min="15915" max="16125" width="9.140625" style="191"/>
    <col min="16126" max="16126" width="7" style="191" customWidth="1"/>
    <col min="16127" max="16127" width="12" style="191" customWidth="1"/>
    <col min="16128" max="16128" width="69.28515625" style="191" customWidth="1"/>
    <col min="16129" max="16129" width="12.7109375" style="191" customWidth="1"/>
    <col min="16130" max="16130" width="8.28515625" style="191" customWidth="1"/>
    <col min="16131" max="16131" width="17.85546875" style="191" customWidth="1"/>
    <col min="16132" max="16132" width="24.42578125" style="191" customWidth="1"/>
    <col min="16133" max="16133" width="10.7109375" style="191" customWidth="1"/>
    <col min="16134" max="16134" width="13.7109375" style="191" customWidth="1"/>
    <col min="16135" max="16135" width="22" style="191" customWidth="1"/>
    <col min="16136" max="16136" width="13.85546875" style="191" customWidth="1"/>
    <col min="16137" max="16137" width="9.140625" style="191"/>
    <col min="16138" max="16138" width="14.42578125" style="191" customWidth="1"/>
    <col min="16139" max="16139" width="9.28515625" style="191" customWidth="1"/>
    <col min="16140" max="16140" width="14.42578125" style="191" customWidth="1"/>
    <col min="16141" max="16141" width="10.140625" style="191" customWidth="1"/>
    <col min="16142" max="16142" width="15" style="191" customWidth="1"/>
    <col min="16143" max="16143" width="9.140625" style="191"/>
    <col min="16144" max="16144" width="14.85546875" style="191" customWidth="1"/>
    <col min="16145" max="16152" width="9.140625" style="191"/>
    <col min="16153" max="16153" width="13" style="191" customWidth="1"/>
    <col min="16154" max="16154" width="9.140625" style="191"/>
    <col min="16155" max="16155" width="16.140625" style="191" customWidth="1"/>
    <col min="16156" max="16156" width="9.140625" style="191"/>
    <col min="16157" max="16158" width="12.85546875" style="191" customWidth="1"/>
    <col min="16159" max="16159" width="14.28515625" style="191" customWidth="1"/>
    <col min="16160" max="16162" width="9.140625" style="191"/>
    <col min="16163" max="16163" width="16.28515625" style="191" customWidth="1"/>
    <col min="16164" max="16164" width="9.140625" style="191"/>
    <col min="16165" max="16166" width="12.85546875" style="191" customWidth="1"/>
    <col min="16167" max="16167" width="16.140625" style="191" customWidth="1"/>
    <col min="16168" max="16169" width="9.140625" style="191"/>
    <col min="16170" max="16170" width="12.5703125" style="191" customWidth="1"/>
    <col min="16171" max="16384" width="9.140625" style="191"/>
  </cols>
  <sheetData>
    <row r="1" spans="1:16" ht="73.5" customHeight="1" thickTop="1">
      <c r="A1" s="295" t="s">
        <v>580</v>
      </c>
      <c r="B1" s="296"/>
      <c r="C1" s="296"/>
      <c r="D1" s="296"/>
      <c r="E1" s="296"/>
      <c r="F1" s="296"/>
      <c r="G1" s="296"/>
      <c r="H1" s="296"/>
      <c r="I1" s="296"/>
      <c r="J1" s="296"/>
      <c r="K1" s="297"/>
      <c r="L1" s="158"/>
      <c r="M1" s="158"/>
      <c r="N1" s="158"/>
      <c r="O1" s="158"/>
      <c r="P1" s="158"/>
    </row>
    <row r="2" spans="1:16" ht="29.25" customHeight="1">
      <c r="A2" s="326" t="s">
        <v>560</v>
      </c>
      <c r="B2" s="320" t="s">
        <v>26</v>
      </c>
      <c r="C2" s="320" t="s">
        <v>561</v>
      </c>
      <c r="D2" s="320" t="s">
        <v>119</v>
      </c>
      <c r="E2" s="323" t="s">
        <v>562</v>
      </c>
      <c r="F2" s="318" t="s">
        <v>558</v>
      </c>
      <c r="G2" s="319"/>
      <c r="H2" s="318" t="s">
        <v>559</v>
      </c>
      <c r="I2" s="319"/>
      <c r="J2" s="318" t="s">
        <v>416</v>
      </c>
      <c r="K2" s="319"/>
      <c r="L2" s="158"/>
      <c r="M2" s="158"/>
      <c r="N2" s="158"/>
      <c r="O2" s="158"/>
      <c r="P2" s="158"/>
    </row>
    <row r="3" spans="1:16" ht="25.5" hidden="1" customHeight="1">
      <c r="A3" s="327"/>
      <c r="B3" s="321"/>
      <c r="C3" s="321"/>
      <c r="D3" s="321"/>
      <c r="E3" s="324"/>
      <c r="F3" s="218"/>
      <c r="G3" s="218"/>
      <c r="H3" s="218"/>
      <c r="I3" s="218"/>
      <c r="J3" s="218"/>
      <c r="K3" s="164"/>
      <c r="L3" s="158"/>
      <c r="M3" s="158"/>
      <c r="N3" s="158"/>
      <c r="O3" s="158"/>
      <c r="P3" s="158"/>
    </row>
    <row r="4" spans="1:16" s="192" customFormat="1" ht="42.75" customHeight="1">
      <c r="A4" s="328"/>
      <c r="B4" s="322"/>
      <c r="C4" s="322"/>
      <c r="D4" s="322"/>
      <c r="E4" s="325"/>
      <c r="F4" s="166" t="s">
        <v>7</v>
      </c>
      <c r="G4" s="166" t="s">
        <v>121</v>
      </c>
      <c r="H4" s="166" t="s">
        <v>7</v>
      </c>
      <c r="I4" s="166" t="s">
        <v>121</v>
      </c>
      <c r="J4" s="166" t="s">
        <v>7</v>
      </c>
      <c r="K4" s="161" t="s">
        <v>121</v>
      </c>
      <c r="L4" s="217"/>
      <c r="M4" s="298"/>
      <c r="N4" s="298"/>
      <c r="O4" s="298"/>
      <c r="P4" s="298"/>
    </row>
    <row r="5" spans="1:16" s="192" customFormat="1" ht="89.25" customHeight="1">
      <c r="A5" s="168">
        <v>1</v>
      </c>
      <c r="B5" s="169">
        <f>'EB Qtrs Det'!H6</f>
        <v>558</v>
      </c>
      <c r="C5" s="170" t="s">
        <v>33</v>
      </c>
      <c r="D5" s="171">
        <v>19.260000000000002</v>
      </c>
      <c r="E5" s="171" t="s">
        <v>107</v>
      </c>
      <c r="F5" s="171">
        <v>558</v>
      </c>
      <c r="G5" s="171">
        <f>F5*D5</f>
        <v>10747.080000000002</v>
      </c>
      <c r="H5" s="171"/>
      <c r="I5" s="171"/>
      <c r="J5" s="171">
        <f>H5+F5</f>
        <v>558</v>
      </c>
      <c r="K5" s="171">
        <f>J5*D5</f>
        <v>10747.080000000002</v>
      </c>
      <c r="L5" s="217"/>
      <c r="M5" s="217"/>
      <c r="N5" s="217"/>
      <c r="O5" s="217"/>
      <c r="P5" s="217"/>
    </row>
    <row r="6" spans="1:16" s="192" customFormat="1" ht="69" customHeight="1">
      <c r="A6" s="168">
        <f>+A5+1</f>
        <v>2</v>
      </c>
      <c r="B6" s="169">
        <f>'EB Qtrs Det'!H14</f>
        <v>394.46000000000004</v>
      </c>
      <c r="C6" s="172" t="s">
        <v>35</v>
      </c>
      <c r="D6" s="173">
        <v>66.84</v>
      </c>
      <c r="E6" s="173" t="s">
        <v>107</v>
      </c>
      <c r="F6" s="219">
        <v>394.46000000000004</v>
      </c>
      <c r="G6" s="171">
        <f t="shared" ref="G6:G56" si="0">F6*D6</f>
        <v>26365.706400000003</v>
      </c>
      <c r="H6" s="173"/>
      <c r="I6" s="173"/>
      <c r="J6" s="171">
        <f t="shared" ref="J6:J56" si="1">H6+F6</f>
        <v>394.46000000000004</v>
      </c>
      <c r="K6" s="171">
        <f t="shared" ref="K6:K56" si="2">J6*D6</f>
        <v>26365.706400000003</v>
      </c>
      <c r="L6" s="217"/>
      <c r="M6" s="217"/>
      <c r="N6" s="217"/>
      <c r="O6" s="217"/>
      <c r="P6" s="217"/>
    </row>
    <row r="7" spans="1:16" s="192" customFormat="1" ht="240" customHeight="1">
      <c r="A7" s="168">
        <f t="shared" ref="A7:A51" si="3">+A6+1</f>
        <v>3</v>
      </c>
      <c r="B7" s="169">
        <f>'EB Qtrs Det'!H17</f>
        <v>5.7153600000000004</v>
      </c>
      <c r="C7" s="174" t="s">
        <v>22</v>
      </c>
      <c r="D7" s="171">
        <f>[3]Data!$K$88</f>
        <v>284.5</v>
      </c>
      <c r="E7" s="171" t="s">
        <v>108</v>
      </c>
      <c r="F7" s="171">
        <v>5.7153600000000004</v>
      </c>
      <c r="G7" s="171">
        <f t="shared" si="0"/>
        <v>1626.0199200000002</v>
      </c>
      <c r="H7" s="171"/>
      <c r="I7" s="171"/>
      <c r="J7" s="171">
        <f t="shared" si="1"/>
        <v>5.7153600000000004</v>
      </c>
      <c r="K7" s="171">
        <f t="shared" si="2"/>
        <v>1626.0199200000002</v>
      </c>
      <c r="L7" s="217"/>
      <c r="M7" s="217"/>
      <c r="N7" s="217"/>
      <c r="O7" s="217"/>
      <c r="P7" s="217"/>
    </row>
    <row r="8" spans="1:16" s="192" customFormat="1" ht="69" customHeight="1">
      <c r="A8" s="168">
        <v>4</v>
      </c>
      <c r="B8" s="169"/>
      <c r="C8" s="229" t="s">
        <v>563</v>
      </c>
      <c r="D8" s="171">
        <v>134.46</v>
      </c>
      <c r="E8" s="171" t="s">
        <v>108</v>
      </c>
      <c r="F8" s="171"/>
      <c r="G8" s="171"/>
      <c r="H8" s="171">
        <f>'[5]ST Abs'!$B$4</f>
        <v>19.5</v>
      </c>
      <c r="I8" s="171">
        <f>H8*D8</f>
        <v>2621.9700000000003</v>
      </c>
      <c r="J8" s="171">
        <f t="shared" si="1"/>
        <v>19.5</v>
      </c>
      <c r="K8" s="171">
        <f t="shared" si="2"/>
        <v>2621.9700000000003</v>
      </c>
      <c r="L8" s="217"/>
      <c r="M8" s="217"/>
      <c r="N8" s="217"/>
      <c r="O8" s="217"/>
      <c r="P8" s="217"/>
    </row>
    <row r="9" spans="1:16" s="192" customFormat="1" ht="69" customHeight="1">
      <c r="A9" s="168">
        <v>5</v>
      </c>
      <c r="B9" s="169"/>
      <c r="C9" s="229" t="s">
        <v>564</v>
      </c>
      <c r="D9" s="171">
        <v>212.94</v>
      </c>
      <c r="E9" s="171" t="s">
        <v>108</v>
      </c>
      <c r="F9" s="171"/>
      <c r="G9" s="171"/>
      <c r="H9" s="171">
        <f>'[5]ST Abs'!$B$5</f>
        <v>2.82</v>
      </c>
      <c r="I9" s="171">
        <f>H9*D9</f>
        <v>600.49079999999992</v>
      </c>
      <c r="J9" s="171">
        <f t="shared" si="1"/>
        <v>2.82</v>
      </c>
      <c r="K9" s="171">
        <f t="shared" si="2"/>
        <v>600.49079999999992</v>
      </c>
      <c r="L9" s="217"/>
      <c r="M9" s="217"/>
      <c r="N9" s="217"/>
      <c r="O9" s="217"/>
      <c r="P9" s="217"/>
    </row>
    <row r="10" spans="1:16" s="192" customFormat="1" ht="54" customHeight="1">
      <c r="A10" s="168">
        <v>6</v>
      </c>
      <c r="B10" s="169"/>
      <c r="C10" s="230" t="s">
        <v>565</v>
      </c>
      <c r="D10" s="171">
        <v>1823.45</v>
      </c>
      <c r="E10" s="171" t="s">
        <v>108</v>
      </c>
      <c r="F10" s="171"/>
      <c r="G10" s="171"/>
      <c r="H10" s="171">
        <v>1.65</v>
      </c>
      <c r="I10" s="171">
        <f t="shared" ref="I10:I21" si="4">H10*D10</f>
        <v>3008.6925000000001</v>
      </c>
      <c r="J10" s="171">
        <f t="shared" si="1"/>
        <v>1.65</v>
      </c>
      <c r="K10" s="171">
        <f t="shared" si="2"/>
        <v>3008.6925000000001</v>
      </c>
      <c r="L10" s="217"/>
      <c r="M10" s="217"/>
      <c r="N10" s="217"/>
      <c r="O10" s="217"/>
      <c r="P10" s="217"/>
    </row>
    <row r="11" spans="1:16" s="192" customFormat="1" ht="69" customHeight="1">
      <c r="A11" s="168">
        <v>7</v>
      </c>
      <c r="B11" s="169"/>
      <c r="C11" s="230" t="s">
        <v>566</v>
      </c>
      <c r="D11" s="171">
        <v>1503.62</v>
      </c>
      <c r="E11" s="171" t="s">
        <v>108</v>
      </c>
      <c r="F11" s="171"/>
      <c r="G11" s="171"/>
      <c r="H11" s="171">
        <v>4.3</v>
      </c>
      <c r="I11" s="171">
        <f t="shared" si="4"/>
        <v>6465.5659999999989</v>
      </c>
      <c r="J11" s="171">
        <f t="shared" si="1"/>
        <v>4.3</v>
      </c>
      <c r="K11" s="171">
        <f t="shared" si="2"/>
        <v>6465.5659999999989</v>
      </c>
      <c r="L11" s="217"/>
      <c r="M11" s="217"/>
      <c r="N11" s="217"/>
      <c r="O11" s="217"/>
      <c r="P11" s="217"/>
    </row>
    <row r="12" spans="1:16" s="192" customFormat="1" ht="69" customHeight="1">
      <c r="A12" s="168">
        <v>8</v>
      </c>
      <c r="B12" s="169"/>
      <c r="C12" s="230" t="s">
        <v>567</v>
      </c>
      <c r="D12" s="171">
        <v>1922.82</v>
      </c>
      <c r="E12" s="171" t="s">
        <v>108</v>
      </c>
      <c r="F12" s="171"/>
      <c r="G12" s="171"/>
      <c r="H12" s="171">
        <v>2.8</v>
      </c>
      <c r="I12" s="171">
        <f t="shared" si="4"/>
        <v>5383.8959999999997</v>
      </c>
      <c r="J12" s="171">
        <f t="shared" si="1"/>
        <v>2.8</v>
      </c>
      <c r="K12" s="171">
        <f t="shared" si="2"/>
        <v>5383.8959999999997</v>
      </c>
      <c r="L12" s="217"/>
      <c r="M12" s="217"/>
      <c r="N12" s="217"/>
      <c r="O12" s="217"/>
      <c r="P12" s="217"/>
    </row>
    <row r="13" spans="1:16" s="192" customFormat="1" ht="109.5" customHeight="1">
      <c r="A13" s="168">
        <v>9</v>
      </c>
      <c r="B13" s="169">
        <f>'EB Qtrs Det'!H20</f>
        <v>1.2700800000000001</v>
      </c>
      <c r="C13" s="193" t="s">
        <v>75</v>
      </c>
      <c r="D13" s="175">
        <f>[3]Data!$K$204</f>
        <v>5488.73</v>
      </c>
      <c r="E13" s="175" t="s">
        <v>108</v>
      </c>
      <c r="F13" s="175">
        <v>1.2700800000000001</v>
      </c>
      <c r="G13" s="171">
        <f t="shared" si="0"/>
        <v>6971.1261984000002</v>
      </c>
      <c r="H13" s="175">
        <f>'[5]ST Abs'!$B$9</f>
        <v>1.3</v>
      </c>
      <c r="I13" s="171">
        <f t="shared" si="4"/>
        <v>7135.3489999999993</v>
      </c>
      <c r="J13" s="171">
        <f t="shared" si="1"/>
        <v>2.5700799999999999</v>
      </c>
      <c r="K13" s="171">
        <f t="shared" si="2"/>
        <v>14106.475198399998</v>
      </c>
      <c r="L13" s="217"/>
      <c r="M13" s="217"/>
      <c r="N13" s="217"/>
      <c r="O13" s="217"/>
      <c r="P13" s="217"/>
    </row>
    <row r="14" spans="1:16" s="192" customFormat="1" ht="72" customHeight="1">
      <c r="A14" s="168">
        <v>10</v>
      </c>
      <c r="B14" s="169"/>
      <c r="C14" s="229" t="s">
        <v>568</v>
      </c>
      <c r="D14" s="48">
        <f>[3]Data!$K$219</f>
        <v>7103.88</v>
      </c>
      <c r="E14" s="175" t="s">
        <v>108</v>
      </c>
      <c r="F14" s="175"/>
      <c r="G14" s="171"/>
      <c r="H14" s="175">
        <v>1.1000000000000001</v>
      </c>
      <c r="I14" s="171">
        <f t="shared" si="4"/>
        <v>7814.2680000000009</v>
      </c>
      <c r="J14" s="171">
        <f t="shared" si="1"/>
        <v>1.1000000000000001</v>
      </c>
      <c r="K14" s="171">
        <f t="shared" si="2"/>
        <v>7814.2680000000009</v>
      </c>
      <c r="L14" s="217"/>
      <c r="M14" s="217"/>
      <c r="N14" s="217"/>
      <c r="O14" s="217"/>
      <c r="P14" s="217"/>
    </row>
    <row r="15" spans="1:16" s="192" customFormat="1" ht="72" customHeight="1">
      <c r="A15" s="168">
        <v>11</v>
      </c>
      <c r="B15" s="169"/>
      <c r="C15" s="229" t="s">
        <v>569</v>
      </c>
      <c r="D15" s="44">
        <f>[3]Data!$X$718</f>
        <v>8936.0499999999993</v>
      </c>
      <c r="E15" s="175" t="s">
        <v>108</v>
      </c>
      <c r="F15" s="175"/>
      <c r="G15" s="171"/>
      <c r="H15" s="175">
        <f>'[5]ST Abs'!$B$11</f>
        <v>0.5</v>
      </c>
      <c r="I15" s="171">
        <f t="shared" si="4"/>
        <v>4468.0249999999996</v>
      </c>
      <c r="J15" s="171">
        <f t="shared" si="1"/>
        <v>0.5</v>
      </c>
      <c r="K15" s="171">
        <f t="shared" si="2"/>
        <v>4468.0249999999996</v>
      </c>
      <c r="L15" s="217"/>
      <c r="M15" s="217"/>
      <c r="N15" s="217"/>
      <c r="O15" s="217"/>
      <c r="P15" s="217"/>
    </row>
    <row r="16" spans="1:16" s="192" customFormat="1" ht="120.75" customHeight="1">
      <c r="A16" s="168">
        <v>12</v>
      </c>
      <c r="B16" s="169">
        <f>'EB Qtrs Det'!H23</f>
        <v>3.6652800000000001</v>
      </c>
      <c r="C16" s="193" t="s">
        <v>77</v>
      </c>
      <c r="D16" s="175">
        <f>[3]Data!$AU$73</f>
        <v>7829.37</v>
      </c>
      <c r="E16" s="175" t="s">
        <v>108</v>
      </c>
      <c r="F16" s="175">
        <v>3.6652800000000001</v>
      </c>
      <c r="G16" s="171">
        <f t="shared" si="0"/>
        <v>28696.833273600001</v>
      </c>
      <c r="H16" s="175">
        <f>'[5]ST Abs'!$B$12</f>
        <v>8.5500000000000007</v>
      </c>
      <c r="I16" s="175">
        <f t="shared" si="4"/>
        <v>66941.113500000007</v>
      </c>
      <c r="J16" s="171">
        <f t="shared" si="1"/>
        <v>12.21528</v>
      </c>
      <c r="K16" s="171">
        <f t="shared" si="2"/>
        <v>95637.946773599993</v>
      </c>
      <c r="L16" s="217"/>
      <c r="M16" s="217"/>
      <c r="N16" s="217"/>
      <c r="O16" s="217"/>
      <c r="P16" s="217"/>
    </row>
    <row r="17" spans="1:16" s="192" customFormat="1" ht="120" customHeight="1">
      <c r="A17" s="168">
        <v>13</v>
      </c>
      <c r="B17" s="169">
        <f>'EB Qtrs Det'!H26</f>
        <v>2.88</v>
      </c>
      <c r="C17" s="193" t="s">
        <v>42</v>
      </c>
      <c r="D17" s="175">
        <f>[3]Data!$AU$99</f>
        <v>7847.63</v>
      </c>
      <c r="E17" s="175" t="s">
        <v>108</v>
      </c>
      <c r="F17" s="175">
        <v>2.88</v>
      </c>
      <c r="G17" s="171">
        <f t="shared" si="0"/>
        <v>22601.1744</v>
      </c>
      <c r="H17" s="175"/>
      <c r="I17" s="175"/>
      <c r="J17" s="171">
        <f t="shared" si="1"/>
        <v>2.88</v>
      </c>
      <c r="K17" s="171">
        <f t="shared" si="2"/>
        <v>22601.1744</v>
      </c>
      <c r="L17" s="217"/>
      <c r="M17" s="217"/>
      <c r="N17" s="217"/>
      <c r="O17" s="217"/>
      <c r="P17" s="217"/>
    </row>
    <row r="18" spans="1:16" s="192" customFormat="1" ht="65.25" customHeight="1">
      <c r="A18" s="168">
        <v>14</v>
      </c>
      <c r="B18" s="169"/>
      <c r="C18" s="229" t="s">
        <v>570</v>
      </c>
      <c r="D18" s="50">
        <f>[3]Data!$X$559</f>
        <v>1931.31</v>
      </c>
      <c r="E18" s="175" t="s">
        <v>107</v>
      </c>
      <c r="F18" s="175"/>
      <c r="G18" s="171"/>
      <c r="H18" s="175">
        <f>'[5]ST Abs'!$B$13</f>
        <v>15.11</v>
      </c>
      <c r="I18" s="175">
        <f t="shared" si="4"/>
        <v>29182.094099999998</v>
      </c>
      <c r="J18" s="171">
        <f t="shared" si="1"/>
        <v>15.11</v>
      </c>
      <c r="K18" s="171">
        <f t="shared" si="2"/>
        <v>29182.094099999998</v>
      </c>
      <c r="L18" s="217"/>
      <c r="M18" s="217"/>
      <c r="N18" s="217"/>
      <c r="O18" s="217"/>
      <c r="P18" s="217"/>
    </row>
    <row r="19" spans="1:16" s="192" customFormat="1" ht="65.25" customHeight="1">
      <c r="A19" s="168">
        <v>15</v>
      </c>
      <c r="B19" s="169"/>
      <c r="C19" s="229" t="s">
        <v>573</v>
      </c>
      <c r="D19" s="44">
        <f>[3]Data!$K$1213</f>
        <v>601.05999999999995</v>
      </c>
      <c r="E19" s="175" t="s">
        <v>107</v>
      </c>
      <c r="F19" s="175"/>
      <c r="G19" s="171"/>
      <c r="H19" s="222">
        <v>2.72</v>
      </c>
      <c r="I19" s="175">
        <f t="shared" si="4"/>
        <v>1634.8832</v>
      </c>
      <c r="J19" s="171">
        <f t="shared" si="1"/>
        <v>2.72</v>
      </c>
      <c r="K19" s="171">
        <f t="shared" si="2"/>
        <v>1634.8832</v>
      </c>
      <c r="L19" s="217"/>
      <c r="M19" s="217"/>
      <c r="N19" s="217"/>
      <c r="O19" s="217"/>
      <c r="P19" s="217"/>
    </row>
    <row r="20" spans="1:16" s="192" customFormat="1" ht="65.25" customHeight="1">
      <c r="A20" s="168">
        <v>16</v>
      </c>
      <c r="B20" s="169"/>
      <c r="C20" s="229" t="s">
        <v>574</v>
      </c>
      <c r="D20" s="51">
        <f>[3]Data!$K$1400</f>
        <v>294.49</v>
      </c>
      <c r="E20" s="175" t="s">
        <v>107</v>
      </c>
      <c r="F20" s="175"/>
      <c r="G20" s="171"/>
      <c r="H20" s="222">
        <v>10.8</v>
      </c>
      <c r="I20" s="175">
        <f t="shared" si="4"/>
        <v>3180.4920000000002</v>
      </c>
      <c r="J20" s="171">
        <f t="shared" si="1"/>
        <v>10.8</v>
      </c>
      <c r="K20" s="171">
        <f t="shared" si="2"/>
        <v>3180.4920000000002</v>
      </c>
      <c r="L20" s="217"/>
      <c r="M20" s="217"/>
      <c r="N20" s="217"/>
      <c r="O20" s="217"/>
      <c r="P20" s="217"/>
    </row>
    <row r="21" spans="1:16" s="192" customFormat="1" ht="65.25" customHeight="1">
      <c r="A21" s="168">
        <v>17</v>
      </c>
      <c r="B21" s="169"/>
      <c r="C21" s="229" t="s">
        <v>575</v>
      </c>
      <c r="D21" s="44">
        <f>[3]Data!$K$1414</f>
        <v>300.91000000000003</v>
      </c>
      <c r="E21" s="175" t="s">
        <v>107</v>
      </c>
      <c r="F21" s="175"/>
      <c r="G21" s="171"/>
      <c r="H21" s="222">
        <v>21.05</v>
      </c>
      <c r="I21" s="175">
        <f t="shared" si="4"/>
        <v>6334.1555000000008</v>
      </c>
      <c r="J21" s="171">
        <f t="shared" si="1"/>
        <v>21.05</v>
      </c>
      <c r="K21" s="171">
        <f t="shared" si="2"/>
        <v>6334.1555000000008</v>
      </c>
      <c r="L21" s="217"/>
      <c r="M21" s="217"/>
      <c r="N21" s="217"/>
      <c r="O21" s="217"/>
      <c r="P21" s="217"/>
    </row>
    <row r="22" spans="1:16" ht="92.25" customHeight="1">
      <c r="A22" s="168">
        <v>18</v>
      </c>
      <c r="B22" s="176">
        <f>'EB Qtrs Det'!H33</f>
        <v>178.27200000000002</v>
      </c>
      <c r="C22" s="177" t="s">
        <v>8</v>
      </c>
      <c r="D22" s="178">
        <f>[3]Data!$R$344</f>
        <v>590.97</v>
      </c>
      <c r="E22" s="178" t="s">
        <v>107</v>
      </c>
      <c r="F22" s="220">
        <v>178.27200000000002</v>
      </c>
      <c r="G22" s="171">
        <f t="shared" si="0"/>
        <v>105353.40384000001</v>
      </c>
      <c r="H22" s="178"/>
      <c r="I22" s="178"/>
      <c r="J22" s="171">
        <f t="shared" si="1"/>
        <v>178.27200000000002</v>
      </c>
      <c r="K22" s="171">
        <f t="shared" si="2"/>
        <v>105353.40384000001</v>
      </c>
    </row>
    <row r="23" spans="1:16" ht="60" customHeight="1">
      <c r="A23" s="168">
        <v>19</v>
      </c>
      <c r="B23" s="176"/>
      <c r="C23" s="229" t="s">
        <v>576</v>
      </c>
      <c r="D23" s="44">
        <f>[3]Data!$K$3677</f>
        <v>518.25</v>
      </c>
      <c r="E23" s="178" t="s">
        <v>110</v>
      </c>
      <c r="F23" s="220"/>
      <c r="G23" s="171"/>
      <c r="H23" s="178">
        <f>'[5]ST Abs'!$B$17</f>
        <v>10</v>
      </c>
      <c r="I23" s="178">
        <f>H23*D23</f>
        <v>5182.5</v>
      </c>
      <c r="J23" s="171">
        <f t="shared" si="1"/>
        <v>10</v>
      </c>
      <c r="K23" s="171">
        <f t="shared" si="2"/>
        <v>5182.5</v>
      </c>
    </row>
    <row r="24" spans="1:16" ht="60" customHeight="1">
      <c r="A24" s="168">
        <v>20</v>
      </c>
      <c r="B24" s="176"/>
      <c r="C24" s="229" t="s">
        <v>577</v>
      </c>
      <c r="D24" s="44"/>
      <c r="E24" s="178"/>
      <c r="F24" s="220"/>
      <c r="G24" s="171"/>
      <c r="H24" s="178"/>
      <c r="I24" s="178"/>
      <c r="J24" s="171">
        <f t="shared" si="1"/>
        <v>0</v>
      </c>
      <c r="K24" s="171">
        <f t="shared" si="2"/>
        <v>0</v>
      </c>
    </row>
    <row r="25" spans="1:16" ht="60" customHeight="1">
      <c r="A25" s="168"/>
      <c r="B25" s="176"/>
      <c r="C25" s="231" t="s">
        <v>571</v>
      </c>
      <c r="D25" s="50">
        <f>[3]Data!$I$2354</f>
        <v>999.91</v>
      </c>
      <c r="E25" s="178" t="s">
        <v>107</v>
      </c>
      <c r="F25" s="220"/>
      <c r="G25" s="171"/>
      <c r="H25" s="220">
        <v>2.1</v>
      </c>
      <c r="I25" s="178">
        <f t="shared" ref="I25:I28" si="5">H25*D25</f>
        <v>2099.8110000000001</v>
      </c>
      <c r="J25" s="171">
        <f t="shared" si="1"/>
        <v>2.1</v>
      </c>
      <c r="K25" s="171">
        <f t="shared" si="2"/>
        <v>2099.8110000000001</v>
      </c>
    </row>
    <row r="26" spans="1:16" ht="60" customHeight="1">
      <c r="A26" s="168"/>
      <c r="B26" s="176"/>
      <c r="C26" s="229" t="s">
        <v>572</v>
      </c>
      <c r="D26" s="50">
        <f>[3]Data!$I$2356</f>
        <v>1108.22</v>
      </c>
      <c r="E26" s="178" t="s">
        <v>107</v>
      </c>
      <c r="F26" s="220"/>
      <c r="G26" s="171"/>
      <c r="H26" s="220">
        <v>2.9</v>
      </c>
      <c r="I26" s="178">
        <f t="shared" si="5"/>
        <v>3213.8380000000002</v>
      </c>
      <c r="J26" s="171">
        <f t="shared" si="1"/>
        <v>2.9</v>
      </c>
      <c r="K26" s="171">
        <f t="shared" si="2"/>
        <v>3213.8380000000002</v>
      </c>
    </row>
    <row r="27" spans="1:16" ht="60" customHeight="1">
      <c r="A27" s="168">
        <v>21</v>
      </c>
      <c r="B27" s="176"/>
      <c r="C27" s="229" t="s">
        <v>578</v>
      </c>
      <c r="D27" s="50">
        <f>[3]Data!$K$1608</f>
        <v>95263.1</v>
      </c>
      <c r="E27" s="178" t="s">
        <v>443</v>
      </c>
      <c r="F27" s="220"/>
      <c r="G27" s="171"/>
      <c r="H27" s="234">
        <v>0.16500000000000001</v>
      </c>
      <c r="I27" s="178">
        <f t="shared" si="5"/>
        <v>15718.411500000002</v>
      </c>
      <c r="J27" s="171">
        <f t="shared" si="1"/>
        <v>0.16500000000000001</v>
      </c>
      <c r="K27" s="171">
        <f t="shared" si="2"/>
        <v>15718.411500000002</v>
      </c>
    </row>
    <row r="28" spans="1:16" ht="60" customHeight="1">
      <c r="A28" s="168">
        <v>22</v>
      </c>
      <c r="B28" s="176"/>
      <c r="C28" s="232" t="s">
        <v>579</v>
      </c>
      <c r="D28" s="233">
        <f>[3]Data!$K$2098</f>
        <v>454</v>
      </c>
      <c r="E28" s="178" t="s">
        <v>3</v>
      </c>
      <c r="F28" s="220"/>
      <c r="G28" s="171"/>
      <c r="H28" s="220">
        <v>1</v>
      </c>
      <c r="I28" s="178">
        <f t="shared" si="5"/>
        <v>454</v>
      </c>
      <c r="J28" s="171">
        <f t="shared" si="1"/>
        <v>1</v>
      </c>
      <c r="K28" s="171">
        <f t="shared" si="2"/>
        <v>454</v>
      </c>
    </row>
    <row r="29" spans="1:16" ht="303" customHeight="1">
      <c r="A29" s="168">
        <v>23</v>
      </c>
      <c r="B29" s="176">
        <f>'EB Qtrs Det'!H36</f>
        <v>8</v>
      </c>
      <c r="C29" s="179" t="s">
        <v>47</v>
      </c>
      <c r="D29" s="180">
        <f>[3]Data!$R$1978</f>
        <v>3753.28</v>
      </c>
      <c r="E29" s="180" t="s">
        <v>3</v>
      </c>
      <c r="F29" s="221">
        <v>8</v>
      </c>
      <c r="G29" s="171">
        <f t="shared" si="0"/>
        <v>30026.240000000002</v>
      </c>
      <c r="H29" s="180"/>
      <c r="I29" s="180"/>
      <c r="J29" s="171">
        <f t="shared" si="1"/>
        <v>8</v>
      </c>
      <c r="K29" s="171">
        <f t="shared" si="2"/>
        <v>30026.240000000002</v>
      </c>
    </row>
    <row r="30" spans="1:16" ht="83.25" customHeight="1">
      <c r="A30" s="168">
        <f t="shared" si="3"/>
        <v>24</v>
      </c>
      <c r="B30" s="176">
        <f>'EB Qtrs Det'!H42</f>
        <v>28</v>
      </c>
      <c r="C30" s="193" t="s">
        <v>493</v>
      </c>
      <c r="D30" s="175">
        <f>[3]Data!$AI$3115</f>
        <v>518</v>
      </c>
      <c r="E30" s="175" t="s">
        <v>3</v>
      </c>
      <c r="F30" s="222">
        <v>28</v>
      </c>
      <c r="G30" s="171">
        <f t="shared" si="0"/>
        <v>14504</v>
      </c>
      <c r="H30" s="175"/>
      <c r="I30" s="175"/>
      <c r="J30" s="171">
        <f t="shared" si="1"/>
        <v>28</v>
      </c>
      <c r="K30" s="171">
        <f t="shared" si="2"/>
        <v>14504</v>
      </c>
    </row>
    <row r="31" spans="1:16" ht="165" customHeight="1">
      <c r="A31" s="168">
        <f t="shared" si="3"/>
        <v>25</v>
      </c>
      <c r="B31" s="176">
        <f>'EB Qtrs Det'!H45</f>
        <v>8</v>
      </c>
      <c r="C31" s="194" t="s">
        <v>53</v>
      </c>
      <c r="D31" s="181">
        <f>[3]Data!$K$2119</f>
        <v>160</v>
      </c>
      <c r="E31" s="181" t="s">
        <v>3</v>
      </c>
      <c r="F31" s="223">
        <v>8</v>
      </c>
      <c r="G31" s="171">
        <f t="shared" si="0"/>
        <v>1280</v>
      </c>
      <c r="H31" s="181"/>
      <c r="I31" s="181"/>
      <c r="J31" s="171">
        <f t="shared" si="1"/>
        <v>8</v>
      </c>
      <c r="K31" s="171">
        <f t="shared" si="2"/>
        <v>1280</v>
      </c>
    </row>
    <row r="32" spans="1:16" ht="71.25" customHeight="1">
      <c r="A32" s="168">
        <f t="shared" si="3"/>
        <v>26</v>
      </c>
      <c r="B32" s="176">
        <f>'EB Qtrs Det'!H52</f>
        <v>2578</v>
      </c>
      <c r="C32" s="193" t="s">
        <v>55</v>
      </c>
      <c r="D32" s="175">
        <f>[3]Data!$K$1193</f>
        <v>70.150000000000006</v>
      </c>
      <c r="E32" s="175" t="s">
        <v>109</v>
      </c>
      <c r="F32" s="222">
        <v>2578</v>
      </c>
      <c r="G32" s="171">
        <f t="shared" si="0"/>
        <v>180846.7</v>
      </c>
      <c r="H32" s="175"/>
      <c r="I32" s="175"/>
      <c r="J32" s="171">
        <f t="shared" si="1"/>
        <v>2578</v>
      </c>
      <c r="K32" s="171">
        <f t="shared" si="2"/>
        <v>180846.7</v>
      </c>
    </row>
    <row r="33" spans="1:16" ht="234" customHeight="1">
      <c r="A33" s="168">
        <f t="shared" si="3"/>
        <v>27</v>
      </c>
      <c r="B33" s="176">
        <f>'EB Qtrs Det'!H55</f>
        <v>2</v>
      </c>
      <c r="C33" s="193" t="s">
        <v>61</v>
      </c>
      <c r="D33" s="175">
        <f>[3]Data!$L$1795</f>
        <v>20100</v>
      </c>
      <c r="E33" s="175" t="s">
        <v>3</v>
      </c>
      <c r="F33" s="222">
        <v>2</v>
      </c>
      <c r="G33" s="171">
        <f t="shared" si="0"/>
        <v>40200</v>
      </c>
      <c r="H33" s="175"/>
      <c r="I33" s="175"/>
      <c r="J33" s="171">
        <f t="shared" si="1"/>
        <v>2</v>
      </c>
      <c r="K33" s="171">
        <f t="shared" si="2"/>
        <v>40200</v>
      </c>
    </row>
    <row r="34" spans="1:16" ht="221.25" customHeight="1">
      <c r="A34" s="168">
        <f t="shared" si="3"/>
        <v>28</v>
      </c>
      <c r="B34" s="176"/>
      <c r="C34" s="179" t="s">
        <v>63</v>
      </c>
      <c r="D34" s="180"/>
      <c r="E34" s="180"/>
      <c r="F34" s="221"/>
      <c r="G34" s="171">
        <f t="shared" si="0"/>
        <v>0</v>
      </c>
      <c r="H34" s="180"/>
      <c r="I34" s="180"/>
      <c r="J34" s="171">
        <f t="shared" si="1"/>
        <v>0</v>
      </c>
      <c r="K34" s="171">
        <f t="shared" si="2"/>
        <v>0</v>
      </c>
    </row>
    <row r="35" spans="1:16" ht="53.25" customHeight="1">
      <c r="A35" s="168"/>
      <c r="B35" s="176">
        <f>'EB Qtrs Det'!H58</f>
        <v>40</v>
      </c>
      <c r="C35" s="179" t="s">
        <v>64</v>
      </c>
      <c r="D35" s="180">
        <f>[3]Data!$K$1890</f>
        <v>285.82</v>
      </c>
      <c r="E35" s="180" t="s">
        <v>110</v>
      </c>
      <c r="F35" s="221">
        <v>40</v>
      </c>
      <c r="G35" s="171">
        <f t="shared" si="0"/>
        <v>11432.8</v>
      </c>
      <c r="H35" s="180"/>
      <c r="I35" s="180"/>
      <c r="J35" s="171">
        <f t="shared" si="1"/>
        <v>40</v>
      </c>
      <c r="K35" s="171">
        <f t="shared" si="2"/>
        <v>11432.8</v>
      </c>
    </row>
    <row r="36" spans="1:16" ht="60" customHeight="1">
      <c r="A36" s="168"/>
      <c r="B36" s="176">
        <f>'EB Qtrs Det'!H63</f>
        <v>112</v>
      </c>
      <c r="C36" s="179" t="s">
        <v>65</v>
      </c>
      <c r="D36" s="180">
        <f>[3]Data!$K$1882</f>
        <v>268.35000000000002</v>
      </c>
      <c r="E36" s="180" t="s">
        <v>110</v>
      </c>
      <c r="F36" s="221">
        <v>112</v>
      </c>
      <c r="G36" s="171">
        <f t="shared" si="0"/>
        <v>30055.200000000004</v>
      </c>
      <c r="H36" s="180"/>
      <c r="I36" s="180"/>
      <c r="J36" s="171">
        <f t="shared" si="1"/>
        <v>112</v>
      </c>
      <c r="K36" s="171">
        <f t="shared" si="2"/>
        <v>30055.200000000004</v>
      </c>
    </row>
    <row r="37" spans="1:16" ht="158.25" customHeight="1">
      <c r="A37" s="168">
        <v>29</v>
      </c>
      <c r="B37" s="176"/>
      <c r="C37" s="182" t="s">
        <v>70</v>
      </c>
      <c r="D37" s="181"/>
      <c r="E37" s="181"/>
      <c r="F37" s="223"/>
      <c r="G37" s="171">
        <f t="shared" si="0"/>
        <v>0</v>
      </c>
      <c r="H37" s="181"/>
      <c r="I37" s="181"/>
      <c r="J37" s="171">
        <f t="shared" si="1"/>
        <v>0</v>
      </c>
      <c r="K37" s="171">
        <f t="shared" si="2"/>
        <v>0</v>
      </c>
    </row>
    <row r="38" spans="1:16" ht="41.25" customHeight="1">
      <c r="A38" s="168"/>
      <c r="B38" s="176">
        <f>'EB Qtrs Det'!H68</f>
        <v>92</v>
      </c>
      <c r="C38" s="182" t="s">
        <v>71</v>
      </c>
      <c r="D38" s="181">
        <f>[3]Data!$K$2063</f>
        <v>799.19</v>
      </c>
      <c r="E38" s="181" t="s">
        <v>110</v>
      </c>
      <c r="F38" s="223">
        <v>92</v>
      </c>
      <c r="G38" s="171">
        <f t="shared" si="0"/>
        <v>73525.48000000001</v>
      </c>
      <c r="H38" s="181"/>
      <c r="I38" s="181"/>
      <c r="J38" s="171">
        <f t="shared" si="1"/>
        <v>92</v>
      </c>
      <c r="K38" s="171">
        <f t="shared" si="2"/>
        <v>73525.48000000001</v>
      </c>
    </row>
    <row r="39" spans="1:16" ht="155.25" customHeight="1">
      <c r="A39" s="168">
        <f>+A37+1</f>
        <v>30</v>
      </c>
      <c r="B39" s="176">
        <f>'EB Qtrs Det'!H71</f>
        <v>25.92</v>
      </c>
      <c r="C39" s="183" t="s">
        <v>494</v>
      </c>
      <c r="D39" s="184">
        <f>[3]Data!$K$3216</f>
        <v>110.89</v>
      </c>
      <c r="E39" s="184" t="s">
        <v>107</v>
      </c>
      <c r="F39" s="224">
        <v>25.92</v>
      </c>
      <c r="G39" s="171">
        <f t="shared" si="0"/>
        <v>2874.2688000000003</v>
      </c>
      <c r="H39" s="184"/>
      <c r="I39" s="184"/>
      <c r="J39" s="171">
        <f t="shared" si="1"/>
        <v>25.92</v>
      </c>
      <c r="K39" s="171">
        <f t="shared" si="2"/>
        <v>2874.2688000000003</v>
      </c>
    </row>
    <row r="40" spans="1:16" ht="116.25" customHeight="1">
      <c r="A40" s="168">
        <f t="shared" si="3"/>
        <v>31</v>
      </c>
      <c r="B40" s="176">
        <f>'EB Qtrs Det'!H79</f>
        <v>381.44</v>
      </c>
      <c r="C40" s="185" t="s">
        <v>10</v>
      </c>
      <c r="D40" s="186">
        <f>[3]Data!$K$2716</f>
        <v>73.14</v>
      </c>
      <c r="E40" s="186" t="s">
        <v>107</v>
      </c>
      <c r="F40" s="225">
        <v>381.44</v>
      </c>
      <c r="G40" s="171">
        <f t="shared" si="0"/>
        <v>27898.5216</v>
      </c>
      <c r="H40" s="186"/>
      <c r="I40" s="186"/>
      <c r="J40" s="171">
        <f t="shared" si="1"/>
        <v>381.44</v>
      </c>
      <c r="K40" s="171">
        <f t="shared" si="2"/>
        <v>27898.5216</v>
      </c>
    </row>
    <row r="41" spans="1:16" ht="141.75" customHeight="1">
      <c r="A41" s="168">
        <v>32</v>
      </c>
      <c r="B41" s="176">
        <f>'EB Qtrs Det'!H84</f>
        <v>103.6</v>
      </c>
      <c r="C41" s="183" t="s">
        <v>82</v>
      </c>
      <c r="D41" s="184">
        <f>[3]Data!$K$1553</f>
        <v>155.88</v>
      </c>
      <c r="E41" s="184" t="s">
        <v>107</v>
      </c>
      <c r="F41" s="224">
        <v>103.6</v>
      </c>
      <c r="G41" s="171">
        <f t="shared" si="0"/>
        <v>16149.167999999998</v>
      </c>
      <c r="H41" s="184"/>
      <c r="I41" s="184"/>
      <c r="J41" s="171">
        <f t="shared" si="1"/>
        <v>103.6</v>
      </c>
      <c r="K41" s="171">
        <f t="shared" si="2"/>
        <v>16149.167999999998</v>
      </c>
      <c r="P41" s="216" t="s">
        <v>497</v>
      </c>
    </row>
    <row r="42" spans="1:16" ht="203.25" customHeight="1">
      <c r="A42" s="168">
        <f t="shared" si="3"/>
        <v>33</v>
      </c>
      <c r="B42" s="176">
        <f>'EB Qtrs Det'!H88</f>
        <v>24</v>
      </c>
      <c r="C42" s="174" t="s">
        <v>104</v>
      </c>
      <c r="D42" s="171">
        <f>[3]Elec.Data!$K$1019</f>
        <v>924.28</v>
      </c>
      <c r="E42" s="171" t="s">
        <v>3</v>
      </c>
      <c r="F42" s="226">
        <v>24</v>
      </c>
      <c r="G42" s="171">
        <f t="shared" si="0"/>
        <v>22182.720000000001</v>
      </c>
      <c r="H42" s="171"/>
      <c r="I42" s="171"/>
      <c r="J42" s="171">
        <f t="shared" si="1"/>
        <v>24</v>
      </c>
      <c r="K42" s="171">
        <f t="shared" si="2"/>
        <v>22182.720000000001</v>
      </c>
    </row>
    <row r="43" spans="1:16" ht="339.75" customHeight="1">
      <c r="A43" s="168">
        <f t="shared" si="3"/>
        <v>34</v>
      </c>
      <c r="B43" s="176">
        <f>'EB Qtrs Det'!H96</f>
        <v>48</v>
      </c>
      <c r="C43" s="174" t="s">
        <v>89</v>
      </c>
      <c r="D43" s="171">
        <f>[3]Elec.Data!$K$993</f>
        <v>922.28</v>
      </c>
      <c r="E43" s="171" t="s">
        <v>3</v>
      </c>
      <c r="F43" s="226">
        <v>48</v>
      </c>
      <c r="G43" s="171">
        <f t="shared" si="0"/>
        <v>44269.440000000002</v>
      </c>
      <c r="H43" s="171"/>
      <c r="I43" s="171"/>
      <c r="J43" s="171">
        <f t="shared" si="1"/>
        <v>48</v>
      </c>
      <c r="K43" s="171">
        <f t="shared" si="2"/>
        <v>44269.440000000002</v>
      </c>
    </row>
    <row r="44" spans="1:16" ht="219.75" customHeight="1">
      <c r="A44" s="168">
        <f t="shared" si="3"/>
        <v>35</v>
      </c>
      <c r="B44" s="176">
        <f>'EB Qtrs Det'!H101</f>
        <v>24</v>
      </c>
      <c r="C44" s="174" t="s">
        <v>15</v>
      </c>
      <c r="D44" s="171">
        <f>[3]Elec.Data!$K$1057</f>
        <v>1008.47</v>
      </c>
      <c r="E44" s="171" t="s">
        <v>3</v>
      </c>
      <c r="F44" s="226">
        <v>24</v>
      </c>
      <c r="G44" s="171">
        <f t="shared" si="0"/>
        <v>24203.279999999999</v>
      </c>
      <c r="H44" s="171"/>
      <c r="I44" s="171"/>
      <c r="J44" s="171">
        <f t="shared" si="1"/>
        <v>24</v>
      </c>
      <c r="K44" s="171">
        <f t="shared" si="2"/>
        <v>24203.279999999999</v>
      </c>
    </row>
    <row r="45" spans="1:16" ht="190.5" customHeight="1">
      <c r="A45" s="168">
        <f t="shared" si="3"/>
        <v>36</v>
      </c>
      <c r="B45" s="176">
        <f>'EB Qtrs Det'!H105</f>
        <v>16</v>
      </c>
      <c r="C45" s="174" t="s">
        <v>16</v>
      </c>
      <c r="D45" s="171">
        <f>[3]Elec.Data!$K$1096</f>
        <v>708.83</v>
      </c>
      <c r="E45" s="171" t="s">
        <v>3</v>
      </c>
      <c r="F45" s="226">
        <v>16</v>
      </c>
      <c r="G45" s="171">
        <f t="shared" si="0"/>
        <v>11341.28</v>
      </c>
      <c r="H45" s="171"/>
      <c r="I45" s="171"/>
      <c r="J45" s="171">
        <f t="shared" si="1"/>
        <v>16</v>
      </c>
      <c r="K45" s="171">
        <f t="shared" si="2"/>
        <v>11341.28</v>
      </c>
    </row>
    <row r="46" spans="1:16" ht="142.5" customHeight="1">
      <c r="A46" s="168">
        <f t="shared" si="3"/>
        <v>37</v>
      </c>
      <c r="B46" s="176">
        <f>'EB Qtrs Det'!H108</f>
        <v>96</v>
      </c>
      <c r="C46" s="174" t="s">
        <v>17</v>
      </c>
      <c r="D46" s="171">
        <f>[4]Elec.Data!$K$1132</f>
        <v>149.51</v>
      </c>
      <c r="E46" s="171" t="s">
        <v>110</v>
      </c>
      <c r="F46" s="226">
        <v>96</v>
      </c>
      <c r="G46" s="171">
        <f t="shared" si="0"/>
        <v>14352.96</v>
      </c>
      <c r="H46" s="171"/>
      <c r="I46" s="171"/>
      <c r="J46" s="171">
        <f t="shared" si="1"/>
        <v>96</v>
      </c>
      <c r="K46" s="171">
        <f t="shared" si="2"/>
        <v>14352.96</v>
      </c>
    </row>
    <row r="47" spans="1:16" ht="173.25" customHeight="1">
      <c r="A47" s="168">
        <f t="shared" si="3"/>
        <v>38</v>
      </c>
      <c r="B47" s="176">
        <f>'EB Qtrs Det'!H113</f>
        <v>24</v>
      </c>
      <c r="C47" s="174" t="s">
        <v>18</v>
      </c>
      <c r="D47" s="171">
        <f>[3]Data!$K$3038</f>
        <v>1552.7</v>
      </c>
      <c r="E47" s="171" t="s">
        <v>3</v>
      </c>
      <c r="F47" s="226">
        <v>24</v>
      </c>
      <c r="G47" s="171">
        <f t="shared" si="0"/>
        <v>37264.800000000003</v>
      </c>
      <c r="H47" s="171"/>
      <c r="I47" s="171"/>
      <c r="J47" s="171">
        <f t="shared" si="1"/>
        <v>24</v>
      </c>
      <c r="K47" s="171">
        <f t="shared" si="2"/>
        <v>37264.800000000003</v>
      </c>
    </row>
    <row r="48" spans="1:16" ht="111" customHeight="1">
      <c r="A48" s="168">
        <f t="shared" si="3"/>
        <v>39</v>
      </c>
      <c r="B48" s="176">
        <f>'EB Qtrs Det'!H118</f>
        <v>24</v>
      </c>
      <c r="C48" s="187" t="s">
        <v>19</v>
      </c>
      <c r="D48" s="188">
        <f>[3]Data!$K$2277</f>
        <v>601</v>
      </c>
      <c r="E48" s="188" t="s">
        <v>3</v>
      </c>
      <c r="F48" s="227">
        <v>24</v>
      </c>
      <c r="G48" s="171">
        <f t="shared" si="0"/>
        <v>14424</v>
      </c>
      <c r="H48" s="188"/>
      <c r="I48" s="188"/>
      <c r="J48" s="171">
        <f t="shared" si="1"/>
        <v>24</v>
      </c>
      <c r="K48" s="171">
        <f t="shared" si="2"/>
        <v>14424</v>
      </c>
    </row>
    <row r="49" spans="1:11" ht="120" customHeight="1">
      <c r="A49" s="168">
        <f t="shared" si="3"/>
        <v>40</v>
      </c>
      <c r="B49" s="176">
        <f>'EB Qtrs Det'!H125</f>
        <v>308.06</v>
      </c>
      <c r="C49" s="195" t="s">
        <v>408</v>
      </c>
      <c r="D49" s="171">
        <f>[3]Data!$K$1312</f>
        <v>523.78</v>
      </c>
      <c r="E49" s="171" t="s">
        <v>107</v>
      </c>
      <c r="F49" s="226">
        <v>308.06</v>
      </c>
      <c r="G49" s="171">
        <f t="shared" si="0"/>
        <v>161355.66680000001</v>
      </c>
      <c r="H49" s="171"/>
      <c r="I49" s="171"/>
      <c r="J49" s="171">
        <f t="shared" si="1"/>
        <v>308.06</v>
      </c>
      <c r="K49" s="171">
        <f t="shared" si="2"/>
        <v>161355.66680000001</v>
      </c>
    </row>
    <row r="50" spans="1:11" ht="108" customHeight="1">
      <c r="A50" s="168">
        <f t="shared" si="3"/>
        <v>41</v>
      </c>
      <c r="B50" s="176">
        <f>'EB Qtrs Det'!H128</f>
        <v>8</v>
      </c>
      <c r="C50" s="174" t="s">
        <v>20</v>
      </c>
      <c r="D50" s="171">
        <f>[3]Elec.Data!$R$807</f>
        <v>3459</v>
      </c>
      <c r="E50" s="171" t="s">
        <v>3</v>
      </c>
      <c r="F50" s="226">
        <v>8</v>
      </c>
      <c r="G50" s="171">
        <f t="shared" si="0"/>
        <v>27672</v>
      </c>
      <c r="H50" s="171"/>
      <c r="I50" s="171"/>
      <c r="J50" s="171">
        <f t="shared" si="1"/>
        <v>8</v>
      </c>
      <c r="K50" s="171">
        <f t="shared" si="2"/>
        <v>27672</v>
      </c>
    </row>
    <row r="51" spans="1:11" ht="178.5" customHeight="1">
      <c r="A51" s="168">
        <f t="shared" si="3"/>
        <v>42</v>
      </c>
      <c r="B51" s="176">
        <f>'EB Qtrs Det'!H135</f>
        <v>40</v>
      </c>
      <c r="C51" s="174" t="s">
        <v>21</v>
      </c>
      <c r="D51" s="171">
        <v>705</v>
      </c>
      <c r="E51" s="171" t="s">
        <v>3</v>
      </c>
      <c r="F51" s="226">
        <v>40</v>
      </c>
      <c r="G51" s="171">
        <f t="shared" si="0"/>
        <v>28200</v>
      </c>
      <c r="H51" s="171"/>
      <c r="I51" s="171"/>
      <c r="J51" s="171">
        <f t="shared" si="1"/>
        <v>40</v>
      </c>
      <c r="K51" s="171">
        <f t="shared" si="2"/>
        <v>28200</v>
      </c>
    </row>
    <row r="52" spans="1:11" ht="130.5" customHeight="1">
      <c r="A52" s="168">
        <v>43</v>
      </c>
      <c r="B52" s="176">
        <f>'EB Qtrs Det'!H138</f>
        <v>60</v>
      </c>
      <c r="C52" s="193" t="s">
        <v>495</v>
      </c>
      <c r="D52" s="175">
        <f>[4]Elec.Data!$K$288</f>
        <v>407.08</v>
      </c>
      <c r="E52" s="175" t="s">
        <v>110</v>
      </c>
      <c r="F52" s="222">
        <v>60</v>
      </c>
      <c r="G52" s="171">
        <f t="shared" si="0"/>
        <v>24424.799999999999</v>
      </c>
      <c r="H52" s="175"/>
      <c r="I52" s="175"/>
      <c r="J52" s="171">
        <f t="shared" si="1"/>
        <v>60</v>
      </c>
      <c r="K52" s="171">
        <f t="shared" si="2"/>
        <v>24424.799999999999</v>
      </c>
    </row>
    <row r="53" spans="1:11" s="197" customFormat="1" ht="111" customHeight="1">
      <c r="A53" s="189">
        <v>44</v>
      </c>
      <c r="B53" s="190">
        <v>2</v>
      </c>
      <c r="C53" s="196" t="s">
        <v>496</v>
      </c>
      <c r="D53" s="175">
        <f>[3]Elec.Data!$K$650</f>
        <v>1345.34</v>
      </c>
      <c r="E53" s="175" t="s">
        <v>3</v>
      </c>
      <c r="F53" s="222">
        <v>2</v>
      </c>
      <c r="G53" s="171">
        <f t="shared" si="0"/>
        <v>2690.68</v>
      </c>
      <c r="H53" s="175"/>
      <c r="I53" s="175"/>
      <c r="J53" s="171">
        <f t="shared" si="1"/>
        <v>2</v>
      </c>
      <c r="K53" s="171">
        <f t="shared" si="2"/>
        <v>2690.68</v>
      </c>
    </row>
    <row r="54" spans="1:11" ht="96.75" customHeight="1">
      <c r="A54" s="198">
        <v>45</v>
      </c>
      <c r="B54" s="176">
        <v>6</v>
      </c>
      <c r="C54" s="196" t="s">
        <v>381</v>
      </c>
      <c r="D54" s="175">
        <f>[3]Elec.Data!$K$716</f>
        <v>165</v>
      </c>
      <c r="E54" s="175" t="s">
        <v>110</v>
      </c>
      <c r="F54" s="222">
        <v>6</v>
      </c>
      <c r="G54" s="171">
        <f t="shared" si="0"/>
        <v>990</v>
      </c>
      <c r="H54" s="175"/>
      <c r="I54" s="175"/>
      <c r="J54" s="171">
        <f t="shared" si="1"/>
        <v>6</v>
      </c>
      <c r="K54" s="171">
        <f t="shared" si="2"/>
        <v>990</v>
      </c>
    </row>
    <row r="55" spans="1:11" ht="47.25" customHeight="1">
      <c r="A55" s="198">
        <v>46</v>
      </c>
      <c r="B55" s="176">
        <v>2</v>
      </c>
      <c r="C55" s="199" t="s">
        <v>415</v>
      </c>
      <c r="D55" s="92">
        <v>1167.1199999999999</v>
      </c>
      <c r="E55" s="92" t="s">
        <v>3</v>
      </c>
      <c r="F55" s="228">
        <v>2</v>
      </c>
      <c r="G55" s="171">
        <f t="shared" si="0"/>
        <v>2334.2399999999998</v>
      </c>
      <c r="H55" s="92"/>
      <c r="I55" s="92"/>
      <c r="J55" s="171">
        <f t="shared" si="1"/>
        <v>2</v>
      </c>
      <c r="K55" s="171">
        <f t="shared" si="2"/>
        <v>2334.2399999999998</v>
      </c>
    </row>
    <row r="56" spans="1:11" ht="47.25" customHeight="1">
      <c r="A56" s="198">
        <v>47</v>
      </c>
      <c r="B56" s="176">
        <f>'EB Qtrs Det'!H150</f>
        <v>464</v>
      </c>
      <c r="C56" s="199" t="str">
        <f>'EB Qtrs Det'!B148</f>
        <v>Existing AC sheet Reroofing  without roof timbers etc., complete complying with standard specifications.</v>
      </c>
      <c r="D56" s="92">
        <v>324.87</v>
      </c>
      <c r="E56" s="92" t="s">
        <v>107</v>
      </c>
      <c r="F56" s="228">
        <v>456</v>
      </c>
      <c r="G56" s="171">
        <f t="shared" si="0"/>
        <v>148140.72</v>
      </c>
      <c r="H56" s="92"/>
      <c r="I56" s="92"/>
      <c r="J56" s="171">
        <f t="shared" si="1"/>
        <v>456</v>
      </c>
      <c r="K56" s="171">
        <f t="shared" si="2"/>
        <v>148140.72</v>
      </c>
    </row>
    <row r="57" spans="1:11" ht="24.75" customHeight="1">
      <c r="A57" s="198"/>
      <c r="B57" s="176"/>
      <c r="C57" s="200"/>
      <c r="D57" s="201"/>
      <c r="E57" s="201"/>
      <c r="F57" s="201"/>
      <c r="G57" s="235">
        <f>SUM(G5:G56)</f>
        <v>1195000.309232</v>
      </c>
      <c r="H57" s="235"/>
      <c r="I57" s="235">
        <f>SUM(I5:I56)</f>
        <v>171439.55609999999</v>
      </c>
      <c r="J57" s="235"/>
      <c r="K57" s="235">
        <f>SUM(K5:K56)</f>
        <v>1366439.8653319997</v>
      </c>
    </row>
    <row r="58" spans="1:11" ht="15.75">
      <c r="A58" s="202"/>
      <c r="B58" s="203"/>
      <c r="C58" s="204"/>
      <c r="D58" s="205"/>
      <c r="E58" s="205"/>
      <c r="F58" s="205"/>
      <c r="G58" s="205"/>
      <c r="H58" s="205"/>
      <c r="I58" s="205"/>
      <c r="J58" s="205"/>
      <c r="K58" s="204"/>
    </row>
    <row r="59" spans="1:11" ht="15.75">
      <c r="A59" s="202"/>
      <c r="B59" s="203"/>
      <c r="C59" s="204"/>
      <c r="D59" s="205"/>
      <c r="E59" s="205"/>
      <c r="F59" s="205"/>
      <c r="G59" s="205"/>
      <c r="H59" s="205"/>
      <c r="I59" s="205"/>
      <c r="J59" s="205"/>
      <c r="K59" s="204"/>
    </row>
    <row r="60" spans="1:11" ht="15.75">
      <c r="A60" s="202"/>
      <c r="B60" s="203"/>
      <c r="C60" s="204"/>
      <c r="D60" s="205"/>
      <c r="E60" s="205"/>
      <c r="F60" s="205"/>
      <c r="G60" s="205"/>
      <c r="H60" s="205"/>
      <c r="I60" s="205"/>
      <c r="J60" s="205"/>
      <c r="K60" s="204"/>
    </row>
    <row r="61" spans="1:11" ht="15.75">
      <c r="A61" s="202"/>
      <c r="B61" s="203"/>
      <c r="C61" s="204"/>
      <c r="D61" s="205"/>
      <c r="E61" s="205"/>
      <c r="F61" s="205"/>
      <c r="G61" s="205"/>
      <c r="H61" s="205"/>
      <c r="I61" s="205"/>
      <c r="J61" s="205"/>
      <c r="K61" s="204"/>
    </row>
    <row r="62" spans="1:11" ht="15.75">
      <c r="A62" s="202"/>
      <c r="B62" s="203"/>
      <c r="C62" s="204"/>
      <c r="D62" s="205"/>
      <c r="E62" s="205"/>
      <c r="F62" s="205"/>
      <c r="G62" s="205"/>
      <c r="H62" s="205"/>
      <c r="I62" s="205"/>
      <c r="J62" s="205"/>
      <c r="K62" s="204"/>
    </row>
    <row r="63" spans="1:11" ht="15.75">
      <c r="A63" s="202"/>
      <c r="B63" s="203"/>
      <c r="C63" s="204"/>
      <c r="D63" s="205"/>
      <c r="E63" s="205"/>
      <c r="F63" s="205"/>
      <c r="G63" s="205"/>
      <c r="H63" s="205"/>
      <c r="I63" s="205"/>
      <c r="J63" s="205"/>
      <c r="K63" s="204"/>
    </row>
    <row r="64" spans="1:11" ht="15.75">
      <c r="A64" s="202"/>
      <c r="B64" s="203"/>
      <c r="C64" s="204"/>
      <c r="D64" s="205"/>
      <c r="E64" s="205"/>
      <c r="F64" s="205"/>
      <c r="G64" s="205"/>
      <c r="H64" s="205"/>
      <c r="I64" s="205"/>
      <c r="J64" s="205"/>
      <c r="K64" s="204"/>
    </row>
    <row r="65" spans="1:11" ht="15.75">
      <c r="A65" s="202"/>
      <c r="B65" s="203"/>
      <c r="C65" s="204"/>
      <c r="D65" s="205"/>
      <c r="E65" s="205"/>
      <c r="F65" s="205"/>
      <c r="G65" s="205"/>
      <c r="H65" s="205"/>
      <c r="I65" s="205"/>
      <c r="J65" s="205"/>
      <c r="K65" s="204"/>
    </row>
    <row r="66" spans="1:11" ht="15.75">
      <c r="A66" s="202"/>
      <c r="B66" s="203"/>
      <c r="C66" s="204"/>
      <c r="D66" s="205"/>
      <c r="E66" s="205"/>
      <c r="F66" s="205"/>
      <c r="G66" s="205"/>
      <c r="H66" s="205"/>
      <c r="I66" s="205"/>
      <c r="J66" s="205"/>
      <c r="K66" s="204"/>
    </row>
    <row r="67" spans="1:11" ht="21">
      <c r="A67" s="206"/>
      <c r="B67" s="207"/>
      <c r="C67" s="208"/>
      <c r="D67" s="208"/>
      <c r="E67" s="209"/>
      <c r="F67" s="209"/>
      <c r="G67" s="209"/>
      <c r="H67" s="209"/>
      <c r="I67" s="209"/>
      <c r="J67" s="209"/>
      <c r="K67" s="208"/>
    </row>
    <row r="68" spans="1:11" ht="17.25">
      <c r="A68" s="206"/>
      <c r="B68" s="210"/>
      <c r="C68" s="208"/>
      <c r="D68" s="208"/>
      <c r="E68" s="209"/>
      <c r="F68" s="209"/>
      <c r="G68" s="209"/>
      <c r="H68" s="209"/>
      <c r="I68" s="209"/>
      <c r="J68" s="209"/>
      <c r="K68" s="208"/>
    </row>
    <row r="69" spans="1:11" ht="17.25">
      <c r="A69" s="206"/>
      <c r="B69" s="210"/>
      <c r="C69" s="208"/>
      <c r="D69" s="208"/>
      <c r="E69" s="209"/>
      <c r="F69" s="209"/>
      <c r="G69" s="209"/>
      <c r="H69" s="209"/>
      <c r="I69" s="209"/>
      <c r="J69" s="209"/>
      <c r="K69" s="208"/>
    </row>
    <row r="70" spans="1:11" ht="17.25">
      <c r="A70" s="206"/>
      <c r="B70" s="210"/>
      <c r="C70" s="208"/>
      <c r="D70" s="208"/>
      <c r="E70" s="209"/>
      <c r="F70" s="209"/>
      <c r="G70" s="209"/>
      <c r="H70" s="209"/>
      <c r="I70" s="209"/>
      <c r="J70" s="209"/>
      <c r="K70" s="208"/>
    </row>
    <row r="71" spans="1:11" ht="17.25">
      <c r="A71" s="206"/>
      <c r="B71" s="210"/>
      <c r="C71" s="208"/>
      <c r="D71" s="208"/>
      <c r="E71" s="209"/>
      <c r="F71" s="209"/>
      <c r="G71" s="209"/>
      <c r="H71" s="209"/>
      <c r="I71" s="209"/>
      <c r="J71" s="209"/>
      <c r="K71" s="208"/>
    </row>
    <row r="72" spans="1:11" ht="17.25">
      <c r="A72" s="206"/>
      <c r="B72" s="210"/>
      <c r="C72" s="208"/>
      <c r="D72" s="208"/>
      <c r="E72" s="209"/>
      <c r="F72" s="209"/>
      <c r="G72" s="209"/>
      <c r="H72" s="209"/>
      <c r="I72" s="209"/>
      <c r="J72" s="209"/>
      <c r="K72" s="208"/>
    </row>
    <row r="73" spans="1:11" ht="17.25">
      <c r="A73" s="206"/>
      <c r="B73" s="210"/>
      <c r="C73" s="208"/>
      <c r="D73" s="208"/>
      <c r="E73" s="209"/>
      <c r="F73" s="209"/>
      <c r="G73" s="209"/>
      <c r="H73" s="209"/>
      <c r="I73" s="209"/>
      <c r="J73" s="209"/>
      <c r="K73" s="208"/>
    </row>
    <row r="74" spans="1:11" ht="17.25">
      <c r="A74" s="206"/>
      <c r="B74" s="210"/>
      <c r="C74" s="208"/>
      <c r="D74" s="208"/>
      <c r="E74" s="209"/>
      <c r="F74" s="209"/>
      <c r="G74" s="209"/>
      <c r="H74" s="209"/>
      <c r="I74" s="209"/>
      <c r="J74" s="209"/>
      <c r="K74" s="208"/>
    </row>
    <row r="75" spans="1:11" ht="17.25">
      <c r="A75" s="206"/>
      <c r="B75" s="210"/>
      <c r="C75" s="208"/>
      <c r="D75" s="208"/>
      <c r="E75" s="209"/>
      <c r="F75" s="209"/>
      <c r="G75" s="209"/>
      <c r="H75" s="209"/>
      <c r="I75" s="209"/>
      <c r="J75" s="209"/>
      <c r="K75" s="208"/>
    </row>
    <row r="76" spans="1:11" ht="17.25">
      <c r="A76" s="206"/>
      <c r="B76" s="210"/>
      <c r="C76" s="208"/>
      <c r="D76" s="208"/>
      <c r="E76" s="209"/>
      <c r="F76" s="209"/>
      <c r="G76" s="209"/>
      <c r="H76" s="209"/>
      <c r="I76" s="209"/>
      <c r="J76" s="209"/>
      <c r="K76" s="208"/>
    </row>
    <row r="77" spans="1:11" ht="17.25">
      <c r="A77" s="206"/>
      <c r="B77" s="210"/>
      <c r="C77" s="208"/>
      <c r="D77" s="208"/>
      <c r="E77" s="209"/>
      <c r="F77" s="209"/>
      <c r="G77" s="209"/>
      <c r="H77" s="209"/>
      <c r="I77" s="209"/>
      <c r="J77" s="209"/>
      <c r="K77" s="208"/>
    </row>
    <row r="78" spans="1:11" ht="17.25">
      <c r="A78" s="206"/>
      <c r="B78" s="210"/>
      <c r="C78" s="208"/>
      <c r="D78" s="208"/>
      <c r="E78" s="209"/>
      <c r="F78" s="209"/>
      <c r="G78" s="209"/>
      <c r="H78" s="209"/>
      <c r="I78" s="209"/>
      <c r="J78" s="209"/>
      <c r="K78" s="208"/>
    </row>
    <row r="79" spans="1:11" ht="17.25">
      <c r="A79" s="206"/>
      <c r="B79" s="210"/>
      <c r="C79" s="208"/>
      <c r="D79" s="208"/>
      <c r="E79" s="209"/>
      <c r="F79" s="209"/>
      <c r="G79" s="209"/>
      <c r="H79" s="209"/>
      <c r="I79" s="209"/>
      <c r="J79" s="209"/>
      <c r="K79" s="208"/>
    </row>
    <row r="80" spans="1:11" ht="17.25">
      <c r="A80" s="206"/>
      <c r="B80" s="210"/>
      <c r="C80" s="208"/>
      <c r="D80" s="208"/>
      <c r="E80" s="209"/>
      <c r="F80" s="209"/>
      <c r="G80" s="209"/>
      <c r="H80" s="209"/>
      <c r="I80" s="209"/>
      <c r="J80" s="209"/>
      <c r="K80" s="208"/>
    </row>
    <row r="81" spans="1:11" ht="17.25">
      <c r="A81" s="206"/>
      <c r="B81" s="210"/>
      <c r="C81" s="208"/>
      <c r="D81" s="208"/>
      <c r="E81" s="209"/>
      <c r="F81" s="209"/>
      <c r="G81" s="209"/>
      <c r="H81" s="209"/>
      <c r="I81" s="209"/>
      <c r="J81" s="209"/>
      <c r="K81" s="208"/>
    </row>
    <row r="82" spans="1:11" ht="17.25">
      <c r="A82" s="206"/>
      <c r="B82" s="210"/>
      <c r="C82" s="208"/>
      <c r="D82" s="208"/>
      <c r="E82" s="209"/>
      <c r="F82" s="209"/>
      <c r="G82" s="209"/>
      <c r="H82" s="209"/>
      <c r="I82" s="209"/>
      <c r="J82" s="209"/>
      <c r="K82" s="208"/>
    </row>
    <row r="83" spans="1:11" ht="17.25">
      <c r="A83" s="206"/>
      <c r="B83" s="210"/>
      <c r="C83" s="208"/>
      <c r="D83" s="208"/>
      <c r="E83" s="209"/>
      <c r="F83" s="209"/>
      <c r="G83" s="209"/>
      <c r="H83" s="209"/>
      <c r="I83" s="209"/>
      <c r="J83" s="209"/>
      <c r="K83" s="208"/>
    </row>
    <row r="84" spans="1:11" ht="17.25">
      <c r="A84" s="206"/>
      <c r="B84" s="210"/>
      <c r="C84" s="208"/>
      <c r="D84" s="208"/>
      <c r="E84" s="209"/>
      <c r="F84" s="209"/>
      <c r="G84" s="209"/>
      <c r="H84" s="209"/>
      <c r="I84" s="209"/>
      <c r="J84" s="209"/>
      <c r="K84" s="208"/>
    </row>
    <row r="85" spans="1:11" ht="17.25">
      <c r="A85" s="206"/>
      <c r="B85" s="210"/>
      <c r="C85" s="208"/>
      <c r="D85" s="208"/>
      <c r="E85" s="209"/>
      <c r="F85" s="209"/>
      <c r="G85" s="209"/>
      <c r="H85" s="209"/>
      <c r="I85" s="209"/>
      <c r="J85" s="209"/>
      <c r="K85" s="208"/>
    </row>
    <row r="86" spans="1:11" ht="17.25">
      <c r="A86" s="206"/>
      <c r="B86" s="210"/>
      <c r="C86" s="208"/>
      <c r="D86" s="208"/>
      <c r="E86" s="209"/>
      <c r="F86" s="209"/>
      <c r="G86" s="209"/>
      <c r="H86" s="209"/>
      <c r="I86" s="209"/>
      <c r="J86" s="209"/>
      <c r="K86" s="208"/>
    </row>
    <row r="87" spans="1:11" ht="17.25">
      <c r="A87" s="206"/>
      <c r="B87" s="210"/>
      <c r="C87" s="208"/>
      <c r="D87" s="208"/>
      <c r="E87" s="209"/>
      <c r="F87" s="209"/>
      <c r="G87" s="209"/>
      <c r="H87" s="209"/>
      <c r="I87" s="209"/>
      <c r="J87" s="209"/>
      <c r="K87" s="208"/>
    </row>
    <row r="88" spans="1:11" ht="17.25">
      <c r="A88" s="206"/>
      <c r="B88" s="210"/>
      <c r="C88" s="208"/>
      <c r="D88" s="208"/>
      <c r="E88" s="209"/>
      <c r="F88" s="209"/>
      <c r="G88" s="209"/>
      <c r="H88" s="209"/>
      <c r="I88" s="209"/>
      <c r="J88" s="209"/>
      <c r="K88" s="208"/>
    </row>
    <row r="89" spans="1:11" ht="17.25">
      <c r="A89" s="206"/>
      <c r="B89" s="210"/>
      <c r="C89" s="208"/>
      <c r="D89" s="208"/>
      <c r="E89" s="209"/>
      <c r="F89" s="209"/>
      <c r="G89" s="209"/>
      <c r="H89" s="209"/>
      <c r="I89" s="209"/>
      <c r="J89" s="209"/>
      <c r="K89" s="208"/>
    </row>
    <row r="90" spans="1:11" ht="17.25">
      <c r="A90" s="206"/>
      <c r="B90" s="210"/>
      <c r="C90" s="208"/>
      <c r="D90" s="208"/>
      <c r="E90" s="209"/>
      <c r="F90" s="209"/>
      <c r="G90" s="209"/>
      <c r="H90" s="209"/>
      <c r="I90" s="209"/>
      <c r="J90" s="209"/>
      <c r="K90" s="208"/>
    </row>
    <row r="91" spans="1:11" ht="17.25">
      <c r="A91" s="206"/>
      <c r="B91" s="210"/>
      <c r="C91" s="208"/>
      <c r="D91" s="208"/>
      <c r="E91" s="209"/>
      <c r="F91" s="209"/>
      <c r="G91" s="209"/>
      <c r="H91" s="209"/>
      <c r="I91" s="209"/>
      <c r="J91" s="209"/>
      <c r="K91" s="208"/>
    </row>
    <row r="92" spans="1:11" ht="17.25">
      <c r="A92" s="206"/>
      <c r="B92" s="210"/>
      <c r="C92" s="208"/>
      <c r="D92" s="208"/>
      <c r="E92" s="209"/>
      <c r="F92" s="209"/>
      <c r="G92" s="209"/>
      <c r="H92" s="209"/>
      <c r="I92" s="209"/>
      <c r="J92" s="209"/>
      <c r="K92" s="208"/>
    </row>
    <row r="93" spans="1:11" ht="17.25">
      <c r="A93" s="206"/>
      <c r="B93" s="210"/>
      <c r="C93" s="208"/>
      <c r="D93" s="208"/>
      <c r="E93" s="209"/>
      <c r="F93" s="209"/>
      <c r="G93" s="209"/>
      <c r="H93" s="209"/>
      <c r="I93" s="209"/>
      <c r="J93" s="209"/>
      <c r="K93" s="208"/>
    </row>
    <row r="94" spans="1:11" ht="17.25">
      <c r="A94" s="206"/>
      <c r="B94" s="210"/>
      <c r="C94" s="208"/>
      <c r="D94" s="208"/>
      <c r="E94" s="209"/>
      <c r="F94" s="209"/>
      <c r="G94" s="209"/>
      <c r="H94" s="209"/>
      <c r="I94" s="209"/>
      <c r="J94" s="209"/>
      <c r="K94" s="208"/>
    </row>
    <row r="95" spans="1:11" ht="17.25">
      <c r="A95" s="206"/>
      <c r="B95" s="210"/>
      <c r="C95" s="208"/>
      <c r="D95" s="208"/>
      <c r="E95" s="209"/>
      <c r="F95" s="209"/>
      <c r="G95" s="209"/>
      <c r="H95" s="209"/>
      <c r="I95" s="209"/>
      <c r="J95" s="209"/>
      <c r="K95" s="208"/>
    </row>
    <row r="96" spans="1:11" ht="17.25">
      <c r="A96" s="206"/>
      <c r="B96" s="210"/>
      <c r="C96" s="208"/>
      <c r="D96" s="208"/>
      <c r="E96" s="209"/>
      <c r="F96" s="209"/>
      <c r="G96" s="209"/>
      <c r="H96" s="209"/>
      <c r="I96" s="209"/>
      <c r="J96" s="209"/>
      <c r="K96" s="208"/>
    </row>
    <row r="97" spans="1:11" ht="17.25">
      <c r="A97" s="206"/>
      <c r="B97" s="210"/>
      <c r="C97" s="208"/>
      <c r="D97" s="208"/>
      <c r="E97" s="209"/>
      <c r="F97" s="209"/>
      <c r="G97" s="209"/>
      <c r="H97" s="209"/>
      <c r="I97" s="209"/>
      <c r="J97" s="209"/>
      <c r="K97" s="208"/>
    </row>
    <row r="98" spans="1:11" ht="17.25">
      <c r="A98" s="206"/>
      <c r="B98" s="210"/>
      <c r="C98" s="208"/>
      <c r="D98" s="208"/>
      <c r="E98" s="209"/>
      <c r="F98" s="209"/>
      <c r="G98" s="209"/>
      <c r="H98" s="209"/>
      <c r="I98" s="209"/>
      <c r="J98" s="209"/>
      <c r="K98" s="208"/>
    </row>
    <row r="99" spans="1:11" ht="17.25">
      <c r="A99" s="206"/>
      <c r="B99" s="210"/>
      <c r="C99" s="208"/>
      <c r="D99" s="208"/>
      <c r="E99" s="209"/>
      <c r="F99" s="209"/>
      <c r="G99" s="209"/>
      <c r="H99" s="209"/>
      <c r="I99" s="209"/>
      <c r="J99" s="209"/>
      <c r="K99" s="208"/>
    </row>
    <row r="100" spans="1:11" ht="17.25">
      <c r="A100" s="206"/>
      <c r="B100" s="210"/>
      <c r="C100" s="208"/>
      <c r="D100" s="208"/>
      <c r="E100" s="209"/>
      <c r="F100" s="209"/>
      <c r="G100" s="209"/>
      <c r="H100" s="209"/>
      <c r="I100" s="209"/>
      <c r="J100" s="209"/>
      <c r="K100" s="208"/>
    </row>
    <row r="101" spans="1:11" ht="17.25">
      <c r="A101" s="206"/>
      <c r="B101" s="210"/>
      <c r="C101" s="208"/>
      <c r="D101" s="208"/>
      <c r="E101" s="209"/>
      <c r="F101" s="209"/>
      <c r="G101" s="209"/>
      <c r="H101" s="209"/>
      <c r="I101" s="209"/>
      <c r="J101" s="209"/>
      <c r="K101" s="208"/>
    </row>
    <row r="102" spans="1:11" ht="17.25">
      <c r="A102" s="206"/>
      <c r="B102" s="210"/>
      <c r="C102" s="208"/>
      <c r="D102" s="208"/>
      <c r="E102" s="209"/>
      <c r="F102" s="209"/>
      <c r="G102" s="209"/>
      <c r="H102" s="209"/>
      <c r="I102" s="209"/>
      <c r="J102" s="209"/>
      <c r="K102" s="208"/>
    </row>
    <row r="103" spans="1:11" ht="17.25">
      <c r="A103" s="206"/>
      <c r="B103" s="210"/>
      <c r="C103" s="208"/>
      <c r="D103" s="208"/>
      <c r="E103" s="209"/>
      <c r="F103" s="209"/>
      <c r="G103" s="209"/>
      <c r="H103" s="209"/>
      <c r="I103" s="209"/>
      <c r="J103" s="209"/>
      <c r="K103" s="208"/>
    </row>
    <row r="104" spans="1:11" ht="17.25">
      <c r="A104" s="206"/>
      <c r="B104" s="210"/>
      <c r="C104" s="208"/>
      <c r="D104" s="208"/>
      <c r="E104" s="209"/>
      <c r="F104" s="209"/>
      <c r="G104" s="209"/>
      <c r="H104" s="209"/>
      <c r="I104" s="209"/>
      <c r="J104" s="209"/>
      <c r="K104" s="208"/>
    </row>
    <row r="105" spans="1:11" ht="17.25">
      <c r="A105" s="206"/>
      <c r="B105" s="210"/>
      <c r="C105" s="208"/>
      <c r="D105" s="208"/>
      <c r="E105" s="209"/>
      <c r="F105" s="209"/>
      <c r="G105" s="209"/>
      <c r="H105" s="209"/>
      <c r="I105" s="209"/>
      <c r="J105" s="209"/>
      <c r="K105" s="208"/>
    </row>
    <row r="106" spans="1:11" ht="17.25">
      <c r="A106" s="206"/>
      <c r="B106" s="210"/>
      <c r="C106" s="208"/>
      <c r="D106" s="208"/>
      <c r="E106" s="209"/>
      <c r="F106" s="209"/>
      <c r="G106" s="209"/>
      <c r="H106" s="209"/>
      <c r="I106" s="209"/>
      <c r="J106" s="209"/>
      <c r="K106" s="208"/>
    </row>
    <row r="107" spans="1:11" ht="17.25">
      <c r="A107" s="206"/>
      <c r="B107" s="210"/>
      <c r="C107" s="208"/>
      <c r="D107" s="208"/>
      <c r="E107" s="209"/>
      <c r="F107" s="209"/>
      <c r="G107" s="209"/>
      <c r="H107" s="209"/>
      <c r="I107" s="209"/>
      <c r="J107" s="209"/>
      <c r="K107" s="208"/>
    </row>
    <row r="108" spans="1:11" ht="17.25">
      <c r="A108" s="206"/>
      <c r="B108" s="210"/>
      <c r="C108" s="208"/>
      <c r="D108" s="208"/>
      <c r="E108" s="209"/>
      <c r="F108" s="209"/>
      <c r="G108" s="209"/>
      <c r="H108" s="209"/>
      <c r="I108" s="209"/>
      <c r="J108" s="209"/>
      <c r="K108" s="208"/>
    </row>
    <row r="109" spans="1:11" ht="17.25">
      <c r="A109" s="206"/>
      <c r="B109" s="210"/>
      <c r="C109" s="208"/>
      <c r="D109" s="208"/>
      <c r="E109" s="209"/>
      <c r="F109" s="209"/>
      <c r="G109" s="209"/>
      <c r="H109" s="209"/>
      <c r="I109" s="209"/>
      <c r="J109" s="209"/>
      <c r="K109" s="208"/>
    </row>
    <row r="110" spans="1:11" ht="17.25">
      <c r="A110" s="206"/>
      <c r="B110" s="210"/>
      <c r="C110" s="208"/>
      <c r="D110" s="208"/>
      <c r="E110" s="209"/>
      <c r="F110" s="209"/>
      <c r="G110" s="209"/>
      <c r="H110" s="209"/>
      <c r="I110" s="209"/>
      <c r="J110" s="209"/>
      <c r="K110" s="208"/>
    </row>
    <row r="111" spans="1:11" ht="17.25">
      <c r="A111" s="206"/>
      <c r="B111" s="210"/>
      <c r="C111" s="208"/>
      <c r="D111" s="208"/>
      <c r="E111" s="209"/>
      <c r="F111" s="209"/>
      <c r="G111" s="209"/>
      <c r="H111" s="209"/>
      <c r="I111" s="209"/>
      <c r="J111" s="209"/>
      <c r="K111" s="208"/>
    </row>
    <row r="112" spans="1:11" ht="17.25">
      <c r="A112" s="206"/>
      <c r="B112" s="210"/>
      <c r="C112" s="208"/>
      <c r="D112" s="208"/>
      <c r="E112" s="209"/>
      <c r="F112" s="209"/>
      <c r="G112" s="209"/>
      <c r="H112" s="209"/>
      <c r="I112" s="209"/>
      <c r="J112" s="209"/>
      <c r="K112" s="208"/>
    </row>
    <row r="113" spans="1:11" ht="17.25">
      <c r="A113" s="206"/>
      <c r="B113" s="210"/>
      <c r="C113" s="208"/>
      <c r="D113" s="208"/>
      <c r="E113" s="209"/>
      <c r="F113" s="209"/>
      <c r="G113" s="209"/>
      <c r="H113" s="209"/>
      <c r="I113" s="209"/>
      <c r="J113" s="209"/>
      <c r="K113" s="208"/>
    </row>
    <row r="114" spans="1:11" ht="17.25">
      <c r="A114" s="206"/>
      <c r="B114" s="210"/>
      <c r="C114" s="208"/>
      <c r="D114" s="208"/>
      <c r="E114" s="209"/>
      <c r="F114" s="209"/>
      <c r="G114" s="209"/>
      <c r="H114" s="209"/>
      <c r="I114" s="209"/>
      <c r="J114" s="209"/>
      <c r="K114" s="208"/>
    </row>
    <row r="115" spans="1:11" ht="17.25">
      <c r="A115" s="206"/>
      <c r="B115" s="210"/>
      <c r="C115" s="208"/>
      <c r="D115" s="208"/>
      <c r="E115" s="209"/>
      <c r="F115" s="209"/>
      <c r="G115" s="209"/>
      <c r="H115" s="209"/>
      <c r="I115" s="209"/>
      <c r="J115" s="209"/>
      <c r="K115" s="208"/>
    </row>
    <row r="116" spans="1:11" ht="17.25">
      <c r="A116" s="206"/>
      <c r="B116" s="210"/>
      <c r="C116" s="208"/>
      <c r="D116" s="208"/>
      <c r="E116" s="209"/>
      <c r="F116" s="209"/>
      <c r="G116" s="209"/>
      <c r="H116" s="209"/>
      <c r="I116" s="209"/>
      <c r="J116" s="209"/>
      <c r="K116" s="208"/>
    </row>
    <row r="117" spans="1:11" ht="17.25">
      <c r="A117" s="206"/>
      <c r="B117" s="210"/>
      <c r="C117" s="208"/>
      <c r="D117" s="208"/>
      <c r="E117" s="209"/>
      <c r="F117" s="209"/>
      <c r="G117" s="209"/>
      <c r="H117" s="209"/>
      <c r="I117" s="209"/>
      <c r="J117" s="209"/>
      <c r="K117" s="208"/>
    </row>
    <row r="118" spans="1:11" ht="17.25">
      <c r="A118" s="206"/>
      <c r="B118" s="210"/>
      <c r="C118" s="208"/>
      <c r="D118" s="208"/>
      <c r="E118" s="209"/>
      <c r="F118" s="209"/>
      <c r="G118" s="209"/>
      <c r="H118" s="209"/>
      <c r="I118" s="209"/>
      <c r="J118" s="209"/>
      <c r="K118" s="208"/>
    </row>
    <row r="119" spans="1:11" ht="17.25">
      <c r="A119" s="206"/>
      <c r="B119" s="210"/>
      <c r="C119" s="208"/>
      <c r="D119" s="208"/>
      <c r="E119" s="209"/>
      <c r="F119" s="209"/>
      <c r="G119" s="209"/>
      <c r="H119" s="209"/>
      <c r="I119" s="209"/>
      <c r="J119" s="209"/>
      <c r="K119" s="208"/>
    </row>
    <row r="120" spans="1:11" ht="17.25">
      <c r="A120" s="206"/>
      <c r="B120" s="210"/>
      <c r="C120" s="208"/>
      <c r="D120" s="208"/>
      <c r="E120" s="209"/>
      <c r="F120" s="209"/>
      <c r="G120" s="209"/>
      <c r="H120" s="209"/>
      <c r="I120" s="209"/>
      <c r="J120" s="209"/>
      <c r="K120" s="208"/>
    </row>
    <row r="121" spans="1:11" ht="17.25">
      <c r="A121" s="206"/>
      <c r="B121" s="210"/>
      <c r="C121" s="208"/>
      <c r="D121" s="208"/>
      <c r="E121" s="209"/>
      <c r="F121" s="209"/>
      <c r="G121" s="209"/>
      <c r="H121" s="209"/>
      <c r="I121" s="209"/>
      <c r="J121" s="209"/>
      <c r="K121" s="208"/>
    </row>
    <row r="122" spans="1:11" ht="17.25">
      <c r="A122" s="206"/>
      <c r="B122" s="210"/>
      <c r="C122" s="208"/>
      <c r="D122" s="208"/>
      <c r="E122" s="209"/>
      <c r="F122" s="209"/>
      <c r="G122" s="209"/>
      <c r="H122" s="209"/>
      <c r="I122" s="209"/>
      <c r="J122" s="209"/>
      <c r="K122" s="208"/>
    </row>
    <row r="123" spans="1:11" ht="17.25">
      <c r="A123" s="206"/>
      <c r="B123" s="210"/>
      <c r="C123" s="208"/>
      <c r="D123" s="208"/>
      <c r="E123" s="209"/>
      <c r="F123" s="209"/>
      <c r="G123" s="209"/>
      <c r="H123" s="209"/>
      <c r="I123" s="209"/>
      <c r="J123" s="209"/>
      <c r="K123" s="208"/>
    </row>
    <row r="124" spans="1:11" ht="17.25">
      <c r="A124" s="206"/>
      <c r="B124" s="210"/>
      <c r="C124" s="208"/>
      <c r="D124" s="208"/>
      <c r="E124" s="209"/>
      <c r="F124" s="209"/>
      <c r="G124" s="209"/>
      <c r="H124" s="209"/>
      <c r="I124" s="209"/>
      <c r="J124" s="209"/>
      <c r="K124" s="208"/>
    </row>
    <row r="125" spans="1:11" ht="17.25">
      <c r="A125" s="206"/>
      <c r="B125" s="210"/>
      <c r="C125" s="208"/>
      <c r="D125" s="208"/>
      <c r="E125" s="209"/>
      <c r="F125" s="209"/>
      <c r="G125" s="209"/>
      <c r="H125" s="209"/>
      <c r="I125" s="209"/>
      <c r="J125" s="209"/>
      <c r="K125" s="208"/>
    </row>
    <row r="126" spans="1:11" ht="17.25">
      <c r="A126" s="206"/>
      <c r="B126" s="210"/>
      <c r="C126" s="208"/>
      <c r="D126" s="208"/>
      <c r="E126" s="209"/>
      <c r="F126" s="209"/>
      <c r="G126" s="209"/>
      <c r="H126" s="209"/>
      <c r="I126" s="209"/>
      <c r="J126" s="209"/>
      <c r="K126" s="208"/>
    </row>
    <row r="127" spans="1:11" ht="17.25">
      <c r="A127" s="206"/>
      <c r="B127" s="210"/>
      <c r="C127" s="208"/>
      <c r="D127" s="208"/>
      <c r="E127" s="209"/>
      <c r="F127" s="209"/>
      <c r="G127" s="209"/>
      <c r="H127" s="209"/>
      <c r="I127" s="209"/>
      <c r="J127" s="209"/>
      <c r="K127" s="208"/>
    </row>
    <row r="128" spans="1:11" ht="17.25">
      <c r="A128" s="206"/>
      <c r="B128" s="210"/>
      <c r="C128" s="208"/>
      <c r="D128" s="208"/>
      <c r="E128" s="209"/>
      <c r="F128" s="209"/>
      <c r="G128" s="209"/>
      <c r="H128" s="209"/>
      <c r="I128" s="209"/>
      <c r="J128" s="209"/>
      <c r="K128" s="208"/>
    </row>
    <row r="129" spans="1:11" ht="17.25">
      <c r="A129" s="206"/>
      <c r="B129" s="210"/>
      <c r="C129" s="208"/>
      <c r="D129" s="208"/>
      <c r="E129" s="209"/>
      <c r="F129" s="209"/>
      <c r="G129" s="209"/>
      <c r="H129" s="209"/>
      <c r="I129" s="209"/>
      <c r="J129" s="209"/>
      <c r="K129" s="208"/>
    </row>
    <row r="130" spans="1:11" ht="17.25">
      <c r="A130" s="206"/>
      <c r="B130" s="210"/>
      <c r="C130" s="208"/>
      <c r="D130" s="208"/>
      <c r="E130" s="209"/>
      <c r="F130" s="209"/>
      <c r="G130" s="209"/>
      <c r="H130" s="209"/>
      <c r="I130" s="209"/>
      <c r="J130" s="209"/>
      <c r="K130" s="208"/>
    </row>
    <row r="131" spans="1:11" ht="17.25">
      <c r="A131" s="206"/>
      <c r="B131" s="210"/>
      <c r="C131" s="208"/>
      <c r="D131" s="208"/>
      <c r="E131" s="209"/>
      <c r="F131" s="209"/>
      <c r="G131" s="209"/>
      <c r="H131" s="209"/>
      <c r="I131" s="209"/>
      <c r="J131" s="209"/>
      <c r="K131" s="208"/>
    </row>
    <row r="132" spans="1:11" ht="17.25">
      <c r="A132" s="206"/>
      <c r="B132" s="210"/>
      <c r="C132" s="208"/>
      <c r="D132" s="208"/>
      <c r="E132" s="209"/>
      <c r="F132" s="209"/>
      <c r="G132" s="209"/>
      <c r="H132" s="209"/>
      <c r="I132" s="209"/>
      <c r="J132" s="209"/>
      <c r="K132" s="208"/>
    </row>
    <row r="133" spans="1:11" ht="17.25">
      <c r="A133" s="206"/>
      <c r="B133" s="210"/>
      <c r="C133" s="208"/>
      <c r="D133" s="208"/>
      <c r="E133" s="209"/>
      <c r="F133" s="209"/>
      <c r="G133" s="209"/>
      <c r="H133" s="209"/>
      <c r="I133" s="209"/>
      <c r="J133" s="209"/>
      <c r="K133" s="208"/>
    </row>
    <row r="134" spans="1:11" ht="17.25">
      <c r="A134" s="206"/>
      <c r="B134" s="210"/>
      <c r="C134" s="208"/>
      <c r="D134" s="208"/>
      <c r="E134" s="209"/>
      <c r="F134" s="209"/>
      <c r="G134" s="209"/>
      <c r="H134" s="209"/>
      <c r="I134" s="209"/>
      <c r="J134" s="209"/>
      <c r="K134" s="208"/>
    </row>
    <row r="135" spans="1:11" ht="17.25">
      <c r="A135" s="206"/>
      <c r="B135" s="210"/>
      <c r="C135" s="208"/>
      <c r="D135" s="208"/>
      <c r="E135" s="209"/>
      <c r="F135" s="209"/>
      <c r="G135" s="209"/>
      <c r="H135" s="209"/>
      <c r="I135" s="209"/>
      <c r="J135" s="209"/>
      <c r="K135" s="208"/>
    </row>
    <row r="136" spans="1:11" ht="17.25">
      <c r="A136" s="206"/>
      <c r="B136" s="210"/>
      <c r="C136" s="208"/>
      <c r="D136" s="208"/>
      <c r="E136" s="209"/>
      <c r="F136" s="209"/>
      <c r="G136" s="209"/>
      <c r="H136" s="209"/>
      <c r="I136" s="209"/>
      <c r="J136" s="209"/>
      <c r="K136" s="208"/>
    </row>
    <row r="137" spans="1:11" ht="17.25">
      <c r="A137" s="206"/>
      <c r="B137" s="210"/>
      <c r="C137" s="208"/>
      <c r="D137" s="208"/>
      <c r="E137" s="209"/>
      <c r="F137" s="209"/>
      <c r="G137" s="209"/>
      <c r="H137" s="209"/>
      <c r="I137" s="209"/>
      <c r="J137" s="209"/>
      <c r="K137" s="208"/>
    </row>
    <row r="138" spans="1:11" ht="17.25">
      <c r="A138" s="206"/>
      <c r="B138" s="210"/>
      <c r="C138" s="208"/>
      <c r="D138" s="208"/>
      <c r="E138" s="209"/>
      <c r="F138" s="209"/>
      <c r="G138" s="209"/>
      <c r="H138" s="209"/>
      <c r="I138" s="209"/>
      <c r="J138" s="209"/>
      <c r="K138" s="208"/>
    </row>
    <row r="139" spans="1:11" ht="17.25">
      <c r="A139" s="206"/>
      <c r="B139" s="210"/>
      <c r="C139" s="208"/>
      <c r="D139" s="208"/>
      <c r="E139" s="209"/>
      <c r="F139" s="209"/>
      <c r="G139" s="209"/>
      <c r="H139" s="209"/>
      <c r="I139" s="209"/>
      <c r="J139" s="209"/>
      <c r="K139" s="208"/>
    </row>
    <row r="140" spans="1:11" ht="17.25">
      <c r="A140" s="206"/>
      <c r="B140" s="210"/>
      <c r="C140" s="208"/>
      <c r="D140" s="208"/>
      <c r="E140" s="209"/>
      <c r="F140" s="209"/>
      <c r="G140" s="209"/>
      <c r="H140" s="209"/>
      <c r="I140" s="209"/>
      <c r="J140" s="209"/>
      <c r="K140" s="208"/>
    </row>
    <row r="141" spans="1:11" ht="17.25">
      <c r="A141" s="206"/>
      <c r="B141" s="210"/>
      <c r="C141" s="208"/>
      <c r="D141" s="208"/>
      <c r="E141" s="209"/>
      <c r="F141" s="209"/>
      <c r="G141" s="209"/>
      <c r="H141" s="209"/>
      <c r="I141" s="209"/>
      <c r="J141" s="209"/>
      <c r="K141" s="208"/>
    </row>
    <row r="142" spans="1:11" ht="17.25">
      <c r="A142" s="206"/>
      <c r="B142" s="210"/>
      <c r="C142" s="208"/>
      <c r="D142" s="208"/>
      <c r="E142" s="209"/>
      <c r="F142" s="209"/>
      <c r="G142" s="209"/>
      <c r="H142" s="209"/>
      <c r="I142" s="209"/>
      <c r="J142" s="209"/>
      <c r="K142" s="208"/>
    </row>
    <row r="143" spans="1:11" ht="17.25">
      <c r="A143" s="206"/>
      <c r="B143" s="210"/>
      <c r="C143" s="208"/>
      <c r="D143" s="208"/>
      <c r="E143" s="209"/>
      <c r="F143" s="209"/>
      <c r="G143" s="209"/>
      <c r="H143" s="209"/>
      <c r="I143" s="209"/>
      <c r="J143" s="209"/>
      <c r="K143" s="208"/>
    </row>
    <row r="144" spans="1:11" ht="17.25">
      <c r="A144" s="206"/>
      <c r="B144" s="210"/>
      <c r="C144" s="208"/>
      <c r="D144" s="208"/>
      <c r="E144" s="209"/>
      <c r="F144" s="209"/>
      <c r="G144" s="209"/>
      <c r="H144" s="209"/>
      <c r="I144" s="209"/>
      <c r="J144" s="209"/>
      <c r="K144" s="208"/>
    </row>
    <row r="145" spans="1:11" ht="17.25">
      <c r="A145" s="206"/>
      <c r="B145" s="210"/>
      <c r="C145" s="208"/>
      <c r="D145" s="208"/>
      <c r="E145" s="209"/>
      <c r="F145" s="209"/>
      <c r="G145" s="209"/>
      <c r="H145" s="209"/>
      <c r="I145" s="209"/>
      <c r="J145" s="209"/>
      <c r="K145" s="208"/>
    </row>
    <row r="146" spans="1:11" ht="17.25">
      <c r="A146" s="206"/>
      <c r="B146" s="210"/>
      <c r="C146" s="208"/>
      <c r="D146" s="208"/>
      <c r="E146" s="209"/>
      <c r="F146" s="209"/>
      <c r="G146" s="209"/>
      <c r="H146" s="209"/>
      <c r="I146" s="209"/>
      <c r="J146" s="209"/>
      <c r="K146" s="208"/>
    </row>
    <row r="147" spans="1:11" ht="17.25">
      <c r="A147" s="206"/>
      <c r="B147" s="210"/>
      <c r="C147" s="208"/>
      <c r="D147" s="208"/>
      <c r="E147" s="209"/>
      <c r="F147" s="209"/>
      <c r="G147" s="209"/>
      <c r="H147" s="209"/>
      <c r="I147" s="209"/>
      <c r="J147" s="209"/>
      <c r="K147" s="208"/>
    </row>
    <row r="148" spans="1:11" ht="17.25">
      <c r="A148" s="206"/>
      <c r="B148" s="210"/>
      <c r="C148" s="208"/>
      <c r="D148" s="208"/>
      <c r="E148" s="209"/>
      <c r="F148" s="209"/>
      <c r="G148" s="209"/>
      <c r="H148" s="209"/>
      <c r="I148" s="209"/>
      <c r="J148" s="209"/>
      <c r="K148" s="208"/>
    </row>
    <row r="149" spans="1:11" ht="17.25">
      <c r="A149" s="206"/>
      <c r="B149" s="210"/>
      <c r="C149" s="208"/>
      <c r="D149" s="208"/>
      <c r="E149" s="209"/>
      <c r="F149" s="209"/>
      <c r="G149" s="209"/>
      <c r="H149" s="209"/>
      <c r="I149" s="209"/>
      <c r="J149" s="209"/>
      <c r="K149" s="208"/>
    </row>
    <row r="150" spans="1:11" ht="17.25">
      <c r="A150" s="206"/>
      <c r="B150" s="210"/>
      <c r="C150" s="208"/>
      <c r="D150" s="208"/>
      <c r="E150" s="209"/>
      <c r="F150" s="209"/>
      <c r="G150" s="209"/>
      <c r="H150" s="209"/>
      <c r="I150" s="209"/>
      <c r="J150" s="209"/>
      <c r="K150" s="208"/>
    </row>
    <row r="151" spans="1:11" ht="17.25">
      <c r="A151" s="206"/>
      <c r="B151" s="210"/>
      <c r="C151" s="208"/>
      <c r="D151" s="208"/>
      <c r="E151" s="209"/>
      <c r="F151" s="209"/>
      <c r="G151" s="209"/>
      <c r="H151" s="209"/>
      <c r="I151" s="209"/>
      <c r="J151" s="209"/>
      <c r="K151" s="208"/>
    </row>
    <row r="152" spans="1:11" ht="17.25">
      <c r="A152" s="206"/>
      <c r="B152" s="210"/>
      <c r="C152" s="208"/>
      <c r="D152" s="208"/>
      <c r="E152" s="209"/>
      <c r="F152" s="209"/>
      <c r="G152" s="209"/>
      <c r="H152" s="209"/>
      <c r="I152" s="209"/>
      <c r="J152" s="209"/>
      <c r="K152" s="208"/>
    </row>
    <row r="153" spans="1:11" ht="17.25">
      <c r="A153" s="206"/>
      <c r="B153" s="210"/>
      <c r="C153" s="208"/>
      <c r="D153" s="208"/>
      <c r="E153" s="209"/>
      <c r="F153" s="209"/>
      <c r="G153" s="209"/>
      <c r="H153" s="209"/>
      <c r="I153" s="209"/>
      <c r="J153" s="209"/>
      <c r="K153" s="208"/>
    </row>
    <row r="154" spans="1:11" ht="17.25">
      <c r="A154" s="206"/>
      <c r="B154" s="210"/>
      <c r="C154" s="208"/>
      <c r="D154" s="208"/>
      <c r="E154" s="209"/>
      <c r="F154" s="209"/>
      <c r="G154" s="209"/>
      <c r="H154" s="209"/>
      <c r="I154" s="209"/>
      <c r="J154" s="209"/>
      <c r="K154" s="208"/>
    </row>
    <row r="155" spans="1:11" ht="17.25">
      <c r="A155" s="206"/>
      <c r="B155" s="210"/>
      <c r="C155" s="208"/>
      <c r="D155" s="208"/>
      <c r="E155" s="209"/>
      <c r="F155" s="209"/>
      <c r="G155" s="209"/>
      <c r="H155" s="209"/>
      <c r="I155" s="209"/>
      <c r="J155" s="209"/>
      <c r="K155" s="208"/>
    </row>
    <row r="156" spans="1:11" ht="17.25">
      <c r="A156" s="206"/>
      <c r="B156" s="210"/>
      <c r="C156" s="208"/>
      <c r="D156" s="208"/>
      <c r="E156" s="209"/>
      <c r="F156" s="209"/>
      <c r="G156" s="209"/>
      <c r="H156" s="209"/>
      <c r="I156" s="209"/>
      <c r="J156" s="209"/>
      <c r="K156" s="208"/>
    </row>
    <row r="157" spans="1:11" ht="17.25">
      <c r="A157" s="206"/>
      <c r="B157" s="210"/>
      <c r="C157" s="208"/>
      <c r="D157" s="208"/>
      <c r="E157" s="209"/>
      <c r="F157" s="209"/>
      <c r="G157" s="209"/>
      <c r="H157" s="209"/>
      <c r="I157" s="209"/>
      <c r="J157" s="209"/>
      <c r="K157" s="208"/>
    </row>
    <row r="158" spans="1:11" ht="17.25">
      <c r="A158" s="206"/>
      <c r="B158" s="210"/>
      <c r="C158" s="208"/>
      <c r="D158" s="208"/>
      <c r="E158" s="209"/>
      <c r="F158" s="209"/>
      <c r="G158" s="209"/>
      <c r="H158" s="209"/>
      <c r="I158" s="209"/>
      <c r="J158" s="209"/>
      <c r="K158" s="208"/>
    </row>
    <row r="159" spans="1:11" ht="17.25">
      <c r="A159" s="206"/>
      <c r="B159" s="210"/>
      <c r="C159" s="208"/>
      <c r="D159" s="208"/>
      <c r="E159" s="209"/>
      <c r="F159" s="209"/>
      <c r="G159" s="209"/>
      <c r="H159" s="209"/>
      <c r="I159" s="209"/>
      <c r="J159" s="209"/>
      <c r="K159" s="208"/>
    </row>
    <row r="160" spans="1:11" ht="17.25">
      <c r="A160" s="206"/>
      <c r="B160" s="210"/>
      <c r="C160" s="208"/>
      <c r="D160" s="208"/>
      <c r="E160" s="209"/>
      <c r="F160" s="209"/>
      <c r="G160" s="209"/>
      <c r="H160" s="209"/>
      <c r="I160" s="209"/>
      <c r="J160" s="209"/>
      <c r="K160" s="208"/>
    </row>
    <row r="161" spans="1:11" ht="17.25">
      <c r="A161" s="206"/>
      <c r="B161" s="210"/>
      <c r="C161" s="208"/>
      <c r="D161" s="208"/>
      <c r="E161" s="209"/>
      <c r="F161" s="209"/>
      <c r="G161" s="209"/>
      <c r="H161" s="209"/>
      <c r="I161" s="209"/>
      <c r="J161" s="209"/>
      <c r="K161" s="208"/>
    </row>
    <row r="162" spans="1:11" ht="17.25">
      <c r="A162" s="206"/>
      <c r="B162" s="210"/>
      <c r="C162" s="208"/>
      <c r="D162" s="208"/>
      <c r="E162" s="209"/>
      <c r="F162" s="209"/>
      <c r="G162" s="209"/>
      <c r="H162" s="209"/>
      <c r="I162" s="209"/>
      <c r="J162" s="209"/>
      <c r="K162" s="208"/>
    </row>
    <row r="163" spans="1:11" ht="17.25">
      <c r="A163" s="206"/>
      <c r="B163" s="210"/>
      <c r="C163" s="208"/>
      <c r="D163" s="208"/>
      <c r="E163" s="209"/>
      <c r="F163" s="209"/>
      <c r="G163" s="209"/>
      <c r="H163" s="209"/>
      <c r="I163" s="209"/>
      <c r="J163" s="209"/>
      <c r="K163" s="208"/>
    </row>
    <row r="164" spans="1:11" ht="17.25">
      <c r="A164" s="206"/>
      <c r="B164" s="210"/>
      <c r="C164" s="208"/>
      <c r="D164" s="208"/>
      <c r="E164" s="209"/>
      <c r="F164" s="209"/>
      <c r="G164" s="209"/>
      <c r="H164" s="209"/>
      <c r="I164" s="209"/>
      <c r="J164" s="209"/>
      <c r="K164" s="208"/>
    </row>
    <row r="165" spans="1:11" ht="17.25">
      <c r="A165" s="206"/>
      <c r="B165" s="210"/>
      <c r="C165" s="208"/>
      <c r="D165" s="208"/>
      <c r="E165" s="209"/>
      <c r="F165" s="209"/>
      <c r="G165" s="209"/>
      <c r="H165" s="209"/>
      <c r="I165" s="209"/>
      <c r="J165" s="209"/>
      <c r="K165" s="208"/>
    </row>
    <row r="166" spans="1:11" ht="17.25">
      <c r="A166" s="206"/>
      <c r="B166" s="210"/>
      <c r="C166" s="208"/>
      <c r="D166" s="208"/>
      <c r="E166" s="209"/>
      <c r="F166" s="209"/>
      <c r="G166" s="209"/>
      <c r="H166" s="209"/>
      <c r="I166" s="209"/>
      <c r="J166" s="209"/>
      <c r="K166" s="208"/>
    </row>
    <row r="167" spans="1:11" ht="17.25">
      <c r="A167" s="206"/>
      <c r="B167" s="210"/>
      <c r="C167" s="208"/>
      <c r="D167" s="208"/>
      <c r="E167" s="209"/>
      <c r="F167" s="209"/>
      <c r="G167" s="209"/>
      <c r="H167" s="209"/>
      <c r="I167" s="209"/>
      <c r="J167" s="209"/>
      <c r="K167" s="208"/>
    </row>
    <row r="168" spans="1:11" ht="17.25">
      <c r="A168" s="206"/>
      <c r="B168" s="210"/>
      <c r="C168" s="208"/>
      <c r="D168" s="208"/>
      <c r="E168" s="209"/>
      <c r="F168" s="209"/>
      <c r="G168" s="209"/>
      <c r="H168" s="209"/>
      <c r="I168" s="209"/>
      <c r="J168" s="209"/>
      <c r="K168" s="208"/>
    </row>
    <row r="169" spans="1:11" ht="17.25">
      <c r="A169" s="206"/>
      <c r="B169" s="210"/>
      <c r="C169" s="208"/>
      <c r="D169" s="208"/>
      <c r="E169" s="209"/>
      <c r="F169" s="209"/>
      <c r="G169" s="209"/>
      <c r="H169" s="209"/>
      <c r="I169" s="209"/>
      <c r="J169" s="209"/>
      <c r="K169" s="208"/>
    </row>
    <row r="170" spans="1:11" ht="17.25">
      <c r="A170" s="206"/>
      <c r="B170" s="210"/>
      <c r="C170" s="208"/>
      <c r="D170" s="208"/>
      <c r="E170" s="209"/>
      <c r="F170" s="209"/>
      <c r="G170" s="209"/>
      <c r="H170" s="209"/>
      <c r="I170" s="209"/>
      <c r="J170" s="209"/>
      <c r="K170" s="208"/>
    </row>
    <row r="171" spans="1:11" ht="17.25">
      <c r="A171" s="206"/>
      <c r="B171" s="210"/>
      <c r="C171" s="208"/>
      <c r="D171" s="208"/>
      <c r="E171" s="209"/>
      <c r="F171" s="209"/>
      <c r="G171" s="209"/>
      <c r="H171" s="209"/>
      <c r="I171" s="209"/>
      <c r="J171" s="209"/>
      <c r="K171" s="208"/>
    </row>
    <row r="172" spans="1:11" ht="17.25">
      <c r="A172" s="206"/>
      <c r="B172" s="210"/>
      <c r="C172" s="208"/>
      <c r="D172" s="208"/>
      <c r="E172" s="209"/>
      <c r="F172" s="209"/>
      <c r="G172" s="209"/>
      <c r="H172" s="209"/>
      <c r="I172" s="209"/>
      <c r="J172" s="209"/>
      <c r="K172" s="208"/>
    </row>
    <row r="173" spans="1:11" ht="17.25">
      <c r="A173" s="206"/>
      <c r="B173" s="210"/>
      <c r="C173" s="208"/>
      <c r="D173" s="208"/>
      <c r="E173" s="209"/>
      <c r="F173" s="209"/>
      <c r="G173" s="209"/>
      <c r="H173" s="209"/>
      <c r="I173" s="209"/>
      <c r="J173" s="209"/>
      <c r="K173" s="208"/>
    </row>
    <row r="174" spans="1:11" ht="17.25">
      <c r="A174" s="206"/>
      <c r="B174" s="210"/>
      <c r="C174" s="208"/>
      <c r="D174" s="208"/>
      <c r="E174" s="209"/>
      <c r="F174" s="209"/>
      <c r="G174" s="209"/>
      <c r="H174" s="209"/>
      <c r="I174" s="209"/>
      <c r="J174" s="209"/>
      <c r="K174" s="208"/>
    </row>
    <row r="175" spans="1:11" ht="17.25">
      <c r="A175" s="206"/>
      <c r="B175" s="210"/>
      <c r="C175" s="208"/>
      <c r="D175" s="208"/>
      <c r="E175" s="209"/>
      <c r="F175" s="209"/>
      <c r="G175" s="209"/>
      <c r="H175" s="209"/>
      <c r="I175" s="209"/>
      <c r="J175" s="209"/>
      <c r="K175" s="208"/>
    </row>
    <row r="176" spans="1:11" ht="17.25">
      <c r="A176" s="206"/>
      <c r="B176" s="210"/>
      <c r="C176" s="208"/>
      <c r="D176" s="208"/>
      <c r="E176" s="209"/>
      <c r="F176" s="209"/>
      <c r="G176" s="209"/>
      <c r="H176" s="209"/>
      <c r="I176" s="209"/>
      <c r="J176" s="209"/>
      <c r="K176" s="208"/>
    </row>
    <row r="177" spans="1:11" ht="17.25">
      <c r="A177" s="206"/>
      <c r="B177" s="210"/>
      <c r="C177" s="208"/>
      <c r="D177" s="208"/>
      <c r="E177" s="209"/>
      <c r="F177" s="209"/>
      <c r="G177" s="209"/>
      <c r="H177" s="209"/>
      <c r="I177" s="209"/>
      <c r="J177" s="209"/>
      <c r="K177" s="208"/>
    </row>
    <row r="178" spans="1:11" ht="17.25">
      <c r="A178" s="206"/>
      <c r="B178" s="210"/>
      <c r="C178" s="208"/>
      <c r="D178" s="208"/>
      <c r="E178" s="209"/>
      <c r="F178" s="209"/>
      <c r="G178" s="209"/>
      <c r="H178" s="209"/>
      <c r="I178" s="209"/>
      <c r="J178" s="209"/>
      <c r="K178" s="208"/>
    </row>
    <row r="179" spans="1:11" ht="17.25">
      <c r="A179" s="206"/>
      <c r="B179" s="210"/>
      <c r="C179" s="208"/>
      <c r="D179" s="208"/>
      <c r="E179" s="209"/>
      <c r="F179" s="209"/>
      <c r="G179" s="209"/>
      <c r="H179" s="209"/>
      <c r="I179" s="209"/>
      <c r="J179" s="209"/>
      <c r="K179" s="208"/>
    </row>
    <row r="180" spans="1:11" ht="17.25">
      <c r="A180" s="206"/>
      <c r="B180" s="210"/>
      <c r="C180" s="208"/>
      <c r="D180" s="208"/>
      <c r="E180" s="209"/>
      <c r="F180" s="209"/>
      <c r="G180" s="209"/>
      <c r="H180" s="209"/>
      <c r="I180" s="209"/>
      <c r="J180" s="209"/>
      <c r="K180" s="208"/>
    </row>
    <row r="181" spans="1:11" ht="17.25">
      <c r="A181" s="206"/>
      <c r="B181" s="210"/>
      <c r="C181" s="208"/>
      <c r="D181" s="208"/>
      <c r="E181" s="209"/>
      <c r="F181" s="209"/>
      <c r="G181" s="209"/>
      <c r="H181" s="209"/>
      <c r="I181" s="209"/>
      <c r="J181" s="209"/>
      <c r="K181" s="208"/>
    </row>
    <row r="182" spans="1:11" ht="17.25">
      <c r="A182" s="206"/>
      <c r="B182" s="210"/>
      <c r="C182" s="208"/>
      <c r="D182" s="208"/>
      <c r="E182" s="209"/>
      <c r="F182" s="209"/>
      <c r="G182" s="209"/>
      <c r="H182" s="209"/>
      <c r="I182" s="209"/>
      <c r="J182" s="209"/>
      <c r="K182" s="208"/>
    </row>
    <row r="183" spans="1:11" ht="17.25">
      <c r="A183" s="206"/>
      <c r="B183" s="210"/>
      <c r="C183" s="208"/>
      <c r="D183" s="208"/>
      <c r="E183" s="209"/>
      <c r="F183" s="209"/>
      <c r="G183" s="209"/>
      <c r="H183" s="209"/>
      <c r="I183" s="209"/>
      <c r="J183" s="209"/>
      <c r="K183" s="208"/>
    </row>
    <row r="184" spans="1:11" ht="17.25">
      <c r="A184" s="206"/>
      <c r="B184" s="210"/>
      <c r="C184" s="208"/>
      <c r="D184" s="208"/>
      <c r="E184" s="209"/>
      <c r="F184" s="209"/>
      <c r="G184" s="209"/>
      <c r="H184" s="209"/>
      <c r="I184" s="209"/>
      <c r="J184" s="209"/>
      <c r="K184" s="208"/>
    </row>
    <row r="185" spans="1:11" ht="17.25">
      <c r="A185" s="206"/>
      <c r="B185" s="210"/>
      <c r="C185" s="208"/>
      <c r="D185" s="208"/>
      <c r="E185" s="209"/>
      <c r="F185" s="209"/>
      <c r="G185" s="209"/>
      <c r="H185" s="209"/>
      <c r="I185" s="209"/>
      <c r="J185" s="209"/>
      <c r="K185" s="208"/>
    </row>
    <row r="186" spans="1:11" ht="17.25">
      <c r="A186" s="206"/>
      <c r="B186" s="210"/>
      <c r="C186" s="208"/>
      <c r="D186" s="208"/>
      <c r="E186" s="209"/>
      <c r="F186" s="209"/>
      <c r="G186" s="209"/>
      <c r="H186" s="209"/>
      <c r="I186" s="209"/>
      <c r="J186" s="209"/>
      <c r="K186" s="208"/>
    </row>
    <row r="187" spans="1:11" ht="17.25">
      <c r="A187" s="206"/>
      <c r="B187" s="210"/>
      <c r="C187" s="208"/>
      <c r="D187" s="208"/>
      <c r="E187" s="209"/>
      <c r="F187" s="209"/>
      <c r="G187" s="209"/>
      <c r="H187" s="209"/>
      <c r="I187" s="209"/>
      <c r="J187" s="209"/>
      <c r="K187" s="208"/>
    </row>
    <row r="188" spans="1:11" ht="17.25">
      <c r="A188" s="206"/>
      <c r="B188" s="210"/>
      <c r="C188" s="208"/>
      <c r="D188" s="208"/>
      <c r="E188" s="209"/>
      <c r="F188" s="209"/>
      <c r="G188" s="209"/>
      <c r="H188" s="209"/>
      <c r="I188" s="209"/>
      <c r="J188" s="209"/>
      <c r="K188" s="208"/>
    </row>
    <row r="189" spans="1:11" ht="17.25">
      <c r="A189" s="206"/>
      <c r="B189" s="210"/>
      <c r="C189" s="208"/>
      <c r="D189" s="208"/>
      <c r="E189" s="209"/>
      <c r="F189" s="209"/>
      <c r="G189" s="209"/>
      <c r="H189" s="209"/>
      <c r="I189" s="209"/>
      <c r="J189" s="209"/>
      <c r="K189" s="208"/>
    </row>
    <row r="190" spans="1:11" ht="17.25">
      <c r="A190" s="206"/>
      <c r="B190" s="210"/>
      <c r="C190" s="208"/>
      <c r="D190" s="208"/>
      <c r="E190" s="209"/>
      <c r="F190" s="209"/>
      <c r="G190" s="209"/>
      <c r="H190" s="209"/>
      <c r="I190" s="209"/>
      <c r="J190" s="209"/>
      <c r="K190" s="208"/>
    </row>
    <row r="191" spans="1:11" ht="17.25">
      <c r="A191" s="206"/>
      <c r="B191" s="210"/>
      <c r="C191" s="208"/>
      <c r="D191" s="208"/>
      <c r="E191" s="209"/>
      <c r="F191" s="209"/>
      <c r="G191" s="209"/>
      <c r="H191" s="209"/>
      <c r="I191" s="209"/>
      <c r="J191" s="209"/>
      <c r="K191" s="208"/>
    </row>
    <row r="192" spans="1:11" ht="17.25">
      <c r="A192" s="206"/>
      <c r="B192" s="210"/>
      <c r="C192" s="208"/>
      <c r="D192" s="208"/>
      <c r="E192" s="209"/>
      <c r="F192" s="209"/>
      <c r="G192" s="209"/>
      <c r="H192" s="209"/>
      <c r="I192" s="209"/>
      <c r="J192" s="209"/>
      <c r="K192" s="208"/>
    </row>
    <row r="193" spans="1:11" ht="17.25">
      <c r="A193" s="206"/>
      <c r="B193" s="210"/>
      <c r="C193" s="208"/>
      <c r="D193" s="208"/>
      <c r="E193" s="209"/>
      <c r="F193" s="209"/>
      <c r="G193" s="209"/>
      <c r="H193" s="209"/>
      <c r="I193" s="209"/>
      <c r="J193" s="209"/>
      <c r="K193" s="208"/>
    </row>
    <row r="194" spans="1:11" ht="17.25">
      <c r="A194" s="206"/>
      <c r="B194" s="210"/>
      <c r="C194" s="208"/>
      <c r="D194" s="208"/>
      <c r="E194" s="209"/>
      <c r="F194" s="209"/>
      <c r="G194" s="209"/>
      <c r="H194" s="209"/>
      <c r="I194" s="209"/>
      <c r="J194" s="209"/>
      <c r="K194" s="208"/>
    </row>
    <row r="195" spans="1:11" ht="17.25">
      <c r="A195" s="206"/>
      <c r="B195" s="210"/>
      <c r="C195" s="208"/>
      <c r="D195" s="208"/>
      <c r="E195" s="209"/>
      <c r="F195" s="209"/>
      <c r="G195" s="209"/>
      <c r="H195" s="209"/>
      <c r="I195" s="209"/>
      <c r="J195" s="209"/>
      <c r="K195" s="208"/>
    </row>
    <row r="196" spans="1:11" ht="17.25">
      <c r="A196" s="206"/>
      <c r="B196" s="210"/>
      <c r="C196" s="208"/>
      <c r="D196" s="208"/>
      <c r="E196" s="209"/>
      <c r="F196" s="209"/>
      <c r="G196" s="209"/>
      <c r="H196" s="209"/>
      <c r="I196" s="209"/>
      <c r="J196" s="209"/>
      <c r="K196" s="208"/>
    </row>
    <row r="197" spans="1:11" ht="17.25">
      <c r="A197" s="206"/>
      <c r="B197" s="210"/>
      <c r="C197" s="208"/>
      <c r="D197" s="208"/>
      <c r="E197" s="209"/>
      <c r="F197" s="209"/>
      <c r="G197" s="209"/>
      <c r="H197" s="209"/>
      <c r="I197" s="209"/>
      <c r="J197" s="209"/>
      <c r="K197" s="208"/>
    </row>
    <row r="198" spans="1:11" ht="17.25">
      <c r="A198" s="206"/>
      <c r="B198" s="210"/>
      <c r="C198" s="208"/>
      <c r="D198" s="208"/>
      <c r="E198" s="209"/>
      <c r="F198" s="209"/>
      <c r="G198" s="209"/>
      <c r="H198" s="209"/>
      <c r="I198" s="209"/>
      <c r="J198" s="209"/>
      <c r="K198" s="208"/>
    </row>
    <row r="199" spans="1:11" ht="17.25">
      <c r="A199" s="206"/>
      <c r="B199" s="210"/>
      <c r="C199" s="208"/>
      <c r="D199" s="208"/>
      <c r="E199" s="209"/>
      <c r="F199" s="209"/>
      <c r="G199" s="209"/>
      <c r="H199" s="209"/>
      <c r="I199" s="209"/>
      <c r="J199" s="209"/>
      <c r="K199" s="208"/>
    </row>
    <row r="200" spans="1:11" ht="17.25">
      <c r="A200" s="206"/>
      <c r="B200" s="210"/>
      <c r="C200" s="208"/>
      <c r="D200" s="208"/>
      <c r="E200" s="209"/>
      <c r="F200" s="209"/>
      <c r="G200" s="209"/>
      <c r="H200" s="209"/>
      <c r="I200" s="209"/>
      <c r="J200" s="209"/>
      <c r="K200" s="208"/>
    </row>
    <row r="201" spans="1:11" ht="17.25">
      <c r="A201" s="206"/>
      <c r="B201" s="210"/>
      <c r="C201" s="208"/>
      <c r="D201" s="208"/>
      <c r="E201" s="209"/>
      <c r="F201" s="209"/>
      <c r="G201" s="209"/>
      <c r="H201" s="209"/>
      <c r="I201" s="209"/>
      <c r="J201" s="209"/>
      <c r="K201" s="208"/>
    </row>
    <row r="202" spans="1:11" ht="17.25">
      <c r="A202" s="206"/>
      <c r="B202" s="210"/>
      <c r="C202" s="208"/>
      <c r="D202" s="208"/>
      <c r="E202" s="209"/>
      <c r="F202" s="209"/>
      <c r="G202" s="209"/>
      <c r="H202" s="209"/>
      <c r="I202" s="209"/>
      <c r="J202" s="209"/>
      <c r="K202" s="208"/>
    </row>
    <row r="203" spans="1:11" ht="17.25">
      <c r="A203" s="206"/>
      <c r="B203" s="210"/>
      <c r="C203" s="208"/>
      <c r="D203" s="208"/>
      <c r="E203" s="209"/>
      <c r="F203" s="209"/>
      <c r="G203" s="209"/>
      <c r="H203" s="209"/>
      <c r="I203" s="209"/>
      <c r="J203" s="209"/>
      <c r="K203" s="208"/>
    </row>
    <row r="204" spans="1:11" ht="17.25">
      <c r="A204" s="206"/>
      <c r="B204" s="210"/>
      <c r="C204" s="208"/>
      <c r="D204" s="208"/>
      <c r="E204" s="209"/>
      <c r="F204" s="209"/>
      <c r="G204" s="209"/>
      <c r="H204" s="209"/>
      <c r="I204" s="209"/>
      <c r="J204" s="209"/>
      <c r="K204" s="208"/>
    </row>
    <row r="205" spans="1:11" ht="17.25">
      <c r="A205" s="206"/>
      <c r="B205" s="210"/>
      <c r="C205" s="208"/>
      <c r="D205" s="208"/>
      <c r="E205" s="209"/>
      <c r="F205" s="209"/>
      <c r="G205" s="209"/>
      <c r="H205" s="209"/>
      <c r="I205" s="209"/>
      <c r="J205" s="209"/>
      <c r="K205" s="208"/>
    </row>
    <row r="206" spans="1:11" ht="17.25">
      <c r="A206" s="206"/>
      <c r="B206" s="210"/>
      <c r="C206" s="208"/>
      <c r="D206" s="208"/>
      <c r="E206" s="209"/>
      <c r="F206" s="209"/>
      <c r="G206" s="209"/>
      <c r="H206" s="209"/>
      <c r="I206" s="209"/>
      <c r="J206" s="209"/>
      <c r="K206" s="208"/>
    </row>
    <row r="207" spans="1:11" ht="17.25">
      <c r="A207" s="206"/>
      <c r="B207" s="210"/>
      <c r="C207" s="208"/>
      <c r="D207" s="208"/>
      <c r="E207" s="209"/>
      <c r="F207" s="209"/>
      <c r="G207" s="209"/>
      <c r="H207" s="209"/>
      <c r="I207" s="209"/>
      <c r="J207" s="209"/>
      <c r="K207" s="208"/>
    </row>
    <row r="208" spans="1:11" ht="17.25">
      <c r="A208" s="206"/>
      <c r="B208" s="210"/>
      <c r="C208" s="208"/>
      <c r="D208" s="208"/>
      <c r="E208" s="209"/>
      <c r="F208" s="209"/>
      <c r="G208" s="209"/>
      <c r="H208" s="209"/>
      <c r="I208" s="209"/>
      <c r="J208" s="209"/>
      <c r="K208" s="208"/>
    </row>
    <row r="209" spans="1:11" ht="17.25">
      <c r="A209" s="206"/>
      <c r="B209" s="210"/>
      <c r="C209" s="208"/>
      <c r="D209" s="208"/>
      <c r="E209" s="209"/>
      <c r="F209" s="209"/>
      <c r="G209" s="209"/>
      <c r="H209" s="209"/>
      <c r="I209" s="209"/>
      <c r="J209" s="209"/>
      <c r="K209" s="208"/>
    </row>
    <row r="210" spans="1:11" ht="17.25">
      <c r="A210" s="206"/>
      <c r="B210" s="210"/>
      <c r="C210" s="208"/>
      <c r="D210" s="208"/>
      <c r="E210" s="209"/>
      <c r="F210" s="209"/>
      <c r="G210" s="209"/>
      <c r="H210" s="209"/>
      <c r="I210" s="209"/>
      <c r="J210" s="209"/>
      <c r="K210" s="208"/>
    </row>
    <row r="211" spans="1:11" ht="17.25">
      <c r="A211" s="206"/>
      <c r="B211" s="210"/>
      <c r="C211" s="208"/>
      <c r="D211" s="208"/>
      <c r="E211" s="209"/>
      <c r="F211" s="209"/>
      <c r="G211" s="209"/>
      <c r="H211" s="209"/>
      <c r="I211" s="209"/>
      <c r="J211" s="209"/>
      <c r="K211" s="208"/>
    </row>
    <row r="212" spans="1:11" ht="17.25">
      <c r="A212" s="206"/>
      <c r="B212" s="210"/>
      <c r="C212" s="208"/>
      <c r="D212" s="208"/>
      <c r="E212" s="209"/>
      <c r="F212" s="209"/>
      <c r="G212" s="209"/>
      <c r="H212" s="209"/>
      <c r="I212" s="209"/>
      <c r="J212" s="209"/>
      <c r="K212" s="208"/>
    </row>
    <row r="213" spans="1:11" ht="17.25">
      <c r="A213" s="206"/>
      <c r="B213" s="210"/>
      <c r="C213" s="208"/>
      <c r="D213" s="208"/>
      <c r="E213" s="209"/>
      <c r="F213" s="209"/>
      <c r="G213" s="209"/>
      <c r="H213" s="209"/>
      <c r="I213" s="209"/>
      <c r="J213" s="209"/>
      <c r="K213" s="208"/>
    </row>
    <row r="214" spans="1:11" ht="17.25">
      <c r="A214" s="206"/>
      <c r="B214" s="210"/>
      <c r="C214" s="208"/>
      <c r="D214" s="208"/>
      <c r="E214" s="209"/>
      <c r="F214" s="209"/>
      <c r="G214" s="209"/>
      <c r="H214" s="209"/>
      <c r="I214" s="209"/>
      <c r="J214" s="209"/>
      <c r="K214" s="208"/>
    </row>
    <row r="215" spans="1:11" ht="17.25">
      <c r="A215" s="206"/>
      <c r="B215" s="210"/>
      <c r="C215" s="208"/>
      <c r="D215" s="208"/>
      <c r="E215" s="209"/>
      <c r="F215" s="209"/>
      <c r="G215" s="209"/>
      <c r="H215" s="209"/>
      <c r="I215" s="209"/>
      <c r="J215" s="209"/>
      <c r="K215" s="208"/>
    </row>
    <row r="216" spans="1:11" ht="17.25">
      <c r="A216" s="206"/>
      <c r="B216" s="210"/>
      <c r="C216" s="208"/>
      <c r="D216" s="208"/>
      <c r="E216" s="209"/>
      <c r="F216" s="209"/>
      <c r="G216" s="209"/>
      <c r="H216" s="209"/>
      <c r="I216" s="209"/>
      <c r="J216" s="209"/>
      <c r="K216" s="208"/>
    </row>
    <row r="217" spans="1:11" ht="17.25">
      <c r="A217" s="206"/>
      <c r="B217" s="210"/>
      <c r="C217" s="208"/>
      <c r="D217" s="208"/>
      <c r="E217" s="209"/>
      <c r="F217" s="209"/>
      <c r="G217" s="209"/>
      <c r="H217" s="209"/>
      <c r="I217" s="209"/>
      <c r="J217" s="209"/>
      <c r="K217" s="208"/>
    </row>
    <row r="218" spans="1:11" ht="17.25">
      <c r="A218" s="206"/>
      <c r="B218" s="210"/>
      <c r="C218" s="208"/>
      <c r="D218" s="208"/>
      <c r="E218" s="209"/>
      <c r="F218" s="209"/>
      <c r="G218" s="209"/>
      <c r="H218" s="209"/>
      <c r="I218" s="209"/>
      <c r="J218" s="209"/>
      <c r="K218" s="208"/>
    </row>
    <row r="219" spans="1:11" ht="17.25">
      <c r="A219" s="206"/>
      <c r="B219" s="210"/>
      <c r="C219" s="208"/>
      <c r="D219" s="208"/>
      <c r="E219" s="209"/>
      <c r="F219" s="209"/>
      <c r="G219" s="209"/>
      <c r="H219" s="209"/>
      <c r="I219" s="209"/>
      <c r="J219" s="209"/>
      <c r="K219" s="208"/>
    </row>
    <row r="220" spans="1:11" ht="17.25">
      <c r="A220" s="206"/>
      <c r="B220" s="210"/>
      <c r="C220" s="208"/>
      <c r="D220" s="208"/>
      <c r="E220" s="209"/>
      <c r="F220" s="209"/>
      <c r="G220" s="209"/>
      <c r="H220" s="209"/>
      <c r="I220" s="209"/>
      <c r="J220" s="209"/>
      <c r="K220" s="208"/>
    </row>
    <row r="221" spans="1:11" ht="17.25">
      <c r="A221" s="206"/>
      <c r="B221" s="210"/>
      <c r="C221" s="208"/>
      <c r="D221" s="208"/>
      <c r="E221" s="209"/>
      <c r="F221" s="209"/>
      <c r="G221" s="209"/>
      <c r="H221" s="209"/>
      <c r="I221" s="209"/>
      <c r="J221" s="209"/>
      <c r="K221" s="208"/>
    </row>
    <row r="222" spans="1:11" ht="17.25">
      <c r="A222" s="206"/>
      <c r="B222" s="210"/>
      <c r="C222" s="208"/>
      <c r="D222" s="208"/>
      <c r="E222" s="209"/>
      <c r="F222" s="209"/>
      <c r="G222" s="209"/>
      <c r="H222" s="209"/>
      <c r="I222" s="209"/>
      <c r="J222" s="209"/>
      <c r="K222" s="208"/>
    </row>
    <row r="223" spans="1:11" ht="17.25">
      <c r="A223" s="206"/>
      <c r="B223" s="210"/>
      <c r="C223" s="208"/>
      <c r="D223" s="208"/>
      <c r="E223" s="209"/>
      <c r="F223" s="209"/>
      <c r="G223" s="209"/>
      <c r="H223" s="209"/>
      <c r="I223" s="209"/>
      <c r="J223" s="209"/>
      <c r="K223" s="208"/>
    </row>
    <row r="224" spans="1:11" ht="17.25">
      <c r="A224" s="206"/>
      <c r="B224" s="210"/>
      <c r="C224" s="208"/>
      <c r="D224" s="208"/>
      <c r="E224" s="209"/>
      <c r="F224" s="209"/>
      <c r="G224" s="209"/>
      <c r="H224" s="209"/>
      <c r="I224" s="209"/>
      <c r="J224" s="209"/>
      <c r="K224" s="208"/>
    </row>
    <row r="225" spans="1:11" ht="17.25">
      <c r="A225" s="206"/>
      <c r="B225" s="210"/>
      <c r="C225" s="208"/>
      <c r="D225" s="208"/>
      <c r="E225" s="209"/>
      <c r="F225" s="209"/>
      <c r="G225" s="209"/>
      <c r="H225" s="209"/>
      <c r="I225" s="209"/>
      <c r="J225" s="209"/>
      <c r="K225" s="208"/>
    </row>
    <row r="226" spans="1:11" ht="17.25">
      <c r="A226" s="206"/>
      <c r="B226" s="210"/>
      <c r="C226" s="208"/>
      <c r="D226" s="208"/>
      <c r="E226" s="209"/>
      <c r="F226" s="209"/>
      <c r="G226" s="209"/>
      <c r="H226" s="209"/>
      <c r="I226" s="209"/>
      <c r="J226" s="209"/>
      <c r="K226" s="208"/>
    </row>
    <row r="227" spans="1:11" ht="17.25">
      <c r="A227" s="206"/>
      <c r="B227" s="210"/>
      <c r="C227" s="208"/>
      <c r="D227" s="208"/>
      <c r="E227" s="209"/>
      <c r="F227" s="209"/>
      <c r="G227" s="209"/>
      <c r="H227" s="209"/>
      <c r="I227" s="209"/>
      <c r="J227" s="209"/>
      <c r="K227" s="208"/>
    </row>
    <row r="228" spans="1:11" ht="17.25">
      <c r="A228" s="206"/>
      <c r="B228" s="210"/>
      <c r="C228" s="208"/>
      <c r="D228" s="208"/>
      <c r="E228" s="209"/>
      <c r="F228" s="209"/>
      <c r="G228" s="209"/>
      <c r="H228" s="209"/>
      <c r="I228" s="209"/>
      <c r="J228" s="209"/>
      <c r="K228" s="208"/>
    </row>
    <row r="229" spans="1:11" ht="17.25">
      <c r="A229" s="206"/>
      <c r="B229" s="210"/>
      <c r="C229" s="208"/>
      <c r="D229" s="208"/>
      <c r="E229" s="209"/>
      <c r="F229" s="209"/>
      <c r="G229" s="209"/>
      <c r="H229" s="209"/>
      <c r="I229" s="209"/>
      <c r="J229" s="209"/>
      <c r="K229" s="208"/>
    </row>
    <row r="230" spans="1:11" ht="17.25">
      <c r="A230" s="206"/>
      <c r="B230" s="210"/>
      <c r="C230" s="208"/>
      <c r="D230" s="208"/>
      <c r="E230" s="209"/>
      <c r="F230" s="209"/>
      <c r="G230" s="209"/>
      <c r="H230" s="209"/>
      <c r="I230" s="209"/>
      <c r="J230" s="209"/>
      <c r="K230" s="208"/>
    </row>
    <row r="231" spans="1:11" ht="17.25">
      <c r="A231" s="206"/>
      <c r="B231" s="210"/>
      <c r="C231" s="208"/>
      <c r="D231" s="208"/>
      <c r="E231" s="209"/>
      <c r="F231" s="209"/>
      <c r="G231" s="209"/>
      <c r="H231" s="209"/>
      <c r="I231" s="209"/>
      <c r="J231" s="209"/>
      <c r="K231" s="208"/>
    </row>
    <row r="232" spans="1:11" ht="17.25">
      <c r="A232" s="206"/>
      <c r="B232" s="210"/>
      <c r="C232" s="208"/>
      <c r="D232" s="208"/>
      <c r="E232" s="209"/>
      <c r="F232" s="209"/>
      <c r="G232" s="209"/>
      <c r="H232" s="209"/>
      <c r="I232" s="209"/>
      <c r="J232" s="209"/>
      <c r="K232" s="208"/>
    </row>
    <row r="233" spans="1:11" ht="17.25">
      <c r="A233" s="206"/>
      <c r="B233" s="210"/>
      <c r="C233" s="208"/>
      <c r="D233" s="208"/>
      <c r="E233" s="209"/>
      <c r="F233" s="209"/>
      <c r="G233" s="209"/>
      <c r="H233" s="209"/>
      <c r="I233" s="209"/>
      <c r="J233" s="209"/>
      <c r="K233" s="208"/>
    </row>
    <row r="234" spans="1:11" ht="17.25">
      <c r="A234" s="206"/>
      <c r="B234" s="210"/>
      <c r="C234" s="208"/>
      <c r="D234" s="208"/>
      <c r="E234" s="209"/>
      <c r="F234" s="209"/>
      <c r="G234" s="209"/>
      <c r="H234" s="209"/>
      <c r="I234" s="209"/>
      <c r="J234" s="209"/>
      <c r="K234" s="208"/>
    </row>
    <row r="235" spans="1:11" ht="17.25">
      <c r="A235" s="206"/>
      <c r="B235" s="210"/>
      <c r="C235" s="208"/>
      <c r="D235" s="208"/>
      <c r="E235" s="209"/>
      <c r="F235" s="209"/>
      <c r="G235" s="209"/>
      <c r="H235" s="209"/>
      <c r="I235" s="209"/>
      <c r="J235" s="209"/>
      <c r="K235" s="208"/>
    </row>
    <row r="236" spans="1:11" ht="17.25">
      <c r="A236" s="206"/>
      <c r="B236" s="210"/>
      <c r="C236" s="208"/>
      <c r="D236" s="208"/>
      <c r="E236" s="209"/>
      <c r="F236" s="209"/>
      <c r="G236" s="209"/>
      <c r="H236" s="209"/>
      <c r="I236" s="209"/>
      <c r="J236" s="209"/>
    </row>
    <row r="237" spans="1:11" ht="17.25">
      <c r="A237" s="206"/>
      <c r="B237" s="210"/>
      <c r="C237" s="208"/>
      <c r="D237" s="208"/>
      <c r="E237" s="209"/>
      <c r="F237" s="209"/>
      <c r="G237" s="209"/>
      <c r="H237" s="209"/>
      <c r="I237" s="209"/>
      <c r="J237" s="209"/>
    </row>
    <row r="238" spans="1:11" ht="17.25">
      <c r="A238" s="206"/>
      <c r="B238" s="210"/>
      <c r="C238" s="208"/>
      <c r="D238" s="208"/>
      <c r="E238" s="209"/>
      <c r="F238" s="209"/>
      <c r="G238" s="209"/>
      <c r="H238" s="209"/>
      <c r="I238" s="209"/>
      <c r="J238" s="209"/>
    </row>
    <row r="239" spans="1:11" ht="17.25">
      <c r="A239" s="206"/>
      <c r="B239" s="210"/>
      <c r="C239" s="208"/>
      <c r="D239" s="208"/>
      <c r="E239" s="209"/>
      <c r="F239" s="209"/>
      <c r="G239" s="209"/>
      <c r="H239" s="209"/>
      <c r="I239" s="209"/>
      <c r="J239" s="209"/>
    </row>
    <row r="240" spans="1:11" ht="17.25">
      <c r="A240" s="206"/>
      <c r="B240" s="210"/>
      <c r="C240" s="208"/>
      <c r="D240" s="208"/>
      <c r="E240" s="209"/>
      <c r="F240" s="209"/>
      <c r="G240" s="209"/>
      <c r="H240" s="209"/>
      <c r="I240" s="209"/>
      <c r="J240" s="209"/>
    </row>
    <row r="241" spans="1:10" ht="17.25">
      <c r="A241" s="206"/>
      <c r="B241" s="210"/>
      <c r="C241" s="208"/>
      <c r="D241" s="208"/>
      <c r="E241" s="209"/>
      <c r="F241" s="209"/>
      <c r="G241" s="209"/>
      <c r="H241" s="209"/>
      <c r="I241" s="209"/>
      <c r="J241" s="209"/>
    </row>
    <row r="242" spans="1:10" ht="17.25">
      <c r="A242" s="206"/>
      <c r="B242" s="210"/>
      <c r="C242" s="208"/>
      <c r="D242" s="208"/>
      <c r="E242" s="209"/>
      <c r="F242" s="209"/>
      <c r="G242" s="209"/>
      <c r="H242" s="209"/>
      <c r="I242" s="209"/>
      <c r="J242" s="209"/>
    </row>
    <row r="243" spans="1:10" ht="17.25">
      <c r="A243" s="206"/>
      <c r="B243" s="210"/>
      <c r="C243" s="208"/>
      <c r="D243" s="208"/>
      <c r="E243" s="209"/>
      <c r="F243" s="209"/>
      <c r="G243" s="209"/>
      <c r="H243" s="209"/>
      <c r="I243" s="209"/>
      <c r="J243" s="209"/>
    </row>
    <row r="244" spans="1:10" ht="17.25">
      <c r="A244" s="206"/>
      <c r="B244" s="210"/>
      <c r="C244" s="208"/>
      <c r="D244" s="208"/>
      <c r="E244" s="209"/>
      <c r="F244" s="209"/>
      <c r="G244" s="209"/>
      <c r="H244" s="209"/>
      <c r="I244" s="209"/>
      <c r="J244" s="209"/>
    </row>
    <row r="245" spans="1:10" ht="17.25">
      <c r="A245" s="206"/>
      <c r="B245" s="210"/>
      <c r="C245" s="208"/>
      <c r="D245" s="208"/>
      <c r="E245" s="209"/>
      <c r="F245" s="209"/>
      <c r="G245" s="209"/>
      <c r="H245" s="209"/>
      <c r="I245" s="209"/>
      <c r="J245" s="209"/>
    </row>
    <row r="246" spans="1:10" ht="17.25">
      <c r="A246" s="206"/>
      <c r="B246" s="210"/>
      <c r="C246" s="208"/>
      <c r="D246" s="208"/>
      <c r="E246" s="209"/>
      <c r="F246" s="209"/>
      <c r="G246" s="209"/>
      <c r="H246" s="209"/>
      <c r="I246" s="209"/>
      <c r="J246" s="209"/>
    </row>
    <row r="247" spans="1:10" ht="17.25">
      <c r="A247" s="206"/>
      <c r="B247" s="210"/>
      <c r="C247" s="208"/>
      <c r="D247" s="208"/>
      <c r="E247" s="209"/>
      <c r="F247" s="209"/>
      <c r="G247" s="209"/>
      <c r="H247" s="209"/>
      <c r="I247" s="209"/>
      <c r="J247" s="209"/>
    </row>
    <row r="248" spans="1:10" ht="17.25">
      <c r="A248" s="206"/>
      <c r="B248" s="210"/>
      <c r="C248" s="208"/>
      <c r="D248" s="208"/>
      <c r="E248" s="209"/>
      <c r="F248" s="209"/>
      <c r="G248" s="209"/>
      <c r="H248" s="209"/>
      <c r="I248" s="209"/>
      <c r="J248" s="209"/>
    </row>
    <row r="249" spans="1:10" ht="17.25">
      <c r="A249" s="206"/>
      <c r="B249" s="210"/>
      <c r="C249" s="208"/>
      <c r="D249" s="208"/>
      <c r="E249" s="209"/>
      <c r="F249" s="209"/>
      <c r="G249" s="209"/>
      <c r="H249" s="209"/>
      <c r="I249" s="209"/>
      <c r="J249" s="209"/>
    </row>
    <row r="250" spans="1:10" ht="17.25">
      <c r="A250" s="206"/>
      <c r="B250" s="210"/>
      <c r="C250" s="208"/>
      <c r="D250" s="208"/>
      <c r="E250" s="209"/>
      <c r="F250" s="209"/>
      <c r="G250" s="209"/>
      <c r="H250" s="209"/>
      <c r="I250" s="209"/>
      <c r="J250" s="209"/>
    </row>
    <row r="251" spans="1:10" ht="17.25">
      <c r="A251" s="206"/>
      <c r="B251" s="210"/>
      <c r="C251" s="208"/>
      <c r="D251" s="208"/>
      <c r="E251" s="209"/>
      <c r="F251" s="209"/>
      <c r="G251" s="209"/>
      <c r="H251" s="209"/>
      <c r="I251" s="209"/>
      <c r="J251" s="209"/>
    </row>
    <row r="252" spans="1:10" ht="17.25">
      <c r="A252" s="206"/>
      <c r="B252" s="210"/>
      <c r="C252" s="208"/>
      <c r="D252" s="208"/>
      <c r="E252" s="209"/>
      <c r="F252" s="209"/>
      <c r="G252" s="209"/>
      <c r="H252" s="209"/>
      <c r="I252" s="209"/>
      <c r="J252" s="209"/>
    </row>
    <row r="253" spans="1:10" ht="17.25">
      <c r="A253" s="206"/>
      <c r="B253" s="210"/>
      <c r="C253" s="208"/>
      <c r="D253" s="208"/>
      <c r="E253" s="209"/>
      <c r="F253" s="209"/>
      <c r="G253" s="209"/>
      <c r="H253" s="209"/>
      <c r="I253" s="209"/>
      <c r="J253" s="209"/>
    </row>
    <row r="254" spans="1:10" ht="17.25">
      <c r="A254" s="206"/>
      <c r="B254" s="210"/>
      <c r="C254" s="208"/>
      <c r="D254" s="208"/>
      <c r="E254" s="209"/>
      <c r="F254" s="209"/>
      <c r="G254" s="209"/>
      <c r="H254" s="209"/>
      <c r="I254" s="209"/>
      <c r="J254" s="209"/>
    </row>
    <row r="255" spans="1:10" ht="17.25">
      <c r="A255" s="206"/>
      <c r="B255" s="210"/>
      <c r="C255" s="208"/>
      <c r="D255" s="208"/>
      <c r="E255" s="209"/>
      <c r="F255" s="209"/>
      <c r="G255" s="209"/>
      <c r="H255" s="209"/>
      <c r="I255" s="209"/>
      <c r="J255" s="209"/>
    </row>
    <row r="256" spans="1:10" ht="17.25">
      <c r="A256" s="206"/>
      <c r="B256" s="210"/>
      <c r="C256" s="208"/>
      <c r="D256" s="208"/>
      <c r="E256" s="209"/>
      <c r="F256" s="209"/>
      <c r="G256" s="209"/>
      <c r="H256" s="209"/>
      <c r="I256" s="209"/>
      <c r="J256" s="209"/>
    </row>
    <row r="257" spans="1:10" ht="17.25">
      <c r="A257" s="206"/>
      <c r="B257" s="210"/>
      <c r="C257" s="208"/>
      <c r="D257" s="208"/>
      <c r="E257" s="209"/>
      <c r="F257" s="209"/>
      <c r="G257" s="209"/>
      <c r="H257" s="209"/>
      <c r="I257" s="209"/>
      <c r="J257" s="209"/>
    </row>
    <row r="258" spans="1:10" ht="17.25">
      <c r="A258" s="206"/>
      <c r="B258" s="210"/>
      <c r="C258" s="208"/>
      <c r="D258" s="208"/>
      <c r="E258" s="209"/>
      <c r="F258" s="209"/>
      <c r="G258" s="209"/>
      <c r="H258" s="209"/>
      <c r="I258" s="209"/>
      <c r="J258" s="209"/>
    </row>
    <row r="259" spans="1:10" ht="17.25">
      <c r="A259" s="206"/>
      <c r="B259" s="210"/>
      <c r="C259" s="208"/>
      <c r="D259" s="208"/>
      <c r="E259" s="209"/>
      <c r="F259" s="209"/>
      <c r="G259" s="209"/>
      <c r="H259" s="209"/>
      <c r="I259" s="209"/>
      <c r="J259" s="209"/>
    </row>
    <row r="260" spans="1:10" ht="17.25">
      <c r="A260" s="206"/>
      <c r="B260" s="210"/>
      <c r="C260" s="208"/>
      <c r="D260" s="208"/>
      <c r="E260" s="209"/>
      <c r="F260" s="209"/>
      <c r="G260" s="209"/>
      <c r="H260" s="209"/>
      <c r="I260" s="209"/>
      <c r="J260" s="209"/>
    </row>
    <row r="261" spans="1:10" ht="17.25">
      <c r="A261" s="206"/>
      <c r="B261" s="210"/>
      <c r="C261" s="208"/>
      <c r="D261" s="208"/>
      <c r="E261" s="209"/>
      <c r="F261" s="209"/>
      <c r="G261" s="209"/>
      <c r="H261" s="209"/>
      <c r="I261" s="209"/>
      <c r="J261" s="209"/>
    </row>
    <row r="262" spans="1:10" ht="17.25">
      <c r="A262" s="206"/>
      <c r="B262" s="210"/>
      <c r="C262" s="208"/>
      <c r="D262" s="208"/>
      <c r="E262" s="209"/>
      <c r="F262" s="209"/>
      <c r="G262" s="209"/>
      <c r="H262" s="209"/>
      <c r="I262" s="209"/>
      <c r="J262" s="209"/>
    </row>
    <row r="263" spans="1:10" ht="17.25">
      <c r="A263" s="206"/>
      <c r="B263" s="210"/>
      <c r="C263" s="208"/>
      <c r="D263" s="208"/>
      <c r="E263" s="209"/>
      <c r="F263" s="209"/>
      <c r="G263" s="209"/>
      <c r="H263" s="209"/>
      <c r="I263" s="209"/>
      <c r="J263" s="209"/>
    </row>
    <row r="264" spans="1:10" ht="17.25">
      <c r="A264" s="206"/>
      <c r="B264" s="210"/>
      <c r="C264" s="208"/>
      <c r="D264" s="208"/>
      <c r="E264" s="209"/>
      <c r="F264" s="209"/>
      <c r="G264" s="209"/>
      <c r="H264" s="209"/>
      <c r="I264" s="209"/>
      <c r="J264" s="209"/>
    </row>
    <row r="265" spans="1:10" ht="17.25">
      <c r="A265" s="206"/>
      <c r="B265" s="210"/>
      <c r="C265" s="208"/>
      <c r="D265" s="208"/>
      <c r="E265" s="209"/>
      <c r="F265" s="209"/>
      <c r="G265" s="209"/>
      <c r="H265" s="209"/>
      <c r="I265" s="209"/>
      <c r="J265" s="209"/>
    </row>
    <row r="266" spans="1:10" ht="17.25">
      <c r="A266" s="206"/>
      <c r="B266" s="210"/>
      <c r="C266" s="208"/>
      <c r="D266" s="208"/>
      <c r="E266" s="209"/>
      <c r="F266" s="209"/>
      <c r="G266" s="209"/>
      <c r="H266" s="209"/>
      <c r="I266" s="209"/>
      <c r="J266" s="209"/>
    </row>
    <row r="267" spans="1:10" ht="17.25">
      <c r="A267" s="206"/>
      <c r="B267" s="210"/>
      <c r="C267" s="208"/>
      <c r="D267" s="208"/>
      <c r="E267" s="209"/>
      <c r="F267" s="209"/>
      <c r="G267" s="209"/>
      <c r="H267" s="209"/>
      <c r="I267" s="209"/>
      <c r="J267" s="209"/>
    </row>
    <row r="268" spans="1:10" ht="17.25">
      <c r="A268" s="206"/>
      <c r="B268" s="210"/>
      <c r="C268" s="208"/>
      <c r="D268" s="208"/>
      <c r="E268" s="209"/>
      <c r="F268" s="209"/>
      <c r="G268" s="209"/>
      <c r="H268" s="209"/>
      <c r="I268" s="209"/>
      <c r="J268" s="209"/>
    </row>
    <row r="269" spans="1:10" ht="17.25">
      <c r="A269" s="206"/>
      <c r="B269" s="210"/>
      <c r="C269" s="208"/>
      <c r="D269" s="208"/>
      <c r="E269" s="209"/>
      <c r="F269" s="209"/>
      <c r="G269" s="209"/>
      <c r="H269" s="209"/>
      <c r="I269" s="209"/>
      <c r="J269" s="209"/>
    </row>
    <row r="270" spans="1:10" ht="17.25">
      <c r="A270" s="206"/>
      <c r="B270" s="210"/>
      <c r="C270" s="208"/>
      <c r="D270" s="208"/>
      <c r="E270" s="209"/>
      <c r="F270" s="209"/>
      <c r="G270" s="209"/>
      <c r="H270" s="209"/>
      <c r="I270" s="209"/>
      <c r="J270" s="209"/>
    </row>
    <row r="271" spans="1:10" ht="17.25">
      <c r="A271" s="206"/>
      <c r="B271" s="210"/>
      <c r="C271" s="208"/>
      <c r="D271" s="208"/>
      <c r="E271" s="209"/>
      <c r="F271" s="209"/>
      <c r="G271" s="209"/>
      <c r="H271" s="209"/>
      <c r="I271" s="209"/>
      <c r="J271" s="209"/>
    </row>
    <row r="272" spans="1:10" ht="17.25">
      <c r="A272" s="206"/>
      <c r="B272" s="210"/>
      <c r="C272" s="208"/>
      <c r="D272" s="208"/>
      <c r="E272" s="209"/>
      <c r="F272" s="209"/>
      <c r="G272" s="209"/>
      <c r="H272" s="209"/>
      <c r="I272" s="209"/>
      <c r="J272" s="209"/>
    </row>
    <row r="273" spans="1:10" ht="17.25">
      <c r="A273" s="206"/>
      <c r="B273" s="210"/>
      <c r="C273" s="208"/>
      <c r="D273" s="208"/>
      <c r="E273" s="209"/>
      <c r="F273" s="209"/>
      <c r="G273" s="209"/>
      <c r="H273" s="209"/>
      <c r="I273" s="209"/>
      <c r="J273" s="209"/>
    </row>
    <row r="274" spans="1:10" ht="17.25">
      <c r="A274" s="206"/>
      <c r="B274" s="210"/>
      <c r="C274" s="208"/>
      <c r="D274" s="208"/>
      <c r="E274" s="209"/>
      <c r="F274" s="209"/>
      <c r="G274" s="209"/>
      <c r="H274" s="209"/>
      <c r="I274" s="209"/>
      <c r="J274" s="209"/>
    </row>
    <row r="275" spans="1:10" ht="17.25">
      <c r="A275" s="206"/>
      <c r="B275" s="210"/>
      <c r="C275" s="208"/>
      <c r="D275" s="208"/>
      <c r="E275" s="209"/>
      <c r="F275" s="209"/>
      <c r="G275" s="209"/>
      <c r="H275" s="209"/>
      <c r="I275" s="209"/>
      <c r="J275" s="209"/>
    </row>
    <row r="276" spans="1:10" ht="17.25">
      <c r="A276" s="206"/>
      <c r="B276" s="210"/>
      <c r="C276" s="208"/>
      <c r="D276" s="208"/>
      <c r="E276" s="209"/>
      <c r="F276" s="209"/>
      <c r="G276" s="209"/>
      <c r="H276" s="209"/>
      <c r="I276" s="209"/>
      <c r="J276" s="209"/>
    </row>
    <row r="277" spans="1:10" ht="17.25">
      <c r="A277" s="206"/>
      <c r="B277" s="210"/>
      <c r="C277" s="208"/>
      <c r="D277" s="208"/>
      <c r="E277" s="209"/>
      <c r="F277" s="209"/>
      <c r="G277" s="209"/>
      <c r="H277" s="209"/>
      <c r="I277" s="209"/>
      <c r="J277" s="209"/>
    </row>
    <row r="278" spans="1:10" ht="17.25">
      <c r="A278" s="206"/>
      <c r="B278" s="210"/>
      <c r="C278" s="208"/>
      <c r="D278" s="208"/>
      <c r="E278" s="209"/>
      <c r="F278" s="209"/>
      <c r="G278" s="209"/>
      <c r="H278" s="209"/>
      <c r="I278" s="209"/>
      <c r="J278" s="209"/>
    </row>
    <row r="279" spans="1:10" ht="17.25">
      <c r="A279" s="206"/>
      <c r="B279" s="210"/>
      <c r="C279" s="208"/>
      <c r="D279" s="208"/>
      <c r="E279" s="209"/>
      <c r="F279" s="209"/>
      <c r="G279" s="209"/>
      <c r="H279" s="209"/>
      <c r="I279" s="209"/>
      <c r="J279" s="209"/>
    </row>
    <row r="280" spans="1:10" ht="17.25">
      <c r="A280" s="206"/>
      <c r="B280" s="210"/>
      <c r="C280" s="208"/>
      <c r="D280" s="208"/>
      <c r="E280" s="209"/>
      <c r="F280" s="209"/>
      <c r="G280" s="209"/>
      <c r="H280" s="209"/>
      <c r="I280" s="209"/>
      <c r="J280" s="209"/>
    </row>
    <row r="281" spans="1:10" ht="17.25">
      <c r="A281" s="206"/>
      <c r="B281" s="210"/>
      <c r="C281" s="208"/>
      <c r="D281" s="208"/>
      <c r="E281" s="209"/>
      <c r="F281" s="209"/>
      <c r="G281" s="209"/>
      <c r="H281" s="209"/>
      <c r="I281" s="209"/>
      <c r="J281" s="209"/>
    </row>
    <row r="282" spans="1:10" ht="17.25">
      <c r="A282" s="206"/>
      <c r="B282" s="210"/>
      <c r="C282" s="208"/>
      <c r="D282" s="208"/>
      <c r="E282" s="209"/>
      <c r="F282" s="209"/>
      <c r="G282" s="209"/>
      <c r="H282" s="209"/>
      <c r="I282" s="209"/>
      <c r="J282" s="209"/>
    </row>
    <row r="283" spans="1:10" ht="17.25">
      <c r="A283" s="206"/>
      <c r="B283" s="210"/>
      <c r="C283" s="208"/>
      <c r="D283" s="208"/>
      <c r="E283" s="209"/>
      <c r="F283" s="209"/>
      <c r="G283" s="209"/>
      <c r="H283" s="209"/>
      <c r="I283" s="209"/>
      <c r="J283" s="209"/>
    </row>
    <row r="284" spans="1:10" ht="17.25">
      <c r="A284" s="206"/>
      <c r="B284" s="210"/>
      <c r="C284" s="208"/>
      <c r="D284" s="208"/>
      <c r="E284" s="209"/>
      <c r="F284" s="209"/>
      <c r="G284" s="209"/>
      <c r="H284" s="209"/>
      <c r="I284" s="209"/>
      <c r="J284" s="209"/>
    </row>
    <row r="285" spans="1:10" ht="17.25">
      <c r="A285" s="206"/>
      <c r="B285" s="210"/>
      <c r="C285" s="208"/>
      <c r="D285" s="208"/>
      <c r="E285" s="209"/>
      <c r="F285" s="209"/>
      <c r="G285" s="209"/>
      <c r="H285" s="209"/>
      <c r="I285" s="209"/>
      <c r="J285" s="209"/>
    </row>
    <row r="286" spans="1:10" ht="17.25">
      <c r="A286" s="206"/>
      <c r="B286" s="210"/>
      <c r="C286" s="208"/>
      <c r="D286" s="208"/>
      <c r="E286" s="209"/>
      <c r="F286" s="209"/>
      <c r="G286" s="209"/>
      <c r="H286" s="209"/>
      <c r="I286" s="209"/>
      <c r="J286" s="209"/>
    </row>
    <row r="287" spans="1:10" ht="17.25">
      <c r="A287" s="206"/>
      <c r="B287" s="210"/>
      <c r="C287" s="208"/>
      <c r="D287" s="208"/>
      <c r="E287" s="209"/>
      <c r="F287" s="209"/>
      <c r="G287" s="209"/>
      <c r="H287" s="209"/>
      <c r="I287" s="209"/>
      <c r="J287" s="209"/>
    </row>
    <row r="288" spans="1:10" ht="17.25">
      <c r="A288" s="206"/>
      <c r="B288" s="210"/>
      <c r="C288" s="208"/>
      <c r="D288" s="208"/>
      <c r="E288" s="209"/>
      <c r="F288" s="209"/>
      <c r="G288" s="209"/>
      <c r="H288" s="209"/>
      <c r="I288" s="209"/>
      <c r="J288" s="209"/>
    </row>
    <row r="289" spans="1:10" ht="17.25">
      <c r="A289" s="206"/>
      <c r="B289" s="210"/>
      <c r="C289" s="208"/>
      <c r="D289" s="208"/>
      <c r="E289" s="209"/>
      <c r="F289" s="209"/>
      <c r="G289" s="209"/>
      <c r="H289" s="209"/>
      <c r="I289" s="209"/>
      <c r="J289" s="209"/>
    </row>
    <row r="290" spans="1:10" ht="17.25">
      <c r="A290" s="206"/>
      <c r="B290" s="210"/>
      <c r="C290" s="208"/>
      <c r="D290" s="208"/>
      <c r="E290" s="209"/>
      <c r="F290" s="209"/>
      <c r="G290" s="209"/>
      <c r="H290" s="209"/>
      <c r="I290" s="209"/>
      <c r="J290" s="209"/>
    </row>
    <row r="291" spans="1:10" ht="17.25">
      <c r="A291" s="206"/>
      <c r="B291" s="210"/>
      <c r="C291" s="208"/>
      <c r="D291" s="208"/>
      <c r="E291" s="209"/>
      <c r="F291" s="209"/>
      <c r="G291" s="209"/>
      <c r="H291" s="209"/>
      <c r="I291" s="209"/>
      <c r="J291" s="209"/>
    </row>
    <row r="292" spans="1:10" ht="17.25">
      <c r="A292" s="206"/>
      <c r="B292" s="210"/>
      <c r="C292" s="208"/>
      <c r="D292" s="208"/>
      <c r="E292" s="209"/>
      <c r="F292" s="209"/>
      <c r="G292" s="209"/>
      <c r="H292" s="209"/>
      <c r="I292" s="209"/>
      <c r="J292" s="209"/>
    </row>
    <row r="293" spans="1:10" ht="17.25">
      <c r="A293" s="206"/>
      <c r="B293" s="210"/>
      <c r="C293" s="208"/>
      <c r="D293" s="208"/>
      <c r="E293" s="209"/>
      <c r="F293" s="209"/>
      <c r="G293" s="209"/>
      <c r="H293" s="209"/>
      <c r="I293" s="209"/>
      <c r="J293" s="209"/>
    </row>
    <row r="294" spans="1:10" ht="17.25">
      <c r="A294" s="206"/>
      <c r="B294" s="210"/>
      <c r="C294" s="208"/>
      <c r="D294" s="208"/>
      <c r="E294" s="209"/>
      <c r="F294" s="209"/>
      <c r="G294" s="209"/>
      <c r="H294" s="209"/>
      <c r="I294" s="209"/>
      <c r="J294" s="209"/>
    </row>
    <row r="295" spans="1:10" ht="17.25">
      <c r="A295" s="206"/>
      <c r="B295" s="210"/>
      <c r="C295" s="208"/>
      <c r="D295" s="208"/>
      <c r="E295" s="209"/>
      <c r="F295" s="209"/>
      <c r="G295" s="209"/>
      <c r="H295" s="209"/>
      <c r="I295" s="209"/>
      <c r="J295" s="209"/>
    </row>
    <row r="296" spans="1:10" ht="17.25">
      <c r="A296" s="206"/>
      <c r="B296" s="210"/>
      <c r="C296" s="208"/>
      <c r="D296" s="208"/>
      <c r="E296" s="209"/>
      <c r="F296" s="209"/>
      <c r="G296" s="209"/>
      <c r="H296" s="209"/>
      <c r="I296" s="209"/>
      <c r="J296" s="209"/>
    </row>
    <row r="297" spans="1:10" ht="17.25">
      <c r="A297" s="206"/>
      <c r="B297" s="210"/>
      <c r="C297" s="208"/>
      <c r="D297" s="208"/>
      <c r="E297" s="209"/>
      <c r="F297" s="209"/>
      <c r="G297" s="209"/>
      <c r="H297" s="209"/>
      <c r="I297" s="209"/>
      <c r="J297" s="209"/>
    </row>
    <row r="298" spans="1:10" ht="17.25">
      <c r="A298" s="206"/>
      <c r="B298" s="210"/>
      <c r="C298" s="208"/>
      <c r="D298" s="208"/>
      <c r="E298" s="209"/>
      <c r="F298" s="209"/>
      <c r="G298" s="209"/>
      <c r="H298" s="209"/>
      <c r="I298" s="209"/>
      <c r="J298" s="209"/>
    </row>
    <row r="299" spans="1:10" ht="17.25">
      <c r="A299" s="206"/>
      <c r="B299" s="210"/>
      <c r="C299" s="208"/>
      <c r="D299" s="208"/>
      <c r="E299" s="209"/>
      <c r="F299" s="209"/>
      <c r="G299" s="209"/>
      <c r="H299" s="209"/>
      <c r="I299" s="209"/>
      <c r="J299" s="209"/>
    </row>
    <row r="300" spans="1:10" ht="17.25">
      <c r="A300" s="206"/>
      <c r="B300" s="210"/>
      <c r="C300" s="208"/>
      <c r="D300" s="208"/>
      <c r="E300" s="209"/>
      <c r="F300" s="209"/>
      <c r="G300" s="209"/>
      <c r="H300" s="209"/>
      <c r="I300" s="209"/>
      <c r="J300" s="209"/>
    </row>
    <row r="301" spans="1:10" ht="17.25">
      <c r="A301" s="206"/>
      <c r="B301" s="210"/>
      <c r="C301" s="208"/>
      <c r="D301" s="208"/>
      <c r="E301" s="209"/>
      <c r="F301" s="209"/>
      <c r="G301" s="209"/>
      <c r="H301" s="209"/>
      <c r="I301" s="209"/>
      <c r="J301" s="209"/>
    </row>
    <row r="302" spans="1:10" ht="17.25">
      <c r="A302" s="206"/>
      <c r="B302" s="210"/>
      <c r="C302" s="208"/>
      <c r="D302" s="208"/>
      <c r="E302" s="209"/>
      <c r="F302" s="209"/>
      <c r="G302" s="209"/>
      <c r="H302" s="209"/>
      <c r="I302" s="209"/>
      <c r="J302" s="209"/>
    </row>
    <row r="303" spans="1:10" ht="17.25">
      <c r="A303" s="206"/>
      <c r="B303" s="210"/>
      <c r="C303" s="208"/>
      <c r="D303" s="208"/>
      <c r="E303" s="209"/>
      <c r="F303" s="209"/>
      <c r="G303" s="209"/>
      <c r="H303" s="209"/>
      <c r="I303" s="209"/>
      <c r="J303" s="209"/>
    </row>
    <row r="304" spans="1:10" ht="17.25">
      <c r="A304" s="206"/>
      <c r="B304" s="210"/>
      <c r="C304" s="208"/>
      <c r="D304" s="208"/>
      <c r="E304" s="209"/>
      <c r="F304" s="209"/>
      <c r="G304" s="209"/>
      <c r="H304" s="209"/>
      <c r="I304" s="209"/>
      <c r="J304" s="209"/>
    </row>
    <row r="305" spans="1:10" ht="17.25">
      <c r="A305" s="206"/>
      <c r="B305" s="210"/>
      <c r="C305" s="208"/>
      <c r="D305" s="208"/>
      <c r="E305" s="209"/>
      <c r="F305" s="209"/>
      <c r="G305" s="209"/>
      <c r="H305" s="209"/>
      <c r="I305" s="209"/>
      <c r="J305" s="209"/>
    </row>
    <row r="306" spans="1:10" ht="17.25">
      <c r="A306" s="206"/>
      <c r="B306" s="210"/>
      <c r="C306" s="208"/>
      <c r="D306" s="208"/>
      <c r="E306" s="209"/>
      <c r="F306" s="209"/>
      <c r="G306" s="209"/>
      <c r="H306" s="209"/>
      <c r="I306" s="209"/>
      <c r="J306" s="209"/>
    </row>
    <row r="307" spans="1:10" ht="17.25">
      <c r="A307" s="206"/>
      <c r="B307" s="210"/>
      <c r="C307" s="208"/>
      <c r="D307" s="208"/>
      <c r="E307" s="209"/>
      <c r="F307" s="209"/>
      <c r="G307" s="209"/>
      <c r="H307" s="209"/>
      <c r="I307" s="209"/>
      <c r="J307" s="209"/>
    </row>
    <row r="308" spans="1:10" ht="17.25">
      <c r="A308" s="206"/>
      <c r="B308" s="210"/>
      <c r="C308" s="208"/>
      <c r="D308" s="208"/>
      <c r="E308" s="209"/>
      <c r="F308" s="209"/>
      <c r="G308" s="209"/>
      <c r="H308" s="209"/>
      <c r="I308" s="209"/>
      <c r="J308" s="209"/>
    </row>
    <row r="309" spans="1:10" ht="17.25">
      <c r="A309" s="206"/>
      <c r="B309" s="210"/>
      <c r="C309" s="208"/>
      <c r="D309" s="208"/>
      <c r="E309" s="209"/>
      <c r="F309" s="209"/>
      <c r="G309" s="209"/>
      <c r="H309" s="209"/>
      <c r="I309" s="209"/>
      <c r="J309" s="209"/>
    </row>
    <row r="310" spans="1:10" ht="17.25">
      <c r="A310" s="206"/>
      <c r="B310" s="210"/>
      <c r="C310" s="208"/>
      <c r="D310" s="208"/>
      <c r="E310" s="209"/>
      <c r="F310" s="209"/>
      <c r="G310" s="209"/>
      <c r="H310" s="209"/>
      <c r="I310" s="209"/>
      <c r="J310" s="209"/>
    </row>
    <row r="311" spans="1:10" ht="17.25">
      <c r="A311" s="206"/>
      <c r="B311" s="210"/>
      <c r="C311" s="208"/>
      <c r="D311" s="208"/>
      <c r="E311" s="209"/>
      <c r="F311" s="209"/>
      <c r="G311" s="209"/>
      <c r="H311" s="209"/>
      <c r="I311" s="209"/>
      <c r="J311" s="209"/>
    </row>
    <row r="312" spans="1:10" ht="17.25">
      <c r="A312" s="206"/>
      <c r="B312" s="210"/>
      <c r="C312" s="208"/>
      <c r="D312" s="208"/>
      <c r="E312" s="209"/>
      <c r="F312" s="209"/>
      <c r="G312" s="209"/>
      <c r="H312" s="209"/>
      <c r="I312" s="209"/>
      <c r="J312" s="209"/>
    </row>
    <row r="313" spans="1:10" ht="17.25">
      <c r="A313" s="206"/>
      <c r="B313" s="210"/>
      <c r="C313" s="208"/>
      <c r="D313" s="208"/>
      <c r="E313" s="209"/>
      <c r="F313" s="209"/>
      <c r="G313" s="209"/>
      <c r="H313" s="209"/>
      <c r="I313" s="209"/>
      <c r="J313" s="209"/>
    </row>
    <row r="314" spans="1:10" ht="17.25">
      <c r="A314" s="206"/>
      <c r="B314" s="210"/>
      <c r="C314" s="208"/>
      <c r="D314" s="208"/>
      <c r="E314" s="209"/>
      <c r="F314" s="209"/>
      <c r="G314" s="209"/>
      <c r="H314" s="209"/>
      <c r="I314" s="209"/>
      <c r="J314" s="209"/>
    </row>
    <row r="315" spans="1:10" ht="17.25">
      <c r="A315" s="206"/>
      <c r="B315" s="210"/>
      <c r="C315" s="208"/>
      <c r="D315" s="208"/>
      <c r="E315" s="209"/>
      <c r="F315" s="209"/>
      <c r="G315" s="209"/>
      <c r="H315" s="209"/>
      <c r="I315" s="209"/>
      <c r="J315" s="209"/>
    </row>
    <row r="316" spans="1:10" ht="17.25">
      <c r="A316" s="206"/>
      <c r="B316" s="210"/>
      <c r="C316" s="208"/>
      <c r="D316" s="208"/>
      <c r="E316" s="209"/>
      <c r="F316" s="209"/>
      <c r="G316" s="209"/>
      <c r="H316" s="209"/>
      <c r="I316" s="209"/>
      <c r="J316" s="209"/>
    </row>
    <row r="317" spans="1:10" ht="17.25">
      <c r="A317" s="206"/>
      <c r="B317" s="210"/>
      <c r="C317" s="208"/>
      <c r="D317" s="208"/>
      <c r="E317" s="209"/>
      <c r="F317" s="209"/>
      <c r="G317" s="209"/>
      <c r="H317" s="209"/>
      <c r="I317" s="209"/>
      <c r="J317" s="209"/>
    </row>
    <row r="318" spans="1:10" ht="17.25">
      <c r="A318" s="206"/>
      <c r="B318" s="210"/>
      <c r="C318" s="208"/>
      <c r="D318" s="208"/>
      <c r="E318" s="209"/>
      <c r="F318" s="209"/>
      <c r="G318" s="209"/>
      <c r="H318" s="209"/>
      <c r="I318" s="209"/>
      <c r="J318" s="209"/>
    </row>
    <row r="319" spans="1:10" ht="17.25">
      <c r="A319" s="206"/>
      <c r="B319" s="210"/>
      <c r="C319" s="208"/>
      <c r="D319" s="208"/>
      <c r="E319" s="209"/>
      <c r="F319" s="209"/>
      <c r="G319" s="209"/>
      <c r="H319" s="209"/>
      <c r="I319" s="209"/>
      <c r="J319" s="209"/>
    </row>
    <row r="320" spans="1:10" ht="17.25">
      <c r="A320" s="206"/>
      <c r="B320" s="210"/>
      <c r="C320" s="208"/>
      <c r="D320" s="208"/>
      <c r="E320" s="209"/>
      <c r="F320" s="209"/>
      <c r="G320" s="209"/>
      <c r="H320" s="209"/>
      <c r="I320" s="209"/>
      <c r="J320" s="209"/>
    </row>
    <row r="321" spans="1:10" ht="17.25">
      <c r="A321" s="206"/>
      <c r="B321" s="210"/>
      <c r="C321" s="208"/>
      <c r="D321" s="208"/>
      <c r="E321" s="209"/>
      <c r="F321" s="209"/>
      <c r="G321" s="209"/>
      <c r="H321" s="209"/>
      <c r="I321" s="209"/>
      <c r="J321" s="209"/>
    </row>
    <row r="322" spans="1:10" ht="17.25">
      <c r="B322" s="209"/>
    </row>
    <row r="323" spans="1:10" ht="17.25">
      <c r="B323" s="209"/>
    </row>
    <row r="324" spans="1:10" ht="17.25">
      <c r="B324" s="209"/>
    </row>
    <row r="325" spans="1:10" ht="17.25">
      <c r="B325" s="209"/>
    </row>
    <row r="326" spans="1:10" ht="17.25">
      <c r="B326" s="209"/>
    </row>
    <row r="327" spans="1:10" ht="17.25">
      <c r="B327" s="209"/>
    </row>
    <row r="328" spans="1:10" ht="17.25">
      <c r="B328" s="209"/>
    </row>
    <row r="329" spans="1:10" ht="17.25">
      <c r="B329" s="209"/>
    </row>
    <row r="330" spans="1:10" ht="17.25">
      <c r="B330" s="209"/>
    </row>
    <row r="331" spans="1:10" ht="17.25">
      <c r="B331" s="209"/>
    </row>
    <row r="332" spans="1:10" ht="17.25">
      <c r="B332" s="209"/>
    </row>
    <row r="333" spans="1:10" ht="17.25">
      <c r="B333" s="209"/>
    </row>
    <row r="334" spans="1:10" ht="17.25">
      <c r="B334" s="209"/>
    </row>
    <row r="335" spans="1:10" ht="17.25">
      <c r="B335" s="209"/>
    </row>
    <row r="336" spans="1:10" ht="17.25">
      <c r="B336" s="209"/>
    </row>
    <row r="337" spans="2:2" ht="17.25">
      <c r="B337" s="209"/>
    </row>
    <row r="338" spans="2:2" ht="17.25">
      <c r="B338" s="209"/>
    </row>
    <row r="339" spans="2:2" ht="17.25">
      <c r="B339" s="209"/>
    </row>
    <row r="340" spans="2:2" ht="17.25">
      <c r="B340" s="209"/>
    </row>
    <row r="341" spans="2:2" ht="17.25">
      <c r="B341" s="209"/>
    </row>
    <row r="342" spans="2:2" ht="17.25">
      <c r="B342" s="209"/>
    </row>
    <row r="343" spans="2:2" ht="17.25">
      <c r="B343" s="209"/>
    </row>
    <row r="344" spans="2:2" ht="17.25">
      <c r="B344" s="209"/>
    </row>
    <row r="345" spans="2:2" ht="17.25">
      <c r="B345" s="209"/>
    </row>
    <row r="346" spans="2:2" ht="17.25">
      <c r="B346" s="209"/>
    </row>
    <row r="347" spans="2:2" ht="17.25">
      <c r="B347" s="209"/>
    </row>
    <row r="348" spans="2:2" ht="17.25">
      <c r="B348" s="209"/>
    </row>
    <row r="349" spans="2:2" ht="17.25">
      <c r="B349" s="209"/>
    </row>
    <row r="350" spans="2:2" ht="17.25">
      <c r="B350" s="209"/>
    </row>
    <row r="351" spans="2:2" ht="17.25">
      <c r="B351" s="209"/>
    </row>
    <row r="352" spans="2:2" ht="17.25">
      <c r="B352" s="209"/>
    </row>
    <row r="353" spans="2:2" ht="17.25">
      <c r="B353" s="209"/>
    </row>
    <row r="354" spans="2:2" ht="17.25">
      <c r="B354" s="209"/>
    </row>
    <row r="355" spans="2:2" ht="17.25">
      <c r="B355" s="209"/>
    </row>
    <row r="356" spans="2:2" ht="17.25">
      <c r="B356" s="209"/>
    </row>
    <row r="357" spans="2:2" ht="17.25">
      <c r="B357" s="209"/>
    </row>
    <row r="358" spans="2:2" ht="17.25">
      <c r="B358" s="209"/>
    </row>
    <row r="359" spans="2:2" ht="17.25">
      <c r="B359" s="209"/>
    </row>
    <row r="360" spans="2:2" ht="17.25">
      <c r="B360" s="209"/>
    </row>
    <row r="361" spans="2:2" ht="17.25">
      <c r="B361" s="209"/>
    </row>
    <row r="362" spans="2:2" ht="17.25">
      <c r="B362" s="209"/>
    </row>
    <row r="363" spans="2:2" ht="17.25">
      <c r="B363" s="209"/>
    </row>
    <row r="364" spans="2:2" ht="17.25">
      <c r="B364" s="209"/>
    </row>
    <row r="365" spans="2:2" ht="17.25">
      <c r="B365" s="209"/>
    </row>
    <row r="366" spans="2:2" ht="17.25">
      <c r="B366" s="209"/>
    </row>
    <row r="367" spans="2:2" ht="17.25">
      <c r="B367" s="209"/>
    </row>
    <row r="368" spans="2:2" ht="17.25">
      <c r="B368" s="209"/>
    </row>
    <row r="369" spans="2:2" ht="17.25">
      <c r="B369" s="209"/>
    </row>
    <row r="370" spans="2:2" ht="17.25">
      <c r="B370" s="209"/>
    </row>
    <row r="371" spans="2:2" ht="17.25">
      <c r="B371" s="209"/>
    </row>
    <row r="372" spans="2:2" ht="17.25">
      <c r="B372" s="209"/>
    </row>
    <row r="373" spans="2:2" ht="17.25">
      <c r="B373" s="209"/>
    </row>
    <row r="374" spans="2:2" ht="17.25">
      <c r="B374" s="209"/>
    </row>
    <row r="375" spans="2:2" ht="17.25">
      <c r="B375" s="209"/>
    </row>
    <row r="376" spans="2:2" ht="17.25">
      <c r="B376" s="209"/>
    </row>
    <row r="377" spans="2:2" ht="17.25">
      <c r="B377" s="209"/>
    </row>
    <row r="378" spans="2:2" ht="17.25">
      <c r="B378" s="209"/>
    </row>
    <row r="379" spans="2:2" ht="17.25">
      <c r="B379" s="209"/>
    </row>
    <row r="380" spans="2:2" ht="17.25">
      <c r="B380" s="209"/>
    </row>
    <row r="381" spans="2:2" ht="17.25">
      <c r="B381" s="209"/>
    </row>
    <row r="382" spans="2:2" ht="17.25">
      <c r="B382" s="209"/>
    </row>
    <row r="383" spans="2:2" ht="17.25">
      <c r="B383" s="209"/>
    </row>
    <row r="384" spans="2:2" ht="17.25">
      <c r="B384" s="209"/>
    </row>
    <row r="385" spans="2:2" ht="17.25">
      <c r="B385" s="209"/>
    </row>
    <row r="386" spans="2:2" ht="17.25">
      <c r="B386" s="209"/>
    </row>
    <row r="387" spans="2:2" ht="17.25">
      <c r="B387" s="209"/>
    </row>
    <row r="388" spans="2:2" ht="17.25">
      <c r="B388" s="209"/>
    </row>
    <row r="389" spans="2:2" ht="17.25">
      <c r="B389" s="209"/>
    </row>
    <row r="390" spans="2:2" ht="17.25">
      <c r="B390" s="209"/>
    </row>
    <row r="391" spans="2:2" ht="17.25">
      <c r="B391" s="209"/>
    </row>
    <row r="392" spans="2:2" ht="17.25">
      <c r="B392" s="209"/>
    </row>
    <row r="393" spans="2:2" ht="17.25">
      <c r="B393" s="209"/>
    </row>
    <row r="394" spans="2:2" ht="17.25">
      <c r="B394" s="209"/>
    </row>
    <row r="395" spans="2:2" ht="17.25">
      <c r="B395" s="209"/>
    </row>
    <row r="396" spans="2:2" ht="17.25">
      <c r="B396" s="209"/>
    </row>
    <row r="397" spans="2:2" ht="17.25">
      <c r="B397" s="209"/>
    </row>
    <row r="398" spans="2:2" ht="17.25">
      <c r="B398" s="209"/>
    </row>
    <row r="399" spans="2:2" ht="17.25">
      <c r="B399" s="209"/>
    </row>
    <row r="400" spans="2:2" ht="17.25">
      <c r="B400" s="209"/>
    </row>
    <row r="401" spans="2:2" ht="17.25">
      <c r="B401" s="209"/>
    </row>
    <row r="402" spans="2:2" ht="17.25">
      <c r="B402" s="209"/>
    </row>
    <row r="403" spans="2:2" ht="17.25">
      <c r="B403" s="209"/>
    </row>
    <row r="404" spans="2:2" ht="17.25">
      <c r="B404" s="209"/>
    </row>
    <row r="405" spans="2:2" ht="17.25">
      <c r="B405" s="209"/>
    </row>
    <row r="406" spans="2:2" ht="17.25">
      <c r="B406" s="209"/>
    </row>
    <row r="407" spans="2:2" ht="17.25">
      <c r="B407" s="209"/>
    </row>
    <row r="408" spans="2:2" ht="17.25">
      <c r="B408" s="209"/>
    </row>
    <row r="409" spans="2:2" ht="17.25">
      <c r="B409" s="209"/>
    </row>
    <row r="410" spans="2:2" ht="17.25">
      <c r="B410" s="209"/>
    </row>
    <row r="411" spans="2:2" ht="17.25">
      <c r="B411" s="209"/>
    </row>
    <row r="412" spans="2:2" ht="17.25">
      <c r="B412" s="209"/>
    </row>
    <row r="413" spans="2:2" ht="17.25">
      <c r="B413" s="209"/>
    </row>
    <row r="414" spans="2:2" ht="17.25">
      <c r="B414" s="209"/>
    </row>
    <row r="415" spans="2:2" ht="17.25">
      <c r="B415" s="209"/>
    </row>
    <row r="416" spans="2:2" ht="17.25">
      <c r="B416" s="209"/>
    </row>
    <row r="417" spans="2:2" ht="17.25">
      <c r="B417" s="209"/>
    </row>
    <row r="418" spans="2:2" ht="17.25">
      <c r="B418" s="209"/>
    </row>
    <row r="419" spans="2:2" ht="17.25">
      <c r="B419" s="209"/>
    </row>
    <row r="420" spans="2:2" ht="17.25">
      <c r="B420" s="209"/>
    </row>
    <row r="421" spans="2:2" ht="17.25">
      <c r="B421" s="209"/>
    </row>
    <row r="422" spans="2:2" ht="17.25">
      <c r="B422" s="209"/>
    </row>
    <row r="423" spans="2:2" ht="17.25">
      <c r="B423" s="209"/>
    </row>
    <row r="424" spans="2:2" ht="17.25">
      <c r="B424" s="209"/>
    </row>
    <row r="425" spans="2:2" ht="17.25">
      <c r="B425" s="209"/>
    </row>
    <row r="426" spans="2:2" ht="17.25">
      <c r="B426" s="209"/>
    </row>
    <row r="427" spans="2:2" ht="17.25">
      <c r="B427" s="209"/>
    </row>
    <row r="428" spans="2:2" ht="17.25">
      <c r="B428" s="209"/>
    </row>
    <row r="429" spans="2:2" ht="17.25">
      <c r="B429" s="209"/>
    </row>
    <row r="430" spans="2:2" ht="17.25">
      <c r="B430" s="209"/>
    </row>
    <row r="431" spans="2:2" ht="17.25">
      <c r="B431" s="209"/>
    </row>
    <row r="432" spans="2:2" ht="17.25">
      <c r="B432" s="209"/>
    </row>
    <row r="433" spans="2:2" ht="17.25">
      <c r="B433" s="209"/>
    </row>
    <row r="434" spans="2:2" ht="17.25">
      <c r="B434" s="209"/>
    </row>
    <row r="435" spans="2:2" ht="17.25">
      <c r="B435" s="209"/>
    </row>
    <row r="436" spans="2:2" ht="17.25">
      <c r="B436" s="209"/>
    </row>
    <row r="437" spans="2:2" ht="17.25">
      <c r="B437" s="209"/>
    </row>
    <row r="438" spans="2:2" ht="17.25">
      <c r="B438" s="209"/>
    </row>
    <row r="439" spans="2:2" ht="17.25">
      <c r="B439" s="209"/>
    </row>
    <row r="440" spans="2:2" ht="17.25">
      <c r="B440" s="209"/>
    </row>
    <row r="441" spans="2:2" ht="17.25">
      <c r="B441" s="209"/>
    </row>
    <row r="442" spans="2:2" ht="17.25">
      <c r="B442" s="209"/>
    </row>
    <row r="443" spans="2:2" ht="17.25">
      <c r="B443" s="209"/>
    </row>
    <row r="444" spans="2:2" ht="17.25">
      <c r="B444" s="209"/>
    </row>
    <row r="445" spans="2:2" ht="17.25">
      <c r="B445" s="209"/>
    </row>
    <row r="446" spans="2:2" ht="17.25">
      <c r="B446" s="209"/>
    </row>
    <row r="447" spans="2:2" ht="17.25">
      <c r="B447" s="209"/>
    </row>
    <row r="448" spans="2:2" ht="17.25">
      <c r="B448" s="209"/>
    </row>
    <row r="449" spans="2:2" ht="17.25">
      <c r="B449" s="209"/>
    </row>
    <row r="450" spans="2:2" ht="17.25">
      <c r="B450" s="209"/>
    </row>
    <row r="451" spans="2:2" ht="17.25">
      <c r="B451" s="209"/>
    </row>
    <row r="452" spans="2:2" ht="17.25">
      <c r="B452" s="209"/>
    </row>
    <row r="453" spans="2:2" ht="17.25">
      <c r="B453" s="209"/>
    </row>
    <row r="454" spans="2:2" ht="17.25">
      <c r="B454" s="209"/>
    </row>
    <row r="455" spans="2:2" ht="17.25">
      <c r="B455" s="209"/>
    </row>
    <row r="456" spans="2:2" ht="17.25">
      <c r="B456" s="209"/>
    </row>
    <row r="457" spans="2:2" ht="17.25">
      <c r="B457" s="209"/>
    </row>
    <row r="458" spans="2:2" ht="17.25">
      <c r="B458" s="209"/>
    </row>
    <row r="459" spans="2:2" ht="17.25">
      <c r="B459" s="209"/>
    </row>
    <row r="460" spans="2:2" ht="17.25">
      <c r="B460" s="209"/>
    </row>
    <row r="461" spans="2:2" ht="17.25">
      <c r="B461" s="209"/>
    </row>
    <row r="462" spans="2:2" ht="17.25">
      <c r="B462" s="209"/>
    </row>
    <row r="463" spans="2:2" ht="17.25">
      <c r="B463" s="209"/>
    </row>
    <row r="464" spans="2:2" ht="17.25">
      <c r="B464" s="209"/>
    </row>
    <row r="465" spans="2:2" ht="17.25">
      <c r="B465" s="209"/>
    </row>
    <row r="466" spans="2:2" ht="17.25">
      <c r="B466" s="209"/>
    </row>
    <row r="467" spans="2:2" ht="17.25">
      <c r="B467" s="209"/>
    </row>
    <row r="468" spans="2:2" ht="17.25">
      <c r="B468" s="209"/>
    </row>
    <row r="469" spans="2:2" ht="17.25">
      <c r="B469" s="209"/>
    </row>
    <row r="470" spans="2:2" ht="17.25">
      <c r="B470" s="209"/>
    </row>
    <row r="471" spans="2:2" ht="17.25">
      <c r="B471" s="209"/>
    </row>
    <row r="472" spans="2:2" ht="17.25">
      <c r="B472" s="209"/>
    </row>
    <row r="473" spans="2:2" ht="17.25">
      <c r="B473" s="209"/>
    </row>
    <row r="474" spans="2:2" ht="17.25">
      <c r="B474" s="209"/>
    </row>
    <row r="475" spans="2:2" ht="17.25">
      <c r="B475" s="209"/>
    </row>
    <row r="476" spans="2:2" ht="17.25">
      <c r="B476" s="209"/>
    </row>
    <row r="477" spans="2:2" ht="17.25">
      <c r="B477" s="209"/>
    </row>
    <row r="478" spans="2:2" ht="17.25">
      <c r="B478" s="209"/>
    </row>
    <row r="479" spans="2:2" ht="17.25">
      <c r="B479" s="209"/>
    </row>
    <row r="480" spans="2:2" ht="17.25">
      <c r="B480" s="209"/>
    </row>
    <row r="481" spans="2:2" ht="17.25">
      <c r="B481" s="209"/>
    </row>
    <row r="482" spans="2:2" ht="17.25">
      <c r="B482" s="209"/>
    </row>
    <row r="483" spans="2:2" ht="17.25">
      <c r="B483" s="209"/>
    </row>
    <row r="484" spans="2:2" ht="17.25">
      <c r="B484" s="209"/>
    </row>
    <row r="485" spans="2:2" ht="17.25">
      <c r="B485" s="209"/>
    </row>
    <row r="486" spans="2:2" ht="17.25">
      <c r="B486" s="209"/>
    </row>
    <row r="487" spans="2:2" ht="17.25">
      <c r="B487" s="209"/>
    </row>
    <row r="488" spans="2:2" ht="17.25">
      <c r="B488" s="209"/>
    </row>
    <row r="489" spans="2:2" ht="17.25">
      <c r="B489" s="209"/>
    </row>
    <row r="490" spans="2:2" ht="17.25">
      <c r="B490" s="209"/>
    </row>
    <row r="491" spans="2:2" ht="17.25">
      <c r="B491" s="209"/>
    </row>
    <row r="492" spans="2:2" ht="17.25">
      <c r="B492" s="209"/>
    </row>
    <row r="493" spans="2:2" ht="17.25">
      <c r="B493" s="209"/>
    </row>
    <row r="494" spans="2:2" ht="17.25">
      <c r="B494" s="209"/>
    </row>
    <row r="495" spans="2:2" ht="17.25">
      <c r="B495" s="209"/>
    </row>
    <row r="496" spans="2:2" ht="17.25">
      <c r="B496" s="209"/>
    </row>
    <row r="497" spans="2:2" ht="17.25">
      <c r="B497" s="209"/>
    </row>
    <row r="498" spans="2:2" ht="17.25">
      <c r="B498" s="209"/>
    </row>
    <row r="499" spans="2:2" ht="17.25">
      <c r="B499" s="209"/>
    </row>
    <row r="500" spans="2:2" ht="17.25">
      <c r="B500" s="209"/>
    </row>
    <row r="501" spans="2:2" ht="17.25">
      <c r="B501" s="209"/>
    </row>
    <row r="502" spans="2:2" ht="17.25">
      <c r="B502" s="209"/>
    </row>
    <row r="503" spans="2:2" ht="17.25">
      <c r="B503" s="209"/>
    </row>
    <row r="504" spans="2:2" ht="17.25">
      <c r="B504" s="209"/>
    </row>
    <row r="505" spans="2:2" ht="17.25">
      <c r="B505" s="209"/>
    </row>
    <row r="506" spans="2:2" ht="17.25">
      <c r="B506" s="209"/>
    </row>
    <row r="507" spans="2:2" ht="17.25">
      <c r="B507" s="209"/>
    </row>
    <row r="508" spans="2:2" ht="17.25">
      <c r="B508" s="209"/>
    </row>
    <row r="509" spans="2:2" ht="17.25">
      <c r="B509" s="209"/>
    </row>
    <row r="510" spans="2:2" ht="17.25">
      <c r="B510" s="209"/>
    </row>
    <row r="511" spans="2:2" ht="17.25">
      <c r="B511" s="209"/>
    </row>
    <row r="512" spans="2:2" ht="17.25">
      <c r="B512" s="209"/>
    </row>
    <row r="513" spans="2:2" ht="17.25">
      <c r="B513" s="209"/>
    </row>
    <row r="514" spans="2:2" ht="17.25">
      <c r="B514" s="209"/>
    </row>
    <row r="515" spans="2:2" ht="17.25">
      <c r="B515" s="209"/>
    </row>
    <row r="516" spans="2:2" ht="17.25">
      <c r="B516" s="209"/>
    </row>
    <row r="517" spans="2:2" ht="17.25">
      <c r="B517" s="209"/>
    </row>
    <row r="518" spans="2:2" ht="17.25">
      <c r="B518" s="209"/>
    </row>
    <row r="519" spans="2:2" ht="17.25">
      <c r="B519" s="209"/>
    </row>
    <row r="520" spans="2:2" ht="17.25">
      <c r="B520" s="209"/>
    </row>
    <row r="521" spans="2:2" ht="17.25">
      <c r="B521" s="209"/>
    </row>
    <row r="522" spans="2:2" ht="17.25">
      <c r="B522" s="209"/>
    </row>
    <row r="523" spans="2:2" ht="17.25">
      <c r="B523" s="209"/>
    </row>
    <row r="524" spans="2:2" ht="17.25">
      <c r="B524" s="209"/>
    </row>
    <row r="525" spans="2:2" ht="17.25">
      <c r="B525" s="209"/>
    </row>
    <row r="526" spans="2:2" ht="17.25">
      <c r="B526" s="209"/>
    </row>
    <row r="527" spans="2:2" ht="17.25">
      <c r="B527" s="209"/>
    </row>
    <row r="528" spans="2:2" ht="17.25">
      <c r="B528" s="209"/>
    </row>
    <row r="529" spans="2:2" ht="17.25">
      <c r="B529" s="209"/>
    </row>
    <row r="530" spans="2:2" ht="17.25">
      <c r="B530" s="209"/>
    </row>
    <row r="531" spans="2:2" ht="17.25">
      <c r="B531" s="209"/>
    </row>
    <row r="532" spans="2:2" ht="17.25">
      <c r="B532" s="209"/>
    </row>
    <row r="533" spans="2:2" ht="17.25">
      <c r="B533" s="209"/>
    </row>
    <row r="534" spans="2:2" ht="17.25">
      <c r="B534" s="209"/>
    </row>
    <row r="535" spans="2:2" ht="17.25">
      <c r="B535" s="209"/>
    </row>
    <row r="536" spans="2:2" ht="17.25">
      <c r="B536" s="209"/>
    </row>
    <row r="537" spans="2:2" ht="17.25">
      <c r="B537" s="209"/>
    </row>
    <row r="538" spans="2:2" ht="17.25">
      <c r="B538" s="209"/>
    </row>
    <row r="539" spans="2:2" ht="17.25">
      <c r="B539" s="209"/>
    </row>
    <row r="540" spans="2:2" ht="17.25">
      <c r="B540" s="209"/>
    </row>
    <row r="541" spans="2:2" ht="17.25">
      <c r="B541" s="209"/>
    </row>
    <row r="542" spans="2:2" ht="17.25">
      <c r="B542" s="209"/>
    </row>
    <row r="543" spans="2:2" ht="17.25">
      <c r="B543" s="209"/>
    </row>
    <row r="544" spans="2:2" ht="17.25">
      <c r="B544" s="209"/>
    </row>
    <row r="545" spans="2:2" ht="17.25">
      <c r="B545" s="209"/>
    </row>
    <row r="546" spans="2:2" ht="17.25">
      <c r="B546" s="209"/>
    </row>
    <row r="547" spans="2:2" ht="17.25">
      <c r="B547" s="209"/>
    </row>
    <row r="548" spans="2:2" ht="17.25">
      <c r="B548" s="209"/>
    </row>
    <row r="549" spans="2:2" ht="17.25">
      <c r="B549" s="209"/>
    </row>
    <row r="550" spans="2:2" ht="17.25">
      <c r="B550" s="209"/>
    </row>
    <row r="551" spans="2:2" ht="17.25">
      <c r="B551" s="209"/>
    </row>
    <row r="552" spans="2:2" ht="17.25">
      <c r="B552" s="209"/>
    </row>
    <row r="553" spans="2:2" ht="17.25">
      <c r="B553" s="209"/>
    </row>
    <row r="554" spans="2:2" ht="17.25">
      <c r="B554" s="209"/>
    </row>
    <row r="555" spans="2:2" ht="17.25">
      <c r="B555" s="209"/>
    </row>
    <row r="556" spans="2:2" ht="17.25">
      <c r="B556" s="209"/>
    </row>
    <row r="557" spans="2:2" ht="17.25">
      <c r="B557" s="209"/>
    </row>
    <row r="558" spans="2:2" ht="17.25">
      <c r="B558" s="209"/>
    </row>
    <row r="559" spans="2:2" ht="17.25">
      <c r="B559" s="209"/>
    </row>
    <row r="560" spans="2:2" ht="17.25">
      <c r="B560" s="209"/>
    </row>
    <row r="561" spans="2:2" ht="17.25">
      <c r="B561" s="209"/>
    </row>
    <row r="562" spans="2:2" ht="17.25">
      <c r="B562" s="209"/>
    </row>
    <row r="563" spans="2:2" ht="17.25">
      <c r="B563" s="209"/>
    </row>
    <row r="564" spans="2:2" ht="17.25">
      <c r="B564" s="209"/>
    </row>
    <row r="565" spans="2:2" ht="17.25">
      <c r="B565" s="209"/>
    </row>
    <row r="566" spans="2:2" ht="17.25">
      <c r="B566" s="209"/>
    </row>
    <row r="567" spans="2:2" ht="17.25">
      <c r="B567" s="209"/>
    </row>
    <row r="568" spans="2:2" ht="17.25">
      <c r="B568" s="209"/>
    </row>
    <row r="569" spans="2:2" ht="17.25">
      <c r="B569" s="209"/>
    </row>
    <row r="570" spans="2:2" ht="17.25">
      <c r="B570" s="209"/>
    </row>
    <row r="571" spans="2:2" ht="17.25">
      <c r="B571" s="209"/>
    </row>
    <row r="572" spans="2:2" ht="17.25">
      <c r="B572" s="209"/>
    </row>
    <row r="573" spans="2:2" ht="17.25">
      <c r="B573" s="209"/>
    </row>
    <row r="574" spans="2:2" ht="17.25">
      <c r="B574" s="209"/>
    </row>
    <row r="575" spans="2:2" ht="17.25">
      <c r="B575" s="209"/>
    </row>
    <row r="576" spans="2:2" ht="17.25">
      <c r="B576" s="209"/>
    </row>
    <row r="577" spans="2:2" ht="17.25">
      <c r="B577" s="209"/>
    </row>
    <row r="578" spans="2:2" ht="17.25">
      <c r="B578" s="209"/>
    </row>
    <row r="579" spans="2:2" ht="17.25">
      <c r="B579" s="209"/>
    </row>
    <row r="580" spans="2:2" ht="17.25">
      <c r="B580" s="209"/>
    </row>
    <row r="581" spans="2:2" ht="17.25">
      <c r="B581" s="209"/>
    </row>
    <row r="582" spans="2:2" ht="17.25">
      <c r="B582" s="209"/>
    </row>
    <row r="583" spans="2:2" ht="17.25">
      <c r="B583" s="209"/>
    </row>
    <row r="584" spans="2:2" ht="17.25">
      <c r="B584" s="209"/>
    </row>
    <row r="585" spans="2:2" ht="17.25">
      <c r="B585" s="209"/>
    </row>
    <row r="586" spans="2:2" ht="17.25">
      <c r="B586" s="209"/>
    </row>
    <row r="587" spans="2:2" ht="17.25">
      <c r="B587" s="209"/>
    </row>
    <row r="588" spans="2:2" ht="17.25">
      <c r="B588" s="209"/>
    </row>
    <row r="589" spans="2:2" ht="17.25">
      <c r="B589" s="209"/>
    </row>
    <row r="590" spans="2:2" ht="17.25">
      <c r="B590" s="209"/>
    </row>
    <row r="591" spans="2:2" ht="17.25">
      <c r="B591" s="209"/>
    </row>
    <row r="592" spans="2:2" ht="17.25">
      <c r="B592" s="209"/>
    </row>
    <row r="593" spans="2:2" ht="17.25">
      <c r="B593" s="209"/>
    </row>
    <row r="594" spans="2:2" ht="17.25">
      <c r="B594" s="209"/>
    </row>
    <row r="595" spans="2:2" ht="17.25">
      <c r="B595" s="209"/>
    </row>
    <row r="596" spans="2:2" ht="17.25">
      <c r="B596" s="209"/>
    </row>
    <row r="597" spans="2:2" ht="17.25">
      <c r="B597" s="209"/>
    </row>
    <row r="598" spans="2:2" ht="17.25">
      <c r="B598" s="209"/>
    </row>
    <row r="599" spans="2:2" ht="17.25">
      <c r="B599" s="209"/>
    </row>
    <row r="600" spans="2:2" ht="17.25">
      <c r="B600" s="209"/>
    </row>
    <row r="601" spans="2:2" ht="17.25">
      <c r="B601" s="209"/>
    </row>
    <row r="602" spans="2:2" ht="17.25">
      <c r="B602" s="209"/>
    </row>
    <row r="603" spans="2:2" ht="17.25">
      <c r="B603" s="209"/>
    </row>
    <row r="604" spans="2:2" ht="17.25">
      <c r="B604" s="209"/>
    </row>
    <row r="605" spans="2:2" ht="17.25">
      <c r="B605" s="209"/>
    </row>
    <row r="606" spans="2:2" ht="17.25">
      <c r="B606" s="209"/>
    </row>
    <row r="607" spans="2:2" ht="17.25">
      <c r="B607" s="209"/>
    </row>
    <row r="608" spans="2:2" ht="17.25">
      <c r="B608" s="209"/>
    </row>
    <row r="609" spans="2:2" ht="17.25">
      <c r="B609" s="209"/>
    </row>
    <row r="610" spans="2:2" ht="17.25">
      <c r="B610" s="209"/>
    </row>
    <row r="611" spans="2:2" ht="17.25">
      <c r="B611" s="209"/>
    </row>
    <row r="612" spans="2:2" ht="17.25">
      <c r="B612" s="209"/>
    </row>
    <row r="613" spans="2:2" ht="17.25">
      <c r="B613" s="209"/>
    </row>
    <row r="614" spans="2:2" ht="17.25">
      <c r="B614" s="209"/>
    </row>
    <row r="615" spans="2:2" ht="17.25">
      <c r="B615" s="209"/>
    </row>
    <row r="616" spans="2:2" ht="17.25">
      <c r="B616" s="209"/>
    </row>
    <row r="617" spans="2:2" ht="17.25">
      <c r="B617" s="209"/>
    </row>
    <row r="618" spans="2:2" ht="17.25">
      <c r="B618" s="209"/>
    </row>
    <row r="619" spans="2:2" ht="17.25">
      <c r="B619" s="209"/>
    </row>
    <row r="620" spans="2:2" ht="17.25">
      <c r="B620" s="209"/>
    </row>
    <row r="621" spans="2:2" ht="17.25">
      <c r="B621" s="209"/>
    </row>
    <row r="622" spans="2:2" ht="17.25">
      <c r="B622" s="209"/>
    </row>
    <row r="623" spans="2:2" ht="17.25">
      <c r="B623" s="209"/>
    </row>
    <row r="624" spans="2:2" ht="17.25">
      <c r="B624" s="209"/>
    </row>
    <row r="625" spans="2:2" ht="17.25">
      <c r="B625" s="209"/>
    </row>
    <row r="626" spans="2:2" ht="17.25">
      <c r="B626" s="209"/>
    </row>
    <row r="627" spans="2:2" ht="17.25">
      <c r="B627" s="209"/>
    </row>
    <row r="628" spans="2:2" ht="17.25">
      <c r="B628" s="209"/>
    </row>
    <row r="629" spans="2:2" ht="17.25">
      <c r="B629" s="209"/>
    </row>
    <row r="630" spans="2:2" ht="17.25">
      <c r="B630" s="209"/>
    </row>
    <row r="631" spans="2:2" ht="17.25">
      <c r="B631" s="209"/>
    </row>
    <row r="632" spans="2:2" ht="17.25">
      <c r="B632" s="209"/>
    </row>
    <row r="633" spans="2:2" ht="17.25">
      <c r="B633" s="209"/>
    </row>
    <row r="634" spans="2:2" ht="17.25">
      <c r="B634" s="209"/>
    </row>
    <row r="635" spans="2:2" ht="17.25">
      <c r="B635" s="209"/>
    </row>
    <row r="636" spans="2:2" ht="17.25">
      <c r="B636" s="209"/>
    </row>
    <row r="637" spans="2:2" ht="17.25">
      <c r="B637" s="209"/>
    </row>
    <row r="638" spans="2:2" ht="17.25">
      <c r="B638" s="209"/>
    </row>
    <row r="639" spans="2:2" ht="17.25">
      <c r="B639" s="209"/>
    </row>
    <row r="640" spans="2:2" ht="17.25">
      <c r="B640" s="209"/>
    </row>
    <row r="641" spans="2:2" ht="17.25">
      <c r="B641" s="209"/>
    </row>
    <row r="642" spans="2:2" ht="17.25">
      <c r="B642" s="209"/>
    </row>
    <row r="643" spans="2:2" ht="17.25">
      <c r="B643" s="209"/>
    </row>
    <row r="644" spans="2:2" ht="17.25">
      <c r="B644" s="209"/>
    </row>
    <row r="645" spans="2:2" ht="17.25">
      <c r="B645" s="209"/>
    </row>
    <row r="646" spans="2:2" ht="17.25">
      <c r="B646" s="209"/>
    </row>
    <row r="647" spans="2:2" ht="17.25">
      <c r="B647" s="209"/>
    </row>
    <row r="648" spans="2:2" ht="17.25">
      <c r="B648" s="209"/>
    </row>
    <row r="649" spans="2:2" ht="17.25">
      <c r="B649" s="209"/>
    </row>
    <row r="650" spans="2:2" ht="17.25">
      <c r="B650" s="209"/>
    </row>
    <row r="651" spans="2:2" ht="17.25">
      <c r="B651" s="209"/>
    </row>
    <row r="652" spans="2:2" ht="17.25">
      <c r="B652" s="209"/>
    </row>
    <row r="653" spans="2:2" ht="17.25">
      <c r="B653" s="209"/>
    </row>
    <row r="654" spans="2:2" ht="17.25">
      <c r="B654" s="209"/>
    </row>
    <row r="655" spans="2:2" ht="17.25">
      <c r="B655" s="209"/>
    </row>
    <row r="656" spans="2:2" ht="17.25">
      <c r="B656" s="209"/>
    </row>
    <row r="657" spans="2:2" ht="17.25">
      <c r="B657" s="209"/>
    </row>
    <row r="658" spans="2:2" ht="17.25">
      <c r="B658" s="209"/>
    </row>
    <row r="659" spans="2:2" ht="17.25">
      <c r="B659" s="209"/>
    </row>
    <row r="660" spans="2:2" ht="17.25">
      <c r="B660" s="209"/>
    </row>
    <row r="661" spans="2:2" ht="17.25">
      <c r="B661" s="209"/>
    </row>
    <row r="662" spans="2:2" ht="17.25">
      <c r="B662" s="209"/>
    </row>
    <row r="663" spans="2:2" ht="17.25">
      <c r="B663" s="209"/>
    </row>
    <row r="664" spans="2:2" ht="17.25">
      <c r="B664" s="209"/>
    </row>
    <row r="665" spans="2:2" ht="17.25">
      <c r="B665" s="209"/>
    </row>
    <row r="666" spans="2:2" ht="17.25">
      <c r="B666" s="209"/>
    </row>
    <row r="667" spans="2:2" ht="17.25">
      <c r="B667" s="209"/>
    </row>
    <row r="668" spans="2:2" ht="17.25">
      <c r="B668" s="209"/>
    </row>
    <row r="669" spans="2:2" ht="17.25">
      <c r="B669" s="209"/>
    </row>
    <row r="670" spans="2:2" ht="17.25">
      <c r="B670" s="209"/>
    </row>
    <row r="671" spans="2:2" ht="17.25">
      <c r="B671" s="209"/>
    </row>
    <row r="672" spans="2:2" ht="17.25">
      <c r="B672" s="209"/>
    </row>
    <row r="673" spans="2:2" ht="17.25">
      <c r="B673" s="209"/>
    </row>
    <row r="674" spans="2:2" ht="17.25">
      <c r="B674" s="209"/>
    </row>
    <row r="675" spans="2:2" ht="17.25">
      <c r="B675" s="209"/>
    </row>
    <row r="676" spans="2:2" ht="17.25">
      <c r="B676" s="209"/>
    </row>
    <row r="677" spans="2:2" ht="17.25">
      <c r="B677" s="209"/>
    </row>
    <row r="678" spans="2:2" ht="17.25">
      <c r="B678" s="209"/>
    </row>
    <row r="679" spans="2:2" ht="17.25">
      <c r="B679" s="209"/>
    </row>
    <row r="680" spans="2:2" ht="17.25">
      <c r="B680" s="209"/>
    </row>
    <row r="681" spans="2:2" ht="17.25">
      <c r="B681" s="209"/>
    </row>
    <row r="682" spans="2:2" ht="17.25">
      <c r="B682" s="209"/>
    </row>
    <row r="683" spans="2:2" ht="17.25">
      <c r="B683" s="209"/>
    </row>
    <row r="684" spans="2:2" ht="17.25">
      <c r="B684" s="209"/>
    </row>
    <row r="685" spans="2:2" ht="17.25">
      <c r="B685" s="209"/>
    </row>
    <row r="686" spans="2:2" ht="17.25">
      <c r="B686" s="209"/>
    </row>
    <row r="687" spans="2:2" ht="17.25">
      <c r="B687" s="209"/>
    </row>
    <row r="688" spans="2:2" ht="17.25">
      <c r="B688" s="209"/>
    </row>
    <row r="689" spans="2:2" ht="17.25">
      <c r="B689" s="209"/>
    </row>
    <row r="690" spans="2:2" ht="17.25">
      <c r="B690" s="209"/>
    </row>
    <row r="691" spans="2:2" ht="17.25">
      <c r="B691" s="209"/>
    </row>
    <row r="692" spans="2:2" ht="17.25">
      <c r="B692" s="209"/>
    </row>
    <row r="693" spans="2:2" ht="17.25">
      <c r="B693" s="209"/>
    </row>
    <row r="694" spans="2:2" ht="17.25">
      <c r="B694" s="209"/>
    </row>
    <row r="695" spans="2:2" ht="17.25">
      <c r="B695" s="209"/>
    </row>
    <row r="696" spans="2:2" ht="17.25">
      <c r="B696" s="209"/>
    </row>
    <row r="697" spans="2:2" ht="17.25">
      <c r="B697" s="209"/>
    </row>
    <row r="698" spans="2:2" ht="17.25">
      <c r="B698" s="209"/>
    </row>
    <row r="699" spans="2:2" ht="17.25">
      <c r="B699" s="209"/>
    </row>
    <row r="700" spans="2:2" ht="17.25">
      <c r="B700" s="209"/>
    </row>
    <row r="701" spans="2:2" ht="17.25">
      <c r="B701" s="209"/>
    </row>
    <row r="702" spans="2:2" ht="17.25">
      <c r="B702" s="209"/>
    </row>
    <row r="703" spans="2:2" ht="17.25">
      <c r="B703" s="209"/>
    </row>
    <row r="704" spans="2:2" ht="17.25">
      <c r="B704" s="209"/>
    </row>
    <row r="705" spans="2:2" ht="17.25">
      <c r="B705" s="209"/>
    </row>
    <row r="706" spans="2:2" ht="17.25">
      <c r="B706" s="209"/>
    </row>
    <row r="707" spans="2:2" ht="17.25">
      <c r="B707" s="209"/>
    </row>
    <row r="708" spans="2:2" ht="17.25">
      <c r="B708" s="209"/>
    </row>
    <row r="709" spans="2:2" ht="17.25">
      <c r="B709" s="209"/>
    </row>
    <row r="710" spans="2:2" ht="17.25">
      <c r="B710" s="209"/>
    </row>
    <row r="711" spans="2:2" ht="17.25">
      <c r="B711" s="209"/>
    </row>
    <row r="712" spans="2:2" ht="17.25">
      <c r="B712" s="209"/>
    </row>
    <row r="713" spans="2:2" ht="17.25">
      <c r="B713" s="209"/>
    </row>
    <row r="714" spans="2:2" ht="17.25">
      <c r="B714" s="209"/>
    </row>
    <row r="715" spans="2:2" ht="17.25">
      <c r="B715" s="209"/>
    </row>
    <row r="716" spans="2:2" ht="17.25">
      <c r="B716" s="209"/>
    </row>
    <row r="717" spans="2:2" ht="17.25">
      <c r="B717" s="209"/>
    </row>
    <row r="718" spans="2:2" ht="17.25">
      <c r="B718" s="209"/>
    </row>
    <row r="719" spans="2:2" ht="17.25">
      <c r="B719" s="209"/>
    </row>
    <row r="720" spans="2:2" ht="17.25">
      <c r="B720" s="209"/>
    </row>
    <row r="721" spans="2:2" ht="17.25">
      <c r="B721" s="209"/>
    </row>
    <row r="722" spans="2:2" ht="17.25">
      <c r="B722" s="209"/>
    </row>
    <row r="723" spans="2:2" ht="17.25">
      <c r="B723" s="209"/>
    </row>
    <row r="724" spans="2:2" ht="17.25">
      <c r="B724" s="209"/>
    </row>
    <row r="725" spans="2:2" ht="17.25">
      <c r="B725" s="209"/>
    </row>
    <row r="726" spans="2:2" ht="17.25">
      <c r="B726" s="209"/>
    </row>
    <row r="727" spans="2:2" ht="17.25">
      <c r="B727" s="209"/>
    </row>
    <row r="728" spans="2:2" ht="17.25">
      <c r="B728" s="209"/>
    </row>
    <row r="729" spans="2:2" ht="17.25">
      <c r="B729" s="209"/>
    </row>
    <row r="730" spans="2:2" ht="17.25">
      <c r="B730" s="209"/>
    </row>
    <row r="731" spans="2:2" ht="17.25">
      <c r="B731" s="209"/>
    </row>
    <row r="732" spans="2:2" ht="17.25">
      <c r="B732" s="209"/>
    </row>
    <row r="733" spans="2:2" ht="17.25">
      <c r="B733" s="209"/>
    </row>
    <row r="734" spans="2:2" ht="17.25">
      <c r="B734" s="209"/>
    </row>
    <row r="735" spans="2:2" ht="17.25">
      <c r="B735" s="209"/>
    </row>
    <row r="736" spans="2:2" ht="17.25">
      <c r="B736" s="209"/>
    </row>
    <row r="737" spans="2:2" ht="17.25">
      <c r="B737" s="209"/>
    </row>
    <row r="738" spans="2:2" ht="17.25">
      <c r="B738" s="209"/>
    </row>
    <row r="739" spans="2:2" ht="17.25">
      <c r="B739" s="209"/>
    </row>
    <row r="740" spans="2:2" ht="17.25">
      <c r="B740" s="209"/>
    </row>
    <row r="741" spans="2:2" ht="17.25">
      <c r="B741" s="209"/>
    </row>
    <row r="742" spans="2:2" ht="17.25">
      <c r="B742" s="209"/>
    </row>
    <row r="743" spans="2:2" ht="17.25">
      <c r="B743" s="209"/>
    </row>
    <row r="744" spans="2:2" ht="17.25">
      <c r="B744" s="209"/>
    </row>
    <row r="745" spans="2:2" ht="17.25">
      <c r="B745" s="209"/>
    </row>
    <row r="746" spans="2:2" ht="17.25">
      <c r="B746" s="209"/>
    </row>
    <row r="747" spans="2:2" ht="17.25">
      <c r="B747" s="209"/>
    </row>
    <row r="748" spans="2:2" ht="17.25">
      <c r="B748" s="209"/>
    </row>
    <row r="749" spans="2:2" ht="17.25">
      <c r="B749" s="209"/>
    </row>
    <row r="750" spans="2:2" ht="17.25">
      <c r="B750" s="209"/>
    </row>
    <row r="751" spans="2:2" ht="17.25">
      <c r="B751" s="209"/>
    </row>
    <row r="752" spans="2:2" ht="17.25">
      <c r="B752" s="209"/>
    </row>
    <row r="753" spans="2:2" ht="17.25">
      <c r="B753" s="209"/>
    </row>
    <row r="754" spans="2:2" ht="17.25">
      <c r="B754" s="209"/>
    </row>
    <row r="755" spans="2:2" ht="17.25">
      <c r="B755" s="209"/>
    </row>
    <row r="756" spans="2:2" ht="17.25">
      <c r="B756" s="209"/>
    </row>
    <row r="757" spans="2:2" ht="17.25">
      <c r="B757" s="209"/>
    </row>
    <row r="758" spans="2:2" ht="17.25">
      <c r="B758" s="209"/>
    </row>
    <row r="759" spans="2:2" ht="17.25">
      <c r="B759" s="209"/>
    </row>
    <row r="760" spans="2:2" ht="17.25">
      <c r="B760" s="209"/>
    </row>
    <row r="761" spans="2:2" ht="17.25">
      <c r="B761" s="209"/>
    </row>
    <row r="762" spans="2:2" ht="17.25">
      <c r="B762" s="209"/>
    </row>
    <row r="763" spans="2:2" ht="17.25">
      <c r="B763" s="209"/>
    </row>
    <row r="764" spans="2:2" ht="17.25">
      <c r="B764" s="209"/>
    </row>
    <row r="765" spans="2:2" ht="17.25">
      <c r="B765" s="209"/>
    </row>
    <row r="766" spans="2:2" ht="17.25">
      <c r="B766" s="209"/>
    </row>
    <row r="767" spans="2:2" ht="17.25">
      <c r="B767" s="209"/>
    </row>
    <row r="768" spans="2:2" ht="17.25">
      <c r="B768" s="209"/>
    </row>
    <row r="769" spans="2:2" ht="17.25">
      <c r="B769" s="209"/>
    </row>
    <row r="770" spans="2:2" ht="17.25">
      <c r="B770" s="209"/>
    </row>
    <row r="771" spans="2:2" ht="17.25">
      <c r="B771" s="209"/>
    </row>
    <row r="772" spans="2:2" ht="17.25">
      <c r="B772" s="209"/>
    </row>
    <row r="773" spans="2:2" ht="17.25">
      <c r="B773" s="209"/>
    </row>
    <row r="774" spans="2:2" ht="17.25">
      <c r="B774" s="209"/>
    </row>
    <row r="775" spans="2:2" ht="17.25">
      <c r="B775" s="209"/>
    </row>
    <row r="776" spans="2:2" ht="17.25">
      <c r="B776" s="209"/>
    </row>
    <row r="777" spans="2:2" ht="17.25">
      <c r="B777" s="209"/>
    </row>
    <row r="778" spans="2:2" ht="17.25">
      <c r="B778" s="209"/>
    </row>
    <row r="779" spans="2:2" ht="17.25">
      <c r="B779" s="209"/>
    </row>
    <row r="780" spans="2:2" ht="17.25">
      <c r="B780" s="209"/>
    </row>
    <row r="781" spans="2:2" ht="17.25">
      <c r="B781" s="209"/>
    </row>
    <row r="782" spans="2:2" ht="17.25">
      <c r="B782" s="209"/>
    </row>
    <row r="783" spans="2:2" ht="17.25">
      <c r="B783" s="209"/>
    </row>
    <row r="784" spans="2:2" ht="17.25">
      <c r="B784" s="209"/>
    </row>
    <row r="785" spans="2:2" ht="17.25">
      <c r="B785" s="209"/>
    </row>
    <row r="786" spans="2:2" ht="17.25">
      <c r="B786" s="209"/>
    </row>
    <row r="787" spans="2:2" ht="17.25">
      <c r="B787" s="209"/>
    </row>
    <row r="788" spans="2:2" ht="17.25">
      <c r="B788" s="209"/>
    </row>
    <row r="789" spans="2:2" ht="17.25">
      <c r="B789" s="209"/>
    </row>
    <row r="790" spans="2:2" ht="17.25">
      <c r="B790" s="209"/>
    </row>
    <row r="791" spans="2:2" ht="17.25">
      <c r="B791" s="209"/>
    </row>
    <row r="792" spans="2:2" ht="17.25">
      <c r="B792" s="209"/>
    </row>
    <row r="793" spans="2:2" ht="17.25">
      <c r="B793" s="209"/>
    </row>
    <row r="794" spans="2:2" ht="17.25">
      <c r="B794" s="209"/>
    </row>
    <row r="795" spans="2:2" ht="17.25">
      <c r="B795" s="209"/>
    </row>
    <row r="796" spans="2:2" ht="17.25">
      <c r="B796" s="209"/>
    </row>
    <row r="797" spans="2:2" ht="17.25">
      <c r="B797" s="209"/>
    </row>
    <row r="798" spans="2:2" ht="17.25">
      <c r="B798" s="209"/>
    </row>
    <row r="799" spans="2:2" ht="17.25">
      <c r="B799" s="209"/>
    </row>
    <row r="800" spans="2:2" ht="17.25">
      <c r="B800" s="209"/>
    </row>
    <row r="801" spans="2:2" ht="17.25">
      <c r="B801" s="209"/>
    </row>
    <row r="802" spans="2:2" ht="17.25">
      <c r="B802" s="209"/>
    </row>
    <row r="803" spans="2:2" ht="17.25">
      <c r="B803" s="209"/>
    </row>
    <row r="804" spans="2:2" ht="17.25">
      <c r="B804" s="209"/>
    </row>
    <row r="805" spans="2:2" ht="17.25">
      <c r="B805" s="209"/>
    </row>
    <row r="806" spans="2:2" ht="17.25">
      <c r="B806" s="209"/>
    </row>
    <row r="807" spans="2:2" ht="17.25">
      <c r="B807" s="209"/>
    </row>
    <row r="808" spans="2:2" ht="17.25">
      <c r="B808" s="209"/>
    </row>
    <row r="809" spans="2:2" ht="17.25">
      <c r="B809" s="209"/>
    </row>
    <row r="810" spans="2:2" ht="17.25">
      <c r="B810" s="209"/>
    </row>
    <row r="811" spans="2:2" ht="17.25">
      <c r="B811" s="209"/>
    </row>
    <row r="812" spans="2:2" ht="17.25">
      <c r="B812" s="209"/>
    </row>
    <row r="813" spans="2:2" ht="17.25">
      <c r="B813" s="209"/>
    </row>
    <row r="814" spans="2:2" ht="17.25">
      <c r="B814" s="209"/>
    </row>
    <row r="815" spans="2:2" ht="17.25">
      <c r="B815" s="209"/>
    </row>
    <row r="816" spans="2:2" ht="17.25">
      <c r="B816" s="209"/>
    </row>
    <row r="817" spans="2:2" ht="17.25">
      <c r="B817" s="209"/>
    </row>
    <row r="818" spans="2:2" ht="17.25">
      <c r="B818" s="209"/>
    </row>
    <row r="819" spans="2:2" ht="17.25">
      <c r="B819" s="209"/>
    </row>
    <row r="820" spans="2:2" ht="17.25">
      <c r="B820" s="209"/>
    </row>
    <row r="821" spans="2:2" ht="17.25">
      <c r="B821" s="209"/>
    </row>
    <row r="822" spans="2:2" ht="17.25">
      <c r="B822" s="209"/>
    </row>
    <row r="823" spans="2:2" ht="17.25">
      <c r="B823" s="209"/>
    </row>
    <row r="824" spans="2:2" ht="17.25">
      <c r="B824" s="209"/>
    </row>
    <row r="825" spans="2:2" ht="17.25">
      <c r="B825" s="209"/>
    </row>
    <row r="826" spans="2:2" ht="17.25">
      <c r="B826" s="209"/>
    </row>
    <row r="827" spans="2:2" ht="17.25">
      <c r="B827" s="209"/>
    </row>
    <row r="828" spans="2:2" ht="17.25">
      <c r="B828" s="209"/>
    </row>
    <row r="829" spans="2:2" ht="17.25">
      <c r="B829" s="209"/>
    </row>
    <row r="830" spans="2:2" ht="17.25">
      <c r="B830" s="209"/>
    </row>
    <row r="831" spans="2:2" ht="17.25">
      <c r="B831" s="209"/>
    </row>
    <row r="832" spans="2:2" ht="17.25">
      <c r="B832" s="209"/>
    </row>
    <row r="833" spans="2:2" ht="17.25">
      <c r="B833" s="209"/>
    </row>
    <row r="834" spans="2:2" ht="17.25">
      <c r="B834" s="209"/>
    </row>
    <row r="835" spans="2:2" ht="17.25">
      <c r="B835" s="209"/>
    </row>
    <row r="836" spans="2:2" ht="17.25">
      <c r="B836" s="209"/>
    </row>
    <row r="837" spans="2:2" ht="17.25">
      <c r="B837" s="209"/>
    </row>
    <row r="838" spans="2:2" ht="17.25">
      <c r="B838" s="209"/>
    </row>
    <row r="839" spans="2:2" ht="17.25">
      <c r="B839" s="209"/>
    </row>
    <row r="840" spans="2:2" ht="17.25">
      <c r="B840" s="209"/>
    </row>
    <row r="841" spans="2:2" ht="17.25">
      <c r="B841" s="209"/>
    </row>
    <row r="842" spans="2:2" ht="17.25">
      <c r="B842" s="209"/>
    </row>
    <row r="843" spans="2:2" ht="17.25">
      <c r="B843" s="209"/>
    </row>
    <row r="844" spans="2:2" ht="17.25">
      <c r="B844" s="209"/>
    </row>
    <row r="845" spans="2:2" ht="17.25">
      <c r="B845" s="209"/>
    </row>
    <row r="846" spans="2:2" ht="17.25">
      <c r="B846" s="209"/>
    </row>
    <row r="847" spans="2:2" ht="17.25">
      <c r="B847" s="209"/>
    </row>
    <row r="848" spans="2:2" ht="17.25">
      <c r="B848" s="209"/>
    </row>
    <row r="849" spans="2:2" ht="17.25">
      <c r="B849" s="209"/>
    </row>
    <row r="850" spans="2:2" ht="17.25">
      <c r="B850" s="209"/>
    </row>
    <row r="851" spans="2:2" ht="17.25">
      <c r="B851" s="209"/>
    </row>
    <row r="852" spans="2:2" ht="17.25">
      <c r="B852" s="209"/>
    </row>
    <row r="853" spans="2:2" ht="17.25">
      <c r="B853" s="209"/>
    </row>
    <row r="854" spans="2:2" ht="17.25">
      <c r="B854" s="209"/>
    </row>
    <row r="855" spans="2:2" ht="17.25">
      <c r="B855" s="209"/>
    </row>
    <row r="856" spans="2:2" ht="17.25">
      <c r="B856" s="209"/>
    </row>
    <row r="857" spans="2:2" ht="17.25">
      <c r="B857" s="209"/>
    </row>
    <row r="858" spans="2:2" ht="17.25">
      <c r="B858" s="209"/>
    </row>
    <row r="859" spans="2:2" ht="17.25">
      <c r="B859" s="209"/>
    </row>
    <row r="860" spans="2:2" ht="17.25">
      <c r="B860" s="209"/>
    </row>
    <row r="861" spans="2:2" ht="17.25">
      <c r="B861" s="209"/>
    </row>
    <row r="862" spans="2:2" ht="17.25">
      <c r="B862" s="209"/>
    </row>
    <row r="863" spans="2:2" ht="17.25">
      <c r="B863" s="209"/>
    </row>
    <row r="864" spans="2:2" ht="17.25">
      <c r="B864" s="209"/>
    </row>
    <row r="865" spans="2:2" ht="17.25">
      <c r="B865" s="209"/>
    </row>
    <row r="866" spans="2:2" ht="17.25">
      <c r="B866" s="209"/>
    </row>
    <row r="867" spans="2:2" ht="17.25">
      <c r="B867" s="209"/>
    </row>
    <row r="868" spans="2:2" ht="17.25">
      <c r="B868" s="209"/>
    </row>
    <row r="869" spans="2:2" ht="17.25">
      <c r="B869" s="209"/>
    </row>
    <row r="870" spans="2:2" ht="17.25">
      <c r="B870" s="209"/>
    </row>
    <row r="871" spans="2:2" ht="17.25">
      <c r="B871" s="209"/>
    </row>
    <row r="872" spans="2:2" ht="17.25">
      <c r="B872" s="209"/>
    </row>
    <row r="873" spans="2:2" ht="17.25">
      <c r="B873" s="209"/>
    </row>
    <row r="874" spans="2:2" ht="17.25">
      <c r="B874" s="209"/>
    </row>
    <row r="875" spans="2:2" ht="17.25">
      <c r="B875" s="209"/>
    </row>
    <row r="876" spans="2:2" ht="17.25">
      <c r="B876" s="209"/>
    </row>
    <row r="877" spans="2:2" ht="17.25">
      <c r="B877" s="209"/>
    </row>
    <row r="878" spans="2:2" ht="17.25">
      <c r="B878" s="209"/>
    </row>
    <row r="879" spans="2:2" ht="17.25">
      <c r="B879" s="209"/>
    </row>
    <row r="880" spans="2:2" ht="17.25">
      <c r="B880" s="209"/>
    </row>
    <row r="881" spans="2:2" ht="17.25">
      <c r="B881" s="209"/>
    </row>
    <row r="882" spans="2:2" ht="17.25">
      <c r="B882" s="209"/>
    </row>
    <row r="883" spans="2:2" ht="17.25">
      <c r="B883" s="209"/>
    </row>
    <row r="884" spans="2:2" ht="17.25">
      <c r="B884" s="209"/>
    </row>
    <row r="885" spans="2:2" ht="17.25">
      <c r="B885" s="209"/>
    </row>
    <row r="886" spans="2:2" ht="17.25">
      <c r="B886" s="209"/>
    </row>
    <row r="887" spans="2:2" ht="17.25">
      <c r="B887" s="209"/>
    </row>
    <row r="888" spans="2:2" ht="17.25">
      <c r="B888" s="209"/>
    </row>
    <row r="889" spans="2:2" ht="17.25">
      <c r="B889" s="209"/>
    </row>
    <row r="890" spans="2:2" ht="17.25">
      <c r="B890" s="209"/>
    </row>
    <row r="891" spans="2:2" ht="17.25">
      <c r="B891" s="209"/>
    </row>
    <row r="892" spans="2:2" ht="17.25">
      <c r="B892" s="209"/>
    </row>
    <row r="893" spans="2:2" ht="17.25">
      <c r="B893" s="209"/>
    </row>
    <row r="894" spans="2:2" ht="17.25">
      <c r="B894" s="209"/>
    </row>
    <row r="895" spans="2:2" ht="17.25">
      <c r="B895" s="209"/>
    </row>
    <row r="896" spans="2:2" ht="17.25">
      <c r="B896" s="209"/>
    </row>
    <row r="897" spans="2:2" ht="17.25">
      <c r="B897" s="209"/>
    </row>
    <row r="898" spans="2:2" ht="17.25">
      <c r="B898" s="209"/>
    </row>
    <row r="899" spans="2:2" ht="17.25">
      <c r="B899" s="209"/>
    </row>
    <row r="900" spans="2:2" ht="17.25">
      <c r="B900" s="209"/>
    </row>
    <row r="901" spans="2:2" ht="17.25">
      <c r="B901" s="209"/>
    </row>
    <row r="902" spans="2:2" ht="17.25">
      <c r="B902" s="209"/>
    </row>
    <row r="903" spans="2:2" ht="17.25">
      <c r="B903" s="209"/>
    </row>
    <row r="904" spans="2:2" ht="17.25">
      <c r="B904" s="209"/>
    </row>
    <row r="905" spans="2:2" ht="17.25">
      <c r="B905" s="209"/>
    </row>
    <row r="906" spans="2:2" ht="17.25">
      <c r="B906" s="209"/>
    </row>
    <row r="907" spans="2:2" ht="17.25">
      <c r="B907" s="209"/>
    </row>
    <row r="908" spans="2:2" ht="17.25">
      <c r="B908" s="209"/>
    </row>
    <row r="909" spans="2:2" ht="17.25">
      <c r="B909" s="209"/>
    </row>
    <row r="910" spans="2:2" ht="17.25">
      <c r="B910" s="209"/>
    </row>
    <row r="911" spans="2:2" ht="17.25">
      <c r="B911" s="209"/>
    </row>
    <row r="912" spans="2:2" ht="17.25">
      <c r="B912" s="209"/>
    </row>
    <row r="913" spans="2:2" ht="17.25">
      <c r="B913" s="209"/>
    </row>
    <row r="914" spans="2:2" ht="17.25">
      <c r="B914" s="209"/>
    </row>
    <row r="915" spans="2:2" ht="17.25">
      <c r="B915" s="209"/>
    </row>
    <row r="916" spans="2:2" ht="17.25">
      <c r="B916" s="209"/>
    </row>
    <row r="917" spans="2:2" ht="17.25">
      <c r="B917" s="209"/>
    </row>
    <row r="918" spans="2:2" ht="17.25">
      <c r="B918" s="209"/>
    </row>
    <row r="919" spans="2:2" ht="17.25">
      <c r="B919" s="209"/>
    </row>
    <row r="920" spans="2:2" ht="17.25">
      <c r="B920" s="209"/>
    </row>
    <row r="921" spans="2:2" ht="17.25">
      <c r="B921" s="209"/>
    </row>
    <row r="922" spans="2:2" ht="17.25">
      <c r="B922" s="209"/>
    </row>
    <row r="923" spans="2:2" ht="17.25">
      <c r="B923" s="209"/>
    </row>
    <row r="924" spans="2:2" ht="17.25">
      <c r="B924" s="209"/>
    </row>
    <row r="925" spans="2:2" ht="17.25">
      <c r="B925" s="209"/>
    </row>
    <row r="926" spans="2:2" ht="17.25">
      <c r="B926" s="209"/>
    </row>
    <row r="927" spans="2:2" ht="17.25">
      <c r="B927" s="209"/>
    </row>
    <row r="928" spans="2:2" ht="17.25">
      <c r="B928" s="209"/>
    </row>
    <row r="929" spans="2:2" ht="17.25">
      <c r="B929" s="209"/>
    </row>
    <row r="930" spans="2:2" ht="17.25">
      <c r="B930" s="209"/>
    </row>
    <row r="931" spans="2:2" ht="17.25">
      <c r="B931" s="209"/>
    </row>
    <row r="932" spans="2:2" ht="17.25">
      <c r="B932" s="209"/>
    </row>
    <row r="933" spans="2:2" ht="17.25">
      <c r="B933" s="209"/>
    </row>
    <row r="934" spans="2:2" ht="17.25">
      <c r="B934" s="209"/>
    </row>
    <row r="935" spans="2:2" ht="17.25">
      <c r="B935" s="209"/>
    </row>
    <row r="936" spans="2:2" ht="17.25">
      <c r="B936" s="209"/>
    </row>
    <row r="937" spans="2:2" ht="17.25">
      <c r="B937" s="209"/>
    </row>
    <row r="938" spans="2:2" ht="17.25">
      <c r="B938" s="209"/>
    </row>
    <row r="939" spans="2:2" ht="17.25">
      <c r="B939" s="209"/>
    </row>
    <row r="940" spans="2:2" ht="17.25">
      <c r="B940" s="209"/>
    </row>
    <row r="941" spans="2:2" ht="17.25">
      <c r="B941" s="209"/>
    </row>
    <row r="942" spans="2:2" ht="17.25">
      <c r="B942" s="209"/>
    </row>
    <row r="943" spans="2:2" ht="17.25">
      <c r="B943" s="209"/>
    </row>
    <row r="944" spans="2:2" ht="17.25">
      <c r="B944" s="209"/>
    </row>
    <row r="945" spans="2:2" ht="17.25">
      <c r="B945" s="209"/>
    </row>
    <row r="946" spans="2:2" ht="17.25">
      <c r="B946" s="209"/>
    </row>
    <row r="947" spans="2:2" ht="17.25">
      <c r="B947" s="209"/>
    </row>
    <row r="948" spans="2:2" ht="17.25">
      <c r="B948" s="209"/>
    </row>
    <row r="949" spans="2:2" ht="17.25">
      <c r="B949" s="209"/>
    </row>
    <row r="950" spans="2:2" ht="17.25">
      <c r="B950" s="209"/>
    </row>
    <row r="951" spans="2:2" ht="17.25">
      <c r="B951" s="209"/>
    </row>
    <row r="952" spans="2:2" ht="17.25">
      <c r="B952" s="209"/>
    </row>
    <row r="953" spans="2:2" ht="17.25">
      <c r="B953" s="209"/>
    </row>
    <row r="954" spans="2:2" ht="17.25">
      <c r="B954" s="209"/>
    </row>
    <row r="955" spans="2:2" ht="17.25">
      <c r="B955" s="209"/>
    </row>
    <row r="956" spans="2:2" ht="17.25">
      <c r="B956" s="209"/>
    </row>
    <row r="957" spans="2:2" ht="17.25">
      <c r="B957" s="209"/>
    </row>
    <row r="958" spans="2:2" ht="17.25">
      <c r="B958" s="209"/>
    </row>
    <row r="959" spans="2:2" ht="17.25">
      <c r="B959" s="209"/>
    </row>
    <row r="960" spans="2:2" ht="17.25">
      <c r="B960" s="209"/>
    </row>
    <row r="961" spans="2:2" ht="17.25">
      <c r="B961" s="209"/>
    </row>
    <row r="962" spans="2:2" ht="17.25">
      <c r="B962" s="209"/>
    </row>
    <row r="963" spans="2:2" ht="17.25">
      <c r="B963" s="209"/>
    </row>
    <row r="964" spans="2:2" ht="17.25">
      <c r="B964" s="209"/>
    </row>
    <row r="965" spans="2:2" ht="17.25">
      <c r="B965" s="209"/>
    </row>
    <row r="966" spans="2:2" ht="17.25">
      <c r="B966" s="209"/>
    </row>
    <row r="967" spans="2:2" ht="17.25">
      <c r="B967" s="209"/>
    </row>
    <row r="968" spans="2:2" ht="17.25">
      <c r="B968" s="209"/>
    </row>
    <row r="969" spans="2:2" ht="17.25">
      <c r="B969" s="209"/>
    </row>
    <row r="970" spans="2:2" ht="17.25">
      <c r="B970" s="209"/>
    </row>
    <row r="971" spans="2:2" ht="17.25">
      <c r="B971" s="209"/>
    </row>
    <row r="972" spans="2:2" ht="17.25">
      <c r="B972" s="209"/>
    </row>
    <row r="973" spans="2:2" ht="17.25">
      <c r="B973" s="209"/>
    </row>
    <row r="974" spans="2:2" ht="17.25">
      <c r="B974" s="209"/>
    </row>
    <row r="975" spans="2:2" ht="17.25">
      <c r="B975" s="209"/>
    </row>
    <row r="976" spans="2:2" ht="17.25">
      <c r="B976" s="209"/>
    </row>
    <row r="977" spans="2:2" ht="17.25">
      <c r="B977" s="209"/>
    </row>
    <row r="978" spans="2:2" ht="17.25">
      <c r="B978" s="209"/>
    </row>
    <row r="979" spans="2:2" ht="17.25">
      <c r="B979" s="209"/>
    </row>
    <row r="980" spans="2:2" ht="17.25">
      <c r="B980" s="209"/>
    </row>
    <row r="981" spans="2:2" ht="17.25">
      <c r="B981" s="209"/>
    </row>
    <row r="982" spans="2:2" ht="17.25">
      <c r="B982" s="209"/>
    </row>
    <row r="983" spans="2:2" ht="17.25">
      <c r="B983" s="209"/>
    </row>
    <row r="984" spans="2:2" ht="17.25">
      <c r="B984" s="209"/>
    </row>
    <row r="985" spans="2:2" ht="17.25">
      <c r="B985" s="209"/>
    </row>
    <row r="986" spans="2:2" ht="17.25">
      <c r="B986" s="209"/>
    </row>
    <row r="987" spans="2:2" ht="17.25">
      <c r="B987" s="209"/>
    </row>
    <row r="988" spans="2:2" ht="17.25">
      <c r="B988" s="209"/>
    </row>
    <row r="989" spans="2:2" ht="17.25">
      <c r="B989" s="209"/>
    </row>
    <row r="990" spans="2:2" ht="17.25">
      <c r="B990" s="209"/>
    </row>
    <row r="991" spans="2:2" ht="17.25">
      <c r="B991" s="209"/>
    </row>
    <row r="992" spans="2:2" ht="17.25">
      <c r="B992" s="209"/>
    </row>
    <row r="993" spans="2:2" ht="17.25">
      <c r="B993" s="209"/>
    </row>
    <row r="994" spans="2:2" ht="17.25">
      <c r="B994" s="209"/>
    </row>
    <row r="995" spans="2:2" ht="17.25">
      <c r="B995" s="209"/>
    </row>
    <row r="996" spans="2:2" ht="17.25">
      <c r="B996" s="209"/>
    </row>
    <row r="997" spans="2:2" ht="17.25">
      <c r="B997" s="209"/>
    </row>
    <row r="998" spans="2:2" ht="17.25">
      <c r="B998" s="209"/>
    </row>
    <row r="999" spans="2:2" ht="17.25">
      <c r="B999" s="209"/>
    </row>
    <row r="1000" spans="2:2" ht="17.25">
      <c r="B1000" s="209"/>
    </row>
    <row r="1001" spans="2:2" ht="17.25">
      <c r="B1001" s="209"/>
    </row>
    <row r="1002" spans="2:2" ht="17.25">
      <c r="B1002" s="209"/>
    </row>
    <row r="1003" spans="2:2" ht="17.25">
      <c r="B1003" s="209"/>
    </row>
    <row r="1004" spans="2:2" ht="17.25">
      <c r="B1004" s="209"/>
    </row>
    <row r="1005" spans="2:2" ht="17.25">
      <c r="B1005" s="209"/>
    </row>
    <row r="1006" spans="2:2" ht="17.25">
      <c r="B1006" s="209"/>
    </row>
    <row r="1007" spans="2:2" ht="17.25">
      <c r="B1007" s="209"/>
    </row>
    <row r="1008" spans="2:2" ht="17.25">
      <c r="B1008" s="209"/>
    </row>
    <row r="1009" spans="2:2" ht="17.25">
      <c r="B1009" s="209"/>
    </row>
    <row r="1010" spans="2:2" ht="17.25">
      <c r="B1010" s="209"/>
    </row>
    <row r="1011" spans="2:2" ht="17.25">
      <c r="B1011" s="209"/>
    </row>
    <row r="1012" spans="2:2" ht="17.25">
      <c r="B1012" s="209"/>
    </row>
    <row r="1013" spans="2:2" ht="17.25">
      <c r="B1013" s="209"/>
    </row>
    <row r="1014" spans="2:2" ht="17.25">
      <c r="B1014" s="209"/>
    </row>
    <row r="1015" spans="2:2" ht="17.25">
      <c r="B1015" s="209"/>
    </row>
    <row r="1016" spans="2:2" ht="17.25">
      <c r="B1016" s="209"/>
    </row>
    <row r="1017" spans="2:2" ht="17.25">
      <c r="B1017" s="209"/>
    </row>
    <row r="1018" spans="2:2" ht="17.25">
      <c r="B1018" s="209"/>
    </row>
    <row r="1019" spans="2:2" ht="17.25">
      <c r="B1019" s="209"/>
    </row>
    <row r="1020" spans="2:2" ht="17.25">
      <c r="B1020" s="209"/>
    </row>
    <row r="1021" spans="2:2" ht="17.25">
      <c r="B1021" s="209"/>
    </row>
    <row r="1022" spans="2:2" ht="17.25">
      <c r="B1022" s="209"/>
    </row>
    <row r="1023" spans="2:2" ht="17.25">
      <c r="B1023" s="209"/>
    </row>
    <row r="1024" spans="2:2" ht="17.25">
      <c r="B1024" s="209"/>
    </row>
    <row r="1025" spans="2:2" ht="17.25">
      <c r="B1025" s="209"/>
    </row>
    <row r="1026" spans="2:2" ht="17.25">
      <c r="B1026" s="209"/>
    </row>
    <row r="1027" spans="2:2" ht="17.25">
      <c r="B1027" s="209"/>
    </row>
    <row r="1028" spans="2:2" ht="17.25">
      <c r="B1028" s="209"/>
    </row>
    <row r="1029" spans="2:2" ht="17.25">
      <c r="B1029" s="209"/>
    </row>
    <row r="1030" spans="2:2" ht="17.25">
      <c r="B1030" s="209"/>
    </row>
    <row r="1031" spans="2:2" ht="17.25">
      <c r="B1031" s="209"/>
    </row>
    <row r="1032" spans="2:2" ht="17.25">
      <c r="B1032" s="209"/>
    </row>
    <row r="1033" spans="2:2" ht="17.25">
      <c r="B1033" s="209"/>
    </row>
    <row r="1034" spans="2:2" ht="17.25">
      <c r="B1034" s="209"/>
    </row>
    <row r="1035" spans="2:2" ht="17.25">
      <c r="B1035" s="209"/>
    </row>
    <row r="1036" spans="2:2" ht="17.25">
      <c r="B1036" s="209"/>
    </row>
    <row r="1037" spans="2:2" ht="17.25">
      <c r="B1037" s="209"/>
    </row>
    <row r="1038" spans="2:2" ht="17.25">
      <c r="B1038" s="209"/>
    </row>
    <row r="1039" spans="2:2" ht="17.25">
      <c r="B1039" s="209"/>
    </row>
    <row r="1040" spans="2:2" ht="17.25">
      <c r="B1040" s="209"/>
    </row>
    <row r="1041" spans="2:2" ht="17.25">
      <c r="B1041" s="209"/>
    </row>
    <row r="1042" spans="2:2" ht="17.25">
      <c r="B1042" s="209"/>
    </row>
    <row r="1043" spans="2:2" ht="17.25">
      <c r="B1043" s="209"/>
    </row>
    <row r="1044" spans="2:2" ht="17.25">
      <c r="B1044" s="209"/>
    </row>
    <row r="1045" spans="2:2" ht="17.25">
      <c r="B1045" s="209"/>
    </row>
    <row r="1046" spans="2:2" ht="17.25">
      <c r="B1046" s="209"/>
    </row>
    <row r="1047" spans="2:2" ht="17.25">
      <c r="B1047" s="209"/>
    </row>
    <row r="1048" spans="2:2" ht="17.25">
      <c r="B1048" s="209"/>
    </row>
    <row r="1049" spans="2:2" ht="17.25">
      <c r="B1049" s="209"/>
    </row>
    <row r="1050" spans="2:2" ht="17.25">
      <c r="B1050" s="209"/>
    </row>
    <row r="1051" spans="2:2" ht="17.25">
      <c r="B1051" s="209"/>
    </row>
    <row r="1052" spans="2:2" ht="17.25">
      <c r="B1052" s="209"/>
    </row>
    <row r="1053" spans="2:2" ht="17.25">
      <c r="B1053" s="209"/>
    </row>
    <row r="1054" spans="2:2" ht="17.25">
      <c r="B1054" s="209"/>
    </row>
    <row r="1055" spans="2:2" ht="17.25">
      <c r="B1055" s="209"/>
    </row>
    <row r="1056" spans="2:2" ht="17.25">
      <c r="B1056" s="209"/>
    </row>
    <row r="1057" spans="2:2" ht="17.25">
      <c r="B1057" s="209"/>
    </row>
    <row r="1058" spans="2:2" ht="17.25">
      <c r="B1058" s="209"/>
    </row>
    <row r="1059" spans="2:2" ht="17.25">
      <c r="B1059" s="209"/>
    </row>
    <row r="1060" spans="2:2" ht="17.25">
      <c r="B1060" s="209"/>
    </row>
    <row r="1061" spans="2:2" ht="17.25">
      <c r="B1061" s="209"/>
    </row>
    <row r="1062" spans="2:2" ht="17.25">
      <c r="B1062" s="209"/>
    </row>
    <row r="1063" spans="2:2" ht="17.25">
      <c r="B1063" s="209"/>
    </row>
    <row r="1064" spans="2:2" ht="17.25">
      <c r="B1064" s="209"/>
    </row>
    <row r="1065" spans="2:2" ht="17.25">
      <c r="B1065" s="209"/>
    </row>
    <row r="1066" spans="2:2" ht="17.25">
      <c r="B1066" s="209"/>
    </row>
    <row r="1067" spans="2:2" ht="17.25">
      <c r="B1067" s="209"/>
    </row>
    <row r="1068" spans="2:2" ht="17.25">
      <c r="B1068" s="209"/>
    </row>
    <row r="1069" spans="2:2" ht="17.25">
      <c r="B1069" s="209"/>
    </row>
    <row r="1070" spans="2:2" ht="17.25">
      <c r="B1070" s="209"/>
    </row>
    <row r="1071" spans="2:2" ht="17.25">
      <c r="B1071" s="209"/>
    </row>
    <row r="1072" spans="2:2" ht="17.25">
      <c r="B1072" s="209"/>
    </row>
    <row r="1073" spans="2:2" ht="17.25">
      <c r="B1073" s="209"/>
    </row>
    <row r="1074" spans="2:2" ht="17.25">
      <c r="B1074" s="209"/>
    </row>
    <row r="1075" spans="2:2" ht="17.25">
      <c r="B1075" s="209"/>
    </row>
    <row r="1076" spans="2:2" ht="17.25">
      <c r="B1076" s="209"/>
    </row>
    <row r="1077" spans="2:2" ht="17.25">
      <c r="B1077" s="209"/>
    </row>
    <row r="1078" spans="2:2" ht="17.25">
      <c r="B1078" s="209"/>
    </row>
    <row r="1079" spans="2:2" ht="17.25">
      <c r="B1079" s="209"/>
    </row>
    <row r="1080" spans="2:2" ht="17.25">
      <c r="B1080" s="209"/>
    </row>
    <row r="1081" spans="2:2" ht="17.25">
      <c r="B1081" s="209"/>
    </row>
    <row r="1082" spans="2:2" ht="17.25">
      <c r="B1082" s="209"/>
    </row>
    <row r="1083" spans="2:2" ht="17.25">
      <c r="B1083" s="209"/>
    </row>
    <row r="1084" spans="2:2" ht="17.25">
      <c r="B1084" s="209"/>
    </row>
    <row r="1085" spans="2:2" ht="17.25">
      <c r="B1085" s="209"/>
    </row>
    <row r="1086" spans="2:2" ht="17.25">
      <c r="B1086" s="209"/>
    </row>
    <row r="1087" spans="2:2" ht="17.25">
      <c r="B1087" s="209"/>
    </row>
    <row r="1088" spans="2:2" ht="17.25">
      <c r="B1088" s="209"/>
    </row>
    <row r="1089" spans="2:2" ht="17.25">
      <c r="B1089" s="209"/>
    </row>
    <row r="1090" spans="2:2" ht="17.25">
      <c r="B1090" s="209"/>
    </row>
    <row r="1091" spans="2:2" ht="17.25">
      <c r="B1091" s="209"/>
    </row>
    <row r="1092" spans="2:2" ht="17.25">
      <c r="B1092" s="209"/>
    </row>
    <row r="1093" spans="2:2" ht="17.25">
      <c r="B1093" s="209"/>
    </row>
    <row r="1094" spans="2:2" ht="17.25">
      <c r="B1094" s="209"/>
    </row>
    <row r="1095" spans="2:2" ht="17.25">
      <c r="B1095" s="209"/>
    </row>
    <row r="1096" spans="2:2" ht="17.25">
      <c r="B1096" s="209"/>
    </row>
    <row r="1097" spans="2:2" ht="17.25">
      <c r="B1097" s="209"/>
    </row>
    <row r="1098" spans="2:2" ht="17.25">
      <c r="B1098" s="209"/>
    </row>
    <row r="1099" spans="2:2" ht="17.25">
      <c r="B1099" s="209"/>
    </row>
    <row r="1100" spans="2:2" ht="17.25">
      <c r="B1100" s="209"/>
    </row>
    <row r="1101" spans="2:2" ht="17.25">
      <c r="B1101" s="209"/>
    </row>
    <row r="1102" spans="2:2" ht="17.25">
      <c r="B1102" s="209"/>
    </row>
    <row r="1103" spans="2:2" ht="17.25">
      <c r="B1103" s="209"/>
    </row>
    <row r="1104" spans="2:2" ht="17.25">
      <c r="B1104" s="209"/>
    </row>
    <row r="1105" spans="2:2" ht="17.25">
      <c r="B1105" s="209"/>
    </row>
    <row r="1106" spans="2:2" ht="17.25">
      <c r="B1106" s="209"/>
    </row>
    <row r="1107" spans="2:2" ht="17.25">
      <c r="B1107" s="209"/>
    </row>
    <row r="1108" spans="2:2" ht="17.25">
      <c r="B1108" s="209"/>
    </row>
    <row r="1109" spans="2:2" ht="17.25">
      <c r="B1109" s="209"/>
    </row>
    <row r="1110" spans="2:2" ht="17.25">
      <c r="B1110" s="209"/>
    </row>
    <row r="1111" spans="2:2" ht="17.25">
      <c r="B1111" s="209"/>
    </row>
    <row r="1112" spans="2:2" ht="17.25">
      <c r="B1112" s="209"/>
    </row>
    <row r="1113" spans="2:2" ht="17.25">
      <c r="B1113" s="209"/>
    </row>
    <row r="1114" spans="2:2" ht="17.25">
      <c r="B1114" s="209"/>
    </row>
    <row r="1115" spans="2:2" ht="17.25">
      <c r="B1115" s="209"/>
    </row>
    <row r="1116" spans="2:2" ht="17.25">
      <c r="B1116" s="209"/>
    </row>
    <row r="1117" spans="2:2" ht="17.25">
      <c r="B1117" s="209"/>
    </row>
    <row r="1118" spans="2:2" ht="17.25">
      <c r="B1118" s="209"/>
    </row>
    <row r="1119" spans="2:2" ht="17.25">
      <c r="B1119" s="209"/>
    </row>
    <row r="1120" spans="2:2" ht="17.25">
      <c r="B1120" s="209"/>
    </row>
    <row r="1121" spans="2:2" ht="17.25">
      <c r="B1121" s="209"/>
    </row>
    <row r="1122" spans="2:2" ht="17.25">
      <c r="B1122" s="209"/>
    </row>
    <row r="1123" spans="2:2" ht="17.25">
      <c r="B1123" s="209"/>
    </row>
    <row r="1124" spans="2:2" ht="17.25">
      <c r="B1124" s="209"/>
    </row>
    <row r="1125" spans="2:2" ht="17.25">
      <c r="B1125" s="209"/>
    </row>
    <row r="1126" spans="2:2" ht="17.25">
      <c r="B1126" s="209"/>
    </row>
    <row r="1127" spans="2:2" ht="17.25">
      <c r="B1127" s="209"/>
    </row>
    <row r="1128" spans="2:2" ht="17.25">
      <c r="B1128" s="209"/>
    </row>
    <row r="1129" spans="2:2" ht="17.25">
      <c r="B1129" s="209"/>
    </row>
    <row r="1130" spans="2:2" ht="17.25">
      <c r="B1130" s="209"/>
    </row>
    <row r="1131" spans="2:2" ht="17.25">
      <c r="B1131" s="209"/>
    </row>
    <row r="1132" spans="2:2" ht="17.25">
      <c r="B1132" s="209"/>
    </row>
    <row r="1133" spans="2:2" ht="17.25">
      <c r="B1133" s="209"/>
    </row>
    <row r="1134" spans="2:2" ht="17.25">
      <c r="B1134" s="209"/>
    </row>
    <row r="1135" spans="2:2" ht="17.25">
      <c r="B1135" s="209"/>
    </row>
    <row r="1136" spans="2:2" ht="17.25">
      <c r="B1136" s="209"/>
    </row>
    <row r="1137" spans="2:2" ht="17.25">
      <c r="B1137" s="209"/>
    </row>
    <row r="1138" spans="2:2" ht="17.25">
      <c r="B1138" s="209"/>
    </row>
    <row r="1139" spans="2:2" ht="17.25">
      <c r="B1139" s="209"/>
    </row>
    <row r="1140" spans="2:2" ht="17.25">
      <c r="B1140" s="209"/>
    </row>
    <row r="1141" spans="2:2" ht="17.25">
      <c r="B1141" s="209"/>
    </row>
    <row r="1142" spans="2:2" ht="17.25">
      <c r="B1142" s="209"/>
    </row>
    <row r="1143" spans="2:2" ht="17.25">
      <c r="B1143" s="209"/>
    </row>
    <row r="1144" spans="2:2" ht="17.25">
      <c r="B1144" s="209"/>
    </row>
    <row r="1145" spans="2:2" ht="17.25">
      <c r="B1145" s="209"/>
    </row>
    <row r="1146" spans="2:2" ht="17.25">
      <c r="B1146" s="209"/>
    </row>
    <row r="1147" spans="2:2" ht="17.25">
      <c r="B1147" s="209"/>
    </row>
    <row r="1148" spans="2:2" ht="17.25">
      <c r="B1148" s="209"/>
    </row>
    <row r="1149" spans="2:2" ht="17.25">
      <c r="B1149" s="209"/>
    </row>
    <row r="1150" spans="2:2" ht="17.25">
      <c r="B1150" s="209"/>
    </row>
    <row r="1151" spans="2:2" ht="17.25">
      <c r="B1151" s="209"/>
    </row>
    <row r="1152" spans="2:2" ht="17.25">
      <c r="B1152" s="209"/>
    </row>
    <row r="1153" spans="2:2" ht="17.25">
      <c r="B1153" s="209"/>
    </row>
    <row r="1154" spans="2:2" ht="17.25">
      <c r="B1154" s="209"/>
    </row>
    <row r="1155" spans="2:2" ht="17.25">
      <c r="B1155" s="209"/>
    </row>
    <row r="1156" spans="2:2" ht="17.25">
      <c r="B1156" s="209"/>
    </row>
    <row r="1157" spans="2:2" ht="17.25">
      <c r="B1157" s="209"/>
    </row>
    <row r="1158" spans="2:2" ht="17.25">
      <c r="B1158" s="209"/>
    </row>
    <row r="1159" spans="2:2" ht="17.25">
      <c r="B1159" s="209"/>
    </row>
    <row r="1160" spans="2:2" ht="17.25">
      <c r="B1160" s="209"/>
    </row>
    <row r="1161" spans="2:2" ht="17.25">
      <c r="B1161" s="209"/>
    </row>
    <row r="1162" spans="2:2" ht="17.25">
      <c r="B1162" s="209"/>
    </row>
    <row r="1163" spans="2:2" ht="17.25">
      <c r="B1163" s="209"/>
    </row>
    <row r="1164" spans="2:2" ht="17.25">
      <c r="B1164" s="209"/>
    </row>
    <row r="1165" spans="2:2" ht="17.25">
      <c r="B1165" s="209"/>
    </row>
    <row r="1166" spans="2:2" ht="17.25">
      <c r="B1166" s="209"/>
    </row>
    <row r="1167" spans="2:2" ht="17.25">
      <c r="B1167" s="209"/>
    </row>
    <row r="1168" spans="2:2" ht="17.25">
      <c r="B1168" s="209"/>
    </row>
    <row r="1169" spans="2:2" ht="17.25">
      <c r="B1169" s="209"/>
    </row>
    <row r="1170" spans="2:2" ht="17.25">
      <c r="B1170" s="209"/>
    </row>
    <row r="1171" spans="2:2" ht="17.25">
      <c r="B1171" s="209"/>
    </row>
    <row r="1172" spans="2:2" ht="17.25">
      <c r="B1172" s="209"/>
    </row>
    <row r="1173" spans="2:2" ht="17.25">
      <c r="B1173" s="209"/>
    </row>
    <row r="1174" spans="2:2" ht="17.25">
      <c r="B1174" s="209"/>
    </row>
    <row r="1175" spans="2:2" ht="17.25">
      <c r="B1175" s="209"/>
    </row>
    <row r="1176" spans="2:2" ht="17.25">
      <c r="B1176" s="209"/>
    </row>
    <row r="1177" spans="2:2" ht="17.25">
      <c r="B1177" s="209"/>
    </row>
    <row r="1178" spans="2:2" ht="17.25">
      <c r="B1178" s="209"/>
    </row>
    <row r="1179" spans="2:2" ht="17.25">
      <c r="B1179" s="209"/>
    </row>
    <row r="1180" spans="2:2" ht="17.25">
      <c r="B1180" s="209"/>
    </row>
    <row r="1181" spans="2:2" ht="17.25">
      <c r="B1181" s="209"/>
    </row>
    <row r="1182" spans="2:2" ht="17.25">
      <c r="B1182" s="209"/>
    </row>
    <row r="1183" spans="2:2" ht="17.25">
      <c r="B1183" s="209"/>
    </row>
    <row r="1184" spans="2:2" ht="17.25">
      <c r="B1184" s="209"/>
    </row>
    <row r="1185" spans="2:2" ht="17.25">
      <c r="B1185" s="209"/>
    </row>
    <row r="1186" spans="2:2" ht="17.25">
      <c r="B1186" s="209"/>
    </row>
    <row r="1187" spans="2:2" ht="17.25">
      <c r="B1187" s="209"/>
    </row>
    <row r="1188" spans="2:2" ht="17.25">
      <c r="B1188" s="209"/>
    </row>
    <row r="1189" spans="2:2" ht="17.25">
      <c r="B1189" s="209"/>
    </row>
    <row r="1190" spans="2:2" ht="17.25">
      <c r="B1190" s="209"/>
    </row>
    <row r="1191" spans="2:2" ht="17.25">
      <c r="B1191" s="209"/>
    </row>
    <row r="1192" spans="2:2" ht="17.25">
      <c r="B1192" s="209"/>
    </row>
    <row r="1193" spans="2:2" ht="17.25">
      <c r="B1193" s="209"/>
    </row>
    <row r="1194" spans="2:2" ht="17.25">
      <c r="B1194" s="209"/>
    </row>
    <row r="1195" spans="2:2" ht="17.25">
      <c r="B1195" s="209"/>
    </row>
    <row r="1196" spans="2:2" ht="17.25">
      <c r="B1196" s="209"/>
    </row>
    <row r="1197" spans="2:2" ht="17.25">
      <c r="B1197" s="209"/>
    </row>
    <row r="1198" spans="2:2" ht="17.25">
      <c r="B1198" s="209"/>
    </row>
    <row r="1199" spans="2:2" ht="17.25">
      <c r="B1199" s="209"/>
    </row>
    <row r="1200" spans="2:2" ht="17.25">
      <c r="B1200" s="209"/>
    </row>
    <row r="1201" spans="2:2" ht="17.25">
      <c r="B1201" s="209"/>
    </row>
    <row r="1202" spans="2:2" ht="17.25">
      <c r="B1202" s="209"/>
    </row>
    <row r="1203" spans="2:2" ht="17.25">
      <c r="B1203" s="209"/>
    </row>
    <row r="1204" spans="2:2" ht="17.25">
      <c r="B1204" s="209"/>
    </row>
    <row r="1205" spans="2:2" ht="17.25">
      <c r="B1205" s="209"/>
    </row>
    <row r="1206" spans="2:2" ht="17.25">
      <c r="B1206" s="209"/>
    </row>
    <row r="1207" spans="2:2" ht="17.25">
      <c r="B1207" s="209"/>
    </row>
    <row r="1208" spans="2:2" ht="17.25">
      <c r="B1208" s="209"/>
    </row>
    <row r="1209" spans="2:2" ht="17.25">
      <c r="B1209" s="209"/>
    </row>
    <row r="1210" spans="2:2" ht="17.25">
      <c r="B1210" s="209"/>
    </row>
    <row r="1211" spans="2:2" ht="17.25">
      <c r="B1211" s="209"/>
    </row>
    <row r="1212" spans="2:2" ht="17.25">
      <c r="B1212" s="209"/>
    </row>
    <row r="1213" spans="2:2" ht="17.25">
      <c r="B1213" s="209"/>
    </row>
    <row r="1214" spans="2:2" ht="17.25">
      <c r="B1214" s="209"/>
    </row>
    <row r="1215" spans="2:2" ht="17.25">
      <c r="B1215" s="209"/>
    </row>
    <row r="1216" spans="2:2" ht="17.25">
      <c r="B1216" s="209"/>
    </row>
    <row r="1217" spans="2:2" ht="17.25">
      <c r="B1217" s="209"/>
    </row>
    <row r="1218" spans="2:2" ht="17.25">
      <c r="B1218" s="209"/>
    </row>
    <row r="1219" spans="2:2" ht="17.25">
      <c r="B1219" s="209"/>
    </row>
    <row r="1220" spans="2:2" ht="17.25">
      <c r="B1220" s="209"/>
    </row>
    <row r="1221" spans="2:2" ht="17.25">
      <c r="B1221" s="209"/>
    </row>
    <row r="1222" spans="2:2" ht="17.25">
      <c r="B1222" s="209"/>
    </row>
    <row r="1223" spans="2:2" ht="17.25">
      <c r="B1223" s="209"/>
    </row>
    <row r="1224" spans="2:2" ht="17.25">
      <c r="B1224" s="209"/>
    </row>
    <row r="1225" spans="2:2" ht="17.25">
      <c r="B1225" s="209"/>
    </row>
    <row r="1226" spans="2:2" ht="17.25">
      <c r="B1226" s="209"/>
    </row>
    <row r="1227" spans="2:2" ht="17.25">
      <c r="B1227" s="209"/>
    </row>
    <row r="1228" spans="2:2" ht="17.25">
      <c r="B1228" s="209"/>
    </row>
    <row r="1229" spans="2:2" ht="17.25">
      <c r="B1229" s="209"/>
    </row>
    <row r="1230" spans="2:2" ht="17.25">
      <c r="B1230" s="209"/>
    </row>
    <row r="1231" spans="2:2" ht="17.25">
      <c r="B1231" s="209"/>
    </row>
    <row r="1232" spans="2:2" ht="17.25">
      <c r="B1232" s="209"/>
    </row>
    <row r="1233" spans="2:2" ht="17.25">
      <c r="B1233" s="209"/>
    </row>
    <row r="1234" spans="2:2" ht="17.25">
      <c r="B1234" s="209"/>
    </row>
    <row r="1235" spans="2:2" ht="17.25">
      <c r="B1235" s="209"/>
    </row>
    <row r="1236" spans="2:2" ht="17.25">
      <c r="B1236" s="209"/>
    </row>
    <row r="1237" spans="2:2" ht="17.25">
      <c r="B1237" s="209"/>
    </row>
    <row r="1238" spans="2:2" ht="17.25">
      <c r="B1238" s="209"/>
    </row>
    <row r="1239" spans="2:2" ht="17.25">
      <c r="B1239" s="209"/>
    </row>
    <row r="1240" spans="2:2" ht="17.25">
      <c r="B1240" s="209"/>
    </row>
    <row r="1241" spans="2:2" ht="17.25">
      <c r="B1241" s="209"/>
    </row>
    <row r="1242" spans="2:2" ht="17.25">
      <c r="B1242" s="209"/>
    </row>
    <row r="1243" spans="2:2" ht="17.25">
      <c r="B1243" s="209"/>
    </row>
    <row r="1244" spans="2:2" ht="17.25">
      <c r="B1244" s="209"/>
    </row>
    <row r="1245" spans="2:2" ht="17.25">
      <c r="B1245" s="209"/>
    </row>
    <row r="1246" spans="2:2" ht="17.25">
      <c r="B1246" s="209"/>
    </row>
    <row r="1247" spans="2:2" ht="17.25">
      <c r="B1247" s="209"/>
    </row>
    <row r="1248" spans="2:2" ht="17.25">
      <c r="B1248" s="209"/>
    </row>
    <row r="1249" spans="2:2" ht="17.25">
      <c r="B1249" s="209"/>
    </row>
    <row r="1250" spans="2:2" ht="17.25">
      <c r="B1250" s="209"/>
    </row>
    <row r="1251" spans="2:2" ht="17.25">
      <c r="B1251" s="209"/>
    </row>
    <row r="1252" spans="2:2" ht="17.25">
      <c r="B1252" s="209"/>
    </row>
    <row r="1253" spans="2:2" ht="17.25">
      <c r="B1253" s="209"/>
    </row>
    <row r="1254" spans="2:2" ht="17.25">
      <c r="B1254" s="209"/>
    </row>
    <row r="1255" spans="2:2" ht="17.25">
      <c r="B1255" s="209"/>
    </row>
    <row r="1256" spans="2:2" ht="17.25">
      <c r="B1256" s="209"/>
    </row>
    <row r="1257" spans="2:2" ht="17.25">
      <c r="B1257" s="209"/>
    </row>
    <row r="1258" spans="2:2" ht="17.25">
      <c r="B1258" s="209"/>
    </row>
    <row r="1259" spans="2:2" ht="17.25">
      <c r="B1259" s="209"/>
    </row>
    <row r="1260" spans="2:2" ht="17.25">
      <c r="B1260" s="209"/>
    </row>
    <row r="1261" spans="2:2" ht="17.25">
      <c r="B1261" s="209"/>
    </row>
    <row r="1262" spans="2:2" ht="17.25">
      <c r="B1262" s="209"/>
    </row>
    <row r="1263" spans="2:2" ht="17.25">
      <c r="B1263" s="209"/>
    </row>
    <row r="1264" spans="2:2" ht="17.25">
      <c r="B1264" s="209"/>
    </row>
    <row r="1265" spans="2:2" ht="17.25">
      <c r="B1265" s="209"/>
    </row>
    <row r="1266" spans="2:2" ht="17.25">
      <c r="B1266" s="209"/>
    </row>
    <row r="1267" spans="2:2" ht="17.25">
      <c r="B1267" s="209"/>
    </row>
    <row r="1268" spans="2:2" ht="17.25">
      <c r="B1268" s="209"/>
    </row>
    <row r="1269" spans="2:2" ht="17.25">
      <c r="B1269" s="209"/>
    </row>
    <row r="1270" spans="2:2" ht="17.25">
      <c r="B1270" s="209"/>
    </row>
    <row r="1271" spans="2:2" ht="17.25">
      <c r="B1271" s="209"/>
    </row>
    <row r="1272" spans="2:2" ht="17.25">
      <c r="B1272" s="209"/>
    </row>
    <row r="1273" spans="2:2" ht="17.25">
      <c r="B1273" s="209"/>
    </row>
    <row r="1274" spans="2:2" ht="17.25">
      <c r="B1274" s="209"/>
    </row>
    <row r="1275" spans="2:2" ht="17.25">
      <c r="B1275" s="209"/>
    </row>
    <row r="1276" spans="2:2" ht="17.25">
      <c r="B1276" s="209"/>
    </row>
    <row r="1277" spans="2:2" ht="17.25">
      <c r="B1277" s="209"/>
    </row>
    <row r="1278" spans="2:2" ht="17.25">
      <c r="B1278" s="209"/>
    </row>
    <row r="1279" spans="2:2" ht="17.25">
      <c r="B1279" s="209"/>
    </row>
    <row r="1280" spans="2:2" ht="17.25">
      <c r="B1280" s="209"/>
    </row>
    <row r="1281" spans="2:2" ht="17.25">
      <c r="B1281" s="209"/>
    </row>
    <row r="1282" spans="2:2" ht="17.25">
      <c r="B1282" s="209"/>
    </row>
    <row r="1283" spans="2:2" ht="17.25">
      <c r="B1283" s="209"/>
    </row>
    <row r="1284" spans="2:2" ht="17.25">
      <c r="B1284" s="209"/>
    </row>
    <row r="1285" spans="2:2" ht="17.25">
      <c r="B1285" s="209"/>
    </row>
    <row r="1286" spans="2:2" ht="17.25">
      <c r="B1286" s="209"/>
    </row>
    <row r="1287" spans="2:2" ht="17.25">
      <c r="B1287" s="209"/>
    </row>
    <row r="1288" spans="2:2" ht="17.25">
      <c r="B1288" s="209"/>
    </row>
    <row r="1289" spans="2:2" ht="17.25">
      <c r="B1289" s="209"/>
    </row>
    <row r="1290" spans="2:2" ht="17.25">
      <c r="B1290" s="209"/>
    </row>
    <row r="1291" spans="2:2" ht="17.25">
      <c r="B1291" s="209"/>
    </row>
    <row r="1292" spans="2:2" ht="17.25">
      <c r="B1292" s="209"/>
    </row>
    <row r="1293" spans="2:2" ht="17.25">
      <c r="B1293" s="209"/>
    </row>
    <row r="1294" spans="2:2" ht="17.25">
      <c r="B1294" s="209"/>
    </row>
    <row r="1295" spans="2:2" ht="17.25">
      <c r="B1295" s="209"/>
    </row>
    <row r="1296" spans="2:2" ht="17.25">
      <c r="B1296" s="209"/>
    </row>
    <row r="1297" spans="2:2" ht="17.25">
      <c r="B1297" s="209"/>
    </row>
    <row r="1298" spans="2:2" ht="17.25">
      <c r="B1298" s="209"/>
    </row>
    <row r="1299" spans="2:2" ht="17.25">
      <c r="B1299" s="209"/>
    </row>
    <row r="1300" spans="2:2" ht="17.25">
      <c r="B1300" s="209"/>
    </row>
    <row r="1301" spans="2:2" ht="17.25">
      <c r="B1301" s="209"/>
    </row>
    <row r="1302" spans="2:2" ht="17.25">
      <c r="B1302" s="209"/>
    </row>
    <row r="1303" spans="2:2" ht="17.25">
      <c r="B1303" s="209"/>
    </row>
    <row r="1304" spans="2:2" ht="17.25">
      <c r="B1304" s="209"/>
    </row>
    <row r="1305" spans="2:2" ht="17.25">
      <c r="B1305" s="209"/>
    </row>
    <row r="1306" spans="2:2" ht="17.25">
      <c r="B1306" s="209"/>
    </row>
    <row r="1307" spans="2:2" ht="17.25">
      <c r="B1307" s="209"/>
    </row>
    <row r="1308" spans="2:2" ht="17.25">
      <c r="B1308" s="209"/>
    </row>
    <row r="1309" spans="2:2" ht="17.25">
      <c r="B1309" s="209"/>
    </row>
    <row r="1310" spans="2:2" ht="17.25">
      <c r="B1310" s="209"/>
    </row>
    <row r="1311" spans="2:2" ht="17.25">
      <c r="B1311" s="209"/>
    </row>
    <row r="1312" spans="2:2" ht="17.25">
      <c r="B1312" s="209"/>
    </row>
    <row r="1313" spans="2:2" ht="17.25">
      <c r="B1313" s="209"/>
    </row>
    <row r="1314" spans="2:2" ht="17.25">
      <c r="B1314" s="209"/>
    </row>
    <row r="1315" spans="2:2" ht="17.25">
      <c r="B1315" s="209"/>
    </row>
    <row r="1316" spans="2:2" ht="17.25">
      <c r="B1316" s="209"/>
    </row>
    <row r="1317" spans="2:2" ht="17.25">
      <c r="B1317" s="209"/>
    </row>
    <row r="1318" spans="2:2" ht="17.25">
      <c r="B1318" s="209"/>
    </row>
    <row r="1319" spans="2:2" ht="17.25">
      <c r="B1319" s="209"/>
    </row>
    <row r="1320" spans="2:2" ht="17.25">
      <c r="B1320" s="209"/>
    </row>
    <row r="1321" spans="2:2" ht="17.25">
      <c r="B1321" s="209"/>
    </row>
    <row r="1322" spans="2:2" ht="17.25">
      <c r="B1322" s="209"/>
    </row>
    <row r="1323" spans="2:2" ht="17.25">
      <c r="B1323" s="209"/>
    </row>
    <row r="1324" spans="2:2" ht="17.25">
      <c r="B1324" s="209"/>
    </row>
    <row r="1325" spans="2:2" ht="17.25">
      <c r="B1325" s="209"/>
    </row>
    <row r="1326" spans="2:2" ht="17.25">
      <c r="B1326" s="209"/>
    </row>
    <row r="1327" spans="2:2" ht="17.25">
      <c r="B1327" s="209"/>
    </row>
    <row r="1328" spans="2:2" ht="17.25">
      <c r="B1328" s="209"/>
    </row>
    <row r="1329" spans="2:2" ht="17.25">
      <c r="B1329" s="209"/>
    </row>
    <row r="1330" spans="2:2" ht="17.25">
      <c r="B1330" s="209"/>
    </row>
    <row r="1331" spans="2:2" ht="17.25">
      <c r="B1331" s="209"/>
    </row>
    <row r="1332" spans="2:2" ht="17.25">
      <c r="B1332" s="209"/>
    </row>
    <row r="1333" spans="2:2" ht="17.25">
      <c r="B1333" s="209"/>
    </row>
    <row r="1334" spans="2:2" ht="17.25">
      <c r="B1334" s="209"/>
    </row>
    <row r="1335" spans="2:2" ht="17.25">
      <c r="B1335" s="209"/>
    </row>
    <row r="1336" spans="2:2" ht="17.25">
      <c r="B1336" s="209"/>
    </row>
    <row r="1337" spans="2:2" ht="17.25">
      <c r="B1337" s="209"/>
    </row>
    <row r="1338" spans="2:2" ht="17.25">
      <c r="B1338" s="209"/>
    </row>
    <row r="1339" spans="2:2" ht="17.25">
      <c r="B1339" s="209"/>
    </row>
    <row r="1340" spans="2:2" ht="17.25">
      <c r="B1340" s="209"/>
    </row>
    <row r="1341" spans="2:2" ht="17.25">
      <c r="B1341" s="209"/>
    </row>
    <row r="1342" spans="2:2" ht="17.25">
      <c r="B1342" s="209"/>
    </row>
    <row r="1343" spans="2:2" ht="17.25">
      <c r="B1343" s="209"/>
    </row>
    <row r="1344" spans="2:2" ht="17.25">
      <c r="B1344" s="209"/>
    </row>
    <row r="1345" spans="2:2" ht="17.25">
      <c r="B1345" s="209"/>
    </row>
    <row r="1346" spans="2:2" ht="17.25">
      <c r="B1346" s="209"/>
    </row>
    <row r="1347" spans="2:2" ht="17.25">
      <c r="B1347" s="209"/>
    </row>
    <row r="1348" spans="2:2" ht="17.25">
      <c r="B1348" s="209"/>
    </row>
    <row r="1349" spans="2:2" ht="17.25">
      <c r="B1349" s="209"/>
    </row>
    <row r="1350" spans="2:2" ht="17.25">
      <c r="B1350" s="209"/>
    </row>
    <row r="1351" spans="2:2" ht="17.25">
      <c r="B1351" s="209"/>
    </row>
    <row r="1352" spans="2:2" ht="17.25">
      <c r="B1352" s="209"/>
    </row>
    <row r="1353" spans="2:2" ht="17.25">
      <c r="B1353" s="209"/>
    </row>
    <row r="1354" spans="2:2" ht="17.25">
      <c r="B1354" s="209"/>
    </row>
    <row r="1355" spans="2:2" ht="17.25">
      <c r="B1355" s="209"/>
    </row>
    <row r="1356" spans="2:2" ht="17.25">
      <c r="B1356" s="209"/>
    </row>
    <row r="1357" spans="2:2" ht="17.25">
      <c r="B1357" s="209"/>
    </row>
    <row r="1358" spans="2:2" ht="17.25">
      <c r="B1358" s="209"/>
    </row>
    <row r="1359" spans="2:2" ht="17.25">
      <c r="B1359" s="209"/>
    </row>
    <row r="1360" spans="2:2" ht="17.25">
      <c r="B1360" s="209"/>
    </row>
    <row r="1361" spans="2:2" ht="17.25">
      <c r="B1361" s="209"/>
    </row>
    <row r="1362" spans="2:2" ht="17.25">
      <c r="B1362" s="209"/>
    </row>
    <row r="1363" spans="2:2" ht="17.25">
      <c r="B1363" s="209"/>
    </row>
    <row r="1364" spans="2:2" ht="17.25">
      <c r="B1364" s="209"/>
    </row>
    <row r="1365" spans="2:2" ht="17.25">
      <c r="B1365" s="209"/>
    </row>
    <row r="1366" spans="2:2" ht="17.25">
      <c r="B1366" s="209"/>
    </row>
    <row r="1367" spans="2:2" ht="17.25">
      <c r="B1367" s="209"/>
    </row>
    <row r="1368" spans="2:2" ht="17.25">
      <c r="B1368" s="209"/>
    </row>
    <row r="1369" spans="2:2" ht="17.25">
      <c r="B1369" s="209"/>
    </row>
    <row r="1370" spans="2:2" ht="17.25">
      <c r="B1370" s="209"/>
    </row>
    <row r="1371" spans="2:2" ht="17.25">
      <c r="B1371" s="209"/>
    </row>
    <row r="1372" spans="2:2" ht="17.25">
      <c r="B1372" s="209"/>
    </row>
    <row r="1373" spans="2:2" ht="17.25">
      <c r="B1373" s="209"/>
    </row>
    <row r="1374" spans="2:2" ht="17.25">
      <c r="B1374" s="209"/>
    </row>
    <row r="1375" spans="2:2" ht="17.25">
      <c r="B1375" s="209"/>
    </row>
    <row r="1376" spans="2:2" ht="17.25">
      <c r="B1376" s="209"/>
    </row>
    <row r="1377" spans="2:2" ht="17.25">
      <c r="B1377" s="209"/>
    </row>
    <row r="1378" spans="2:2" ht="17.25">
      <c r="B1378" s="209"/>
    </row>
    <row r="1379" spans="2:2" ht="17.25">
      <c r="B1379" s="209"/>
    </row>
    <row r="1380" spans="2:2" ht="17.25">
      <c r="B1380" s="209"/>
    </row>
    <row r="1381" spans="2:2" ht="17.25">
      <c r="B1381" s="209"/>
    </row>
    <row r="1382" spans="2:2" ht="17.25">
      <c r="B1382" s="209"/>
    </row>
    <row r="1383" spans="2:2" ht="17.25">
      <c r="B1383" s="209"/>
    </row>
    <row r="1384" spans="2:2" ht="17.25">
      <c r="B1384" s="209"/>
    </row>
    <row r="1385" spans="2:2" ht="17.25">
      <c r="B1385" s="209"/>
    </row>
    <row r="1386" spans="2:2" ht="17.25">
      <c r="B1386" s="209"/>
    </row>
    <row r="1387" spans="2:2" ht="17.25">
      <c r="B1387" s="209"/>
    </row>
    <row r="1388" spans="2:2" ht="17.25">
      <c r="B1388" s="209"/>
    </row>
    <row r="1389" spans="2:2" ht="17.25">
      <c r="B1389" s="209"/>
    </row>
    <row r="1390" spans="2:2" ht="17.25">
      <c r="B1390" s="209"/>
    </row>
    <row r="1391" spans="2:2" ht="17.25">
      <c r="B1391" s="209"/>
    </row>
    <row r="1392" spans="2:2" ht="17.25">
      <c r="B1392" s="209"/>
    </row>
    <row r="1393" spans="2:2" ht="17.25">
      <c r="B1393" s="209"/>
    </row>
    <row r="1394" spans="2:2" ht="17.25">
      <c r="B1394" s="209"/>
    </row>
    <row r="1395" spans="2:2" ht="17.25">
      <c r="B1395" s="209"/>
    </row>
    <row r="1396" spans="2:2" ht="17.25">
      <c r="B1396" s="209"/>
    </row>
    <row r="1397" spans="2:2" ht="17.25">
      <c r="B1397" s="209"/>
    </row>
    <row r="1398" spans="2:2" ht="17.25">
      <c r="B1398" s="209"/>
    </row>
    <row r="1399" spans="2:2" ht="17.25">
      <c r="B1399" s="209"/>
    </row>
    <row r="1400" spans="2:2" ht="17.25">
      <c r="B1400" s="209"/>
    </row>
    <row r="1401" spans="2:2" ht="17.25">
      <c r="B1401" s="209"/>
    </row>
    <row r="1402" spans="2:2" ht="17.25">
      <c r="B1402" s="209"/>
    </row>
    <row r="1403" spans="2:2" ht="17.25">
      <c r="B1403" s="209"/>
    </row>
    <row r="1404" spans="2:2" ht="17.25">
      <c r="B1404" s="209"/>
    </row>
    <row r="1405" spans="2:2" ht="17.25">
      <c r="B1405" s="209"/>
    </row>
    <row r="1406" spans="2:2" ht="17.25">
      <c r="B1406" s="209"/>
    </row>
    <row r="1407" spans="2:2" ht="17.25">
      <c r="B1407" s="209"/>
    </row>
    <row r="1408" spans="2:2" ht="17.25">
      <c r="B1408" s="209"/>
    </row>
    <row r="1409" spans="2:2" ht="17.25">
      <c r="B1409" s="209"/>
    </row>
    <row r="1410" spans="2:2" ht="17.25">
      <c r="B1410" s="209"/>
    </row>
    <row r="1411" spans="2:2" ht="17.25">
      <c r="B1411" s="209"/>
    </row>
    <row r="1412" spans="2:2" ht="17.25">
      <c r="B1412" s="209"/>
    </row>
    <row r="1413" spans="2:2" ht="17.25">
      <c r="B1413" s="209"/>
    </row>
    <row r="1414" spans="2:2" ht="17.25">
      <c r="B1414" s="209"/>
    </row>
    <row r="1415" spans="2:2" ht="17.25">
      <c r="B1415" s="209"/>
    </row>
    <row r="1416" spans="2:2" ht="17.25">
      <c r="B1416" s="209"/>
    </row>
    <row r="1417" spans="2:2" ht="17.25">
      <c r="B1417" s="209"/>
    </row>
    <row r="1418" spans="2:2" ht="17.25">
      <c r="B1418" s="209"/>
    </row>
    <row r="1419" spans="2:2" ht="17.25">
      <c r="B1419" s="209"/>
    </row>
    <row r="1420" spans="2:2" ht="17.25">
      <c r="B1420" s="209"/>
    </row>
    <row r="1421" spans="2:2" ht="17.25">
      <c r="B1421" s="209"/>
    </row>
    <row r="1422" spans="2:2" ht="17.25">
      <c r="B1422" s="209"/>
    </row>
    <row r="1423" spans="2:2" ht="17.25">
      <c r="B1423" s="209"/>
    </row>
    <row r="1424" spans="2:2" ht="17.25">
      <c r="B1424" s="209"/>
    </row>
    <row r="1425" spans="2:2" ht="17.25">
      <c r="B1425" s="209"/>
    </row>
    <row r="1426" spans="2:2" ht="17.25">
      <c r="B1426" s="209"/>
    </row>
    <row r="1427" spans="2:2" ht="17.25">
      <c r="B1427" s="209"/>
    </row>
    <row r="1428" spans="2:2" ht="17.25">
      <c r="B1428" s="209"/>
    </row>
    <row r="1429" spans="2:2" ht="17.25">
      <c r="B1429" s="209"/>
    </row>
    <row r="1430" spans="2:2" ht="17.25">
      <c r="B1430" s="209"/>
    </row>
    <row r="1431" spans="2:2" ht="17.25">
      <c r="B1431" s="209"/>
    </row>
    <row r="1432" spans="2:2" ht="17.25">
      <c r="B1432" s="209"/>
    </row>
    <row r="1433" spans="2:2" ht="17.25">
      <c r="B1433" s="209"/>
    </row>
    <row r="1434" spans="2:2" ht="17.25">
      <c r="B1434" s="209"/>
    </row>
    <row r="1435" spans="2:2" ht="17.25">
      <c r="B1435" s="209"/>
    </row>
    <row r="1436" spans="2:2" ht="17.25">
      <c r="B1436" s="209"/>
    </row>
    <row r="1437" spans="2:2" ht="17.25">
      <c r="B1437" s="209"/>
    </row>
    <row r="1438" spans="2:2" ht="17.25">
      <c r="B1438" s="209"/>
    </row>
    <row r="1439" spans="2:2" ht="17.25">
      <c r="B1439" s="209"/>
    </row>
    <row r="1440" spans="2:2" ht="17.25">
      <c r="B1440" s="209"/>
    </row>
    <row r="1441" spans="2:2" ht="17.25">
      <c r="B1441" s="209"/>
    </row>
    <row r="1442" spans="2:2" ht="17.25">
      <c r="B1442" s="209"/>
    </row>
    <row r="1443" spans="2:2" ht="17.25">
      <c r="B1443" s="209"/>
    </row>
    <row r="1444" spans="2:2" ht="17.25">
      <c r="B1444" s="209"/>
    </row>
    <row r="1445" spans="2:2" ht="17.25">
      <c r="B1445" s="209"/>
    </row>
    <row r="1446" spans="2:2" ht="17.25">
      <c r="B1446" s="209"/>
    </row>
    <row r="1447" spans="2:2" ht="17.25">
      <c r="B1447" s="209"/>
    </row>
    <row r="1448" spans="2:2" ht="17.25">
      <c r="B1448" s="209"/>
    </row>
    <row r="1449" spans="2:2" ht="17.25">
      <c r="B1449" s="209"/>
    </row>
    <row r="1450" spans="2:2" ht="17.25">
      <c r="B1450" s="209"/>
    </row>
    <row r="1451" spans="2:2" ht="17.25">
      <c r="B1451" s="209"/>
    </row>
    <row r="1452" spans="2:2" ht="17.25">
      <c r="B1452" s="209"/>
    </row>
    <row r="1453" spans="2:2" ht="17.25">
      <c r="B1453" s="209"/>
    </row>
    <row r="1454" spans="2:2" ht="17.25">
      <c r="B1454" s="209"/>
    </row>
    <row r="1455" spans="2:2" ht="17.25">
      <c r="B1455" s="209"/>
    </row>
    <row r="1456" spans="2:2" ht="17.25">
      <c r="B1456" s="209"/>
    </row>
    <row r="1457" spans="2:2" ht="17.25">
      <c r="B1457" s="209"/>
    </row>
    <row r="1458" spans="2:2" ht="17.25">
      <c r="B1458" s="209"/>
    </row>
    <row r="1459" spans="2:2" ht="17.25">
      <c r="B1459" s="209"/>
    </row>
    <row r="1460" spans="2:2" ht="17.25">
      <c r="B1460" s="209"/>
    </row>
    <row r="1461" spans="2:2" ht="17.25">
      <c r="B1461" s="209"/>
    </row>
    <row r="1462" spans="2:2" ht="17.25">
      <c r="B1462" s="209"/>
    </row>
    <row r="1463" spans="2:2" ht="17.25">
      <c r="B1463" s="209"/>
    </row>
    <row r="1464" spans="2:2" ht="17.25">
      <c r="B1464" s="209"/>
    </row>
    <row r="1465" spans="2:2" ht="17.25">
      <c r="B1465" s="209"/>
    </row>
    <row r="1466" spans="2:2" ht="17.25">
      <c r="B1466" s="209"/>
    </row>
    <row r="1467" spans="2:2" ht="17.25">
      <c r="B1467" s="209"/>
    </row>
    <row r="1468" spans="2:2" ht="17.25">
      <c r="B1468" s="209"/>
    </row>
    <row r="1469" spans="2:2" ht="17.25">
      <c r="B1469" s="209"/>
    </row>
    <row r="1470" spans="2:2" ht="17.25">
      <c r="B1470" s="209"/>
    </row>
    <row r="1471" spans="2:2" ht="17.25">
      <c r="B1471" s="209"/>
    </row>
    <row r="1472" spans="2:2" ht="17.25">
      <c r="B1472" s="209"/>
    </row>
    <row r="1473" spans="2:2" ht="17.25">
      <c r="B1473" s="209"/>
    </row>
    <row r="1474" spans="2:2" ht="17.25">
      <c r="B1474" s="209"/>
    </row>
    <row r="1475" spans="2:2" ht="17.25">
      <c r="B1475" s="209"/>
    </row>
    <row r="1476" spans="2:2" ht="17.25">
      <c r="B1476" s="209"/>
    </row>
    <row r="1477" spans="2:2" ht="17.25">
      <c r="B1477" s="209"/>
    </row>
    <row r="1478" spans="2:2" ht="17.25">
      <c r="B1478" s="209"/>
    </row>
    <row r="1479" spans="2:2" ht="17.25">
      <c r="B1479" s="209"/>
    </row>
    <row r="1480" spans="2:2" ht="17.25">
      <c r="B1480" s="209"/>
    </row>
    <row r="1481" spans="2:2" ht="17.25">
      <c r="B1481" s="209"/>
    </row>
    <row r="1482" spans="2:2" ht="17.25">
      <c r="B1482" s="209"/>
    </row>
    <row r="1483" spans="2:2" ht="17.25">
      <c r="B1483" s="209"/>
    </row>
    <row r="1484" spans="2:2" ht="17.25">
      <c r="B1484" s="209"/>
    </row>
    <row r="1485" spans="2:2" ht="17.25">
      <c r="B1485" s="209"/>
    </row>
    <row r="1486" spans="2:2" ht="17.25">
      <c r="B1486" s="209"/>
    </row>
    <row r="1487" spans="2:2" ht="17.25">
      <c r="B1487" s="209"/>
    </row>
    <row r="1488" spans="2:2" ht="17.25">
      <c r="B1488" s="209"/>
    </row>
    <row r="1489" spans="2:2" ht="17.25">
      <c r="B1489" s="209"/>
    </row>
    <row r="1490" spans="2:2" ht="17.25">
      <c r="B1490" s="209"/>
    </row>
    <row r="1491" spans="2:2" ht="17.25">
      <c r="B1491" s="209"/>
    </row>
    <row r="1492" spans="2:2" ht="17.25">
      <c r="B1492" s="209"/>
    </row>
    <row r="1493" spans="2:2" ht="17.25">
      <c r="B1493" s="209"/>
    </row>
    <row r="1494" spans="2:2" ht="17.25">
      <c r="B1494" s="209"/>
    </row>
    <row r="1495" spans="2:2" ht="17.25">
      <c r="B1495" s="209"/>
    </row>
    <row r="1496" spans="2:2" ht="17.25">
      <c r="B1496" s="209"/>
    </row>
    <row r="1497" spans="2:2" ht="17.25">
      <c r="B1497" s="209"/>
    </row>
    <row r="1498" spans="2:2" ht="17.25">
      <c r="B1498" s="209"/>
    </row>
    <row r="1499" spans="2:2" ht="17.25">
      <c r="B1499" s="209"/>
    </row>
    <row r="1500" spans="2:2" ht="17.25">
      <c r="B1500" s="209"/>
    </row>
    <row r="1501" spans="2:2" ht="17.25">
      <c r="B1501" s="209"/>
    </row>
    <row r="1502" spans="2:2" ht="17.25">
      <c r="B1502" s="209"/>
    </row>
    <row r="1503" spans="2:2" ht="17.25">
      <c r="B1503" s="209"/>
    </row>
    <row r="1504" spans="2:2" ht="17.25">
      <c r="B1504" s="209"/>
    </row>
    <row r="1505" spans="2:2" ht="17.25">
      <c r="B1505" s="209"/>
    </row>
    <row r="1506" spans="2:2" ht="17.25">
      <c r="B1506" s="209"/>
    </row>
    <row r="1507" spans="2:2" ht="17.25">
      <c r="B1507" s="209"/>
    </row>
    <row r="1508" spans="2:2" ht="17.25">
      <c r="B1508" s="209"/>
    </row>
    <row r="1509" spans="2:2" ht="17.25">
      <c r="B1509" s="209"/>
    </row>
    <row r="1510" spans="2:2" ht="17.25">
      <c r="B1510" s="209"/>
    </row>
    <row r="1511" spans="2:2" ht="17.25">
      <c r="B1511" s="209"/>
    </row>
    <row r="1512" spans="2:2" ht="17.25">
      <c r="B1512" s="209"/>
    </row>
    <row r="1513" spans="2:2" ht="17.25">
      <c r="B1513" s="209"/>
    </row>
    <row r="1514" spans="2:2" ht="17.25">
      <c r="B1514" s="209"/>
    </row>
    <row r="1515" spans="2:2" ht="17.25">
      <c r="B1515" s="209"/>
    </row>
    <row r="1516" spans="2:2" ht="17.25">
      <c r="B1516" s="209"/>
    </row>
    <row r="1517" spans="2:2" ht="17.25">
      <c r="B1517" s="209"/>
    </row>
    <row r="1518" spans="2:2" ht="17.25">
      <c r="B1518" s="209"/>
    </row>
    <row r="1519" spans="2:2" ht="17.25">
      <c r="B1519" s="209"/>
    </row>
    <row r="1520" spans="2:2" ht="17.25">
      <c r="B1520" s="209"/>
    </row>
    <row r="1521" spans="2:2" ht="17.25">
      <c r="B1521" s="209"/>
    </row>
    <row r="1522" spans="2:2" ht="17.25">
      <c r="B1522" s="209"/>
    </row>
    <row r="1523" spans="2:2" ht="17.25">
      <c r="B1523" s="209"/>
    </row>
    <row r="1524" spans="2:2" ht="17.25">
      <c r="B1524" s="209"/>
    </row>
    <row r="1525" spans="2:2" ht="17.25">
      <c r="B1525" s="209"/>
    </row>
    <row r="1526" spans="2:2" ht="17.25">
      <c r="B1526" s="209"/>
    </row>
    <row r="1527" spans="2:2" ht="17.25">
      <c r="B1527" s="209"/>
    </row>
    <row r="1528" spans="2:2" ht="17.25">
      <c r="B1528" s="209"/>
    </row>
    <row r="1529" spans="2:2" ht="17.25">
      <c r="B1529" s="209"/>
    </row>
    <row r="1530" spans="2:2" ht="17.25">
      <c r="B1530" s="209"/>
    </row>
    <row r="1531" spans="2:2" ht="17.25">
      <c r="B1531" s="209"/>
    </row>
    <row r="1532" spans="2:2" ht="17.25">
      <c r="B1532" s="209"/>
    </row>
    <row r="1533" spans="2:2" ht="17.25">
      <c r="B1533" s="209"/>
    </row>
    <row r="1534" spans="2:2" ht="17.25">
      <c r="B1534" s="209"/>
    </row>
    <row r="1535" spans="2:2" ht="17.25">
      <c r="B1535" s="209"/>
    </row>
    <row r="1536" spans="2:2" ht="17.25">
      <c r="B1536" s="209"/>
    </row>
    <row r="1537" spans="2:2" ht="17.25">
      <c r="B1537" s="209"/>
    </row>
    <row r="1538" spans="2:2" ht="17.25">
      <c r="B1538" s="209"/>
    </row>
    <row r="1539" spans="2:2" ht="17.25">
      <c r="B1539" s="209"/>
    </row>
    <row r="1540" spans="2:2" ht="17.25">
      <c r="B1540" s="209"/>
    </row>
    <row r="1541" spans="2:2" ht="17.25">
      <c r="B1541" s="209"/>
    </row>
    <row r="1542" spans="2:2" ht="17.25">
      <c r="B1542" s="209"/>
    </row>
    <row r="1543" spans="2:2" ht="17.25">
      <c r="B1543" s="209"/>
    </row>
    <row r="1544" spans="2:2" ht="17.25">
      <c r="B1544" s="209"/>
    </row>
    <row r="1545" spans="2:2" ht="17.25">
      <c r="B1545" s="209"/>
    </row>
    <row r="1546" spans="2:2" ht="17.25">
      <c r="B1546" s="209"/>
    </row>
    <row r="1547" spans="2:2" ht="17.25">
      <c r="B1547" s="209"/>
    </row>
    <row r="1548" spans="2:2" ht="17.25">
      <c r="B1548" s="209"/>
    </row>
    <row r="1549" spans="2:2" ht="17.25">
      <c r="B1549" s="209"/>
    </row>
    <row r="1550" spans="2:2" ht="17.25">
      <c r="B1550" s="209"/>
    </row>
    <row r="1551" spans="2:2" ht="17.25">
      <c r="B1551" s="209"/>
    </row>
    <row r="1552" spans="2:2" ht="17.25">
      <c r="B1552" s="209"/>
    </row>
    <row r="1553" spans="2:2" ht="17.25">
      <c r="B1553" s="209"/>
    </row>
    <row r="1554" spans="2:2" ht="17.25">
      <c r="B1554" s="209"/>
    </row>
    <row r="1555" spans="2:2" ht="17.25">
      <c r="B1555" s="209"/>
    </row>
    <row r="1556" spans="2:2" ht="17.25">
      <c r="B1556" s="209"/>
    </row>
    <row r="1557" spans="2:2" ht="17.25">
      <c r="B1557" s="209"/>
    </row>
    <row r="1558" spans="2:2" ht="17.25">
      <c r="B1558" s="209"/>
    </row>
    <row r="1559" spans="2:2" ht="17.25">
      <c r="B1559" s="209"/>
    </row>
    <row r="1560" spans="2:2" ht="17.25">
      <c r="B1560" s="209"/>
    </row>
    <row r="1561" spans="2:2" ht="17.25">
      <c r="B1561" s="209"/>
    </row>
    <row r="1562" spans="2:2" ht="17.25">
      <c r="B1562" s="209"/>
    </row>
    <row r="1563" spans="2:2" ht="17.25">
      <c r="B1563" s="209"/>
    </row>
    <row r="1564" spans="2:2" ht="17.25">
      <c r="B1564" s="209"/>
    </row>
    <row r="1565" spans="2:2" ht="17.25">
      <c r="B1565" s="209"/>
    </row>
    <row r="1566" spans="2:2" ht="17.25">
      <c r="B1566" s="209"/>
    </row>
    <row r="1567" spans="2:2" ht="17.25">
      <c r="B1567" s="209"/>
    </row>
    <row r="1568" spans="2:2" ht="17.25">
      <c r="B1568" s="209"/>
    </row>
    <row r="1569" spans="2:2" ht="17.25">
      <c r="B1569" s="209"/>
    </row>
    <row r="1570" spans="2:2" ht="17.25">
      <c r="B1570" s="209"/>
    </row>
    <row r="1571" spans="2:2" ht="17.25">
      <c r="B1571" s="209"/>
    </row>
    <row r="1572" spans="2:2" ht="17.25">
      <c r="B1572" s="209"/>
    </row>
    <row r="1573" spans="2:2" ht="17.25">
      <c r="B1573" s="209"/>
    </row>
    <row r="1574" spans="2:2" ht="17.25">
      <c r="B1574" s="209"/>
    </row>
    <row r="1575" spans="2:2" ht="17.25">
      <c r="B1575" s="209"/>
    </row>
    <row r="1576" spans="2:2" ht="17.25">
      <c r="B1576" s="209"/>
    </row>
    <row r="1577" spans="2:2" ht="17.25">
      <c r="B1577" s="209"/>
    </row>
    <row r="1578" spans="2:2" ht="17.25">
      <c r="B1578" s="209"/>
    </row>
    <row r="1579" spans="2:2" ht="17.25">
      <c r="B1579" s="209"/>
    </row>
    <row r="1580" spans="2:2" ht="17.25">
      <c r="B1580" s="209"/>
    </row>
    <row r="1581" spans="2:2" ht="17.25">
      <c r="B1581" s="209"/>
    </row>
    <row r="1582" spans="2:2" ht="17.25">
      <c r="B1582" s="209"/>
    </row>
    <row r="1583" spans="2:2" ht="17.25">
      <c r="B1583" s="209"/>
    </row>
    <row r="1584" spans="2:2" ht="17.25">
      <c r="B1584" s="209"/>
    </row>
    <row r="1585" spans="2:2" ht="17.25">
      <c r="B1585" s="209"/>
    </row>
    <row r="1586" spans="2:2" ht="17.25">
      <c r="B1586" s="209"/>
    </row>
    <row r="1587" spans="2:2" ht="17.25">
      <c r="B1587" s="209"/>
    </row>
    <row r="1588" spans="2:2" ht="17.25">
      <c r="B1588" s="209"/>
    </row>
    <row r="1589" spans="2:2" ht="17.25">
      <c r="B1589" s="209"/>
    </row>
    <row r="1590" spans="2:2" ht="17.25">
      <c r="B1590" s="209"/>
    </row>
    <row r="1591" spans="2:2" ht="17.25">
      <c r="B1591" s="209"/>
    </row>
    <row r="1592" spans="2:2" ht="17.25">
      <c r="B1592" s="209"/>
    </row>
    <row r="1593" spans="2:2" ht="17.25">
      <c r="B1593" s="209"/>
    </row>
    <row r="1594" spans="2:2" ht="17.25">
      <c r="B1594" s="209"/>
    </row>
    <row r="1595" spans="2:2" ht="17.25">
      <c r="B1595" s="209"/>
    </row>
    <row r="1596" spans="2:2" ht="17.25">
      <c r="B1596" s="209"/>
    </row>
    <row r="1597" spans="2:2" ht="17.25">
      <c r="B1597" s="209"/>
    </row>
    <row r="1598" spans="2:2" ht="17.25">
      <c r="B1598" s="209"/>
    </row>
    <row r="1599" spans="2:2" ht="17.25">
      <c r="B1599" s="209"/>
    </row>
    <row r="1600" spans="2:2" ht="17.25">
      <c r="B1600" s="209"/>
    </row>
    <row r="1601" spans="2:2" ht="17.25">
      <c r="B1601" s="209"/>
    </row>
    <row r="1602" spans="2:2" ht="17.25">
      <c r="B1602" s="209"/>
    </row>
    <row r="1603" spans="2:2" ht="17.25">
      <c r="B1603" s="209"/>
    </row>
    <row r="1604" spans="2:2" ht="17.25">
      <c r="B1604" s="209"/>
    </row>
    <row r="1605" spans="2:2" ht="17.25">
      <c r="B1605" s="209"/>
    </row>
    <row r="1606" spans="2:2" ht="17.25">
      <c r="B1606" s="209"/>
    </row>
    <row r="1607" spans="2:2" ht="17.25">
      <c r="B1607" s="209"/>
    </row>
    <row r="1608" spans="2:2" ht="17.25">
      <c r="B1608" s="209"/>
    </row>
    <row r="1609" spans="2:2" ht="17.25">
      <c r="B1609" s="209"/>
    </row>
    <row r="1610" spans="2:2" ht="17.25">
      <c r="B1610" s="209"/>
    </row>
    <row r="1611" spans="2:2" ht="17.25">
      <c r="B1611" s="209"/>
    </row>
    <row r="1612" spans="2:2" ht="17.25">
      <c r="B1612" s="209"/>
    </row>
    <row r="1613" spans="2:2" ht="17.25">
      <c r="B1613" s="209"/>
    </row>
    <row r="1614" spans="2:2" ht="17.25">
      <c r="B1614" s="209"/>
    </row>
    <row r="1615" spans="2:2" ht="17.25">
      <c r="B1615" s="209"/>
    </row>
    <row r="1616" spans="2:2" ht="17.25">
      <c r="B1616" s="209"/>
    </row>
    <row r="1617" spans="2:2" ht="17.25">
      <c r="B1617" s="209"/>
    </row>
    <row r="1618" spans="2:2" ht="17.25">
      <c r="B1618" s="209"/>
    </row>
    <row r="1619" spans="2:2" ht="17.25">
      <c r="B1619" s="209"/>
    </row>
    <row r="1620" spans="2:2" ht="17.25">
      <c r="B1620" s="209"/>
    </row>
    <row r="1621" spans="2:2" ht="17.25">
      <c r="B1621" s="209"/>
    </row>
    <row r="1622" spans="2:2" ht="17.25">
      <c r="B1622" s="209"/>
    </row>
    <row r="1623" spans="2:2" ht="17.25">
      <c r="B1623" s="209"/>
    </row>
    <row r="1624" spans="2:2" ht="17.25">
      <c r="B1624" s="209"/>
    </row>
    <row r="1625" spans="2:2" ht="17.25">
      <c r="B1625" s="209"/>
    </row>
    <row r="1626" spans="2:2" ht="17.25">
      <c r="B1626" s="209"/>
    </row>
    <row r="1627" spans="2:2" ht="17.25">
      <c r="B1627" s="209"/>
    </row>
    <row r="1628" spans="2:2" ht="17.25">
      <c r="B1628" s="209"/>
    </row>
    <row r="1629" spans="2:2" ht="17.25">
      <c r="B1629" s="209"/>
    </row>
    <row r="1630" spans="2:2" ht="17.25">
      <c r="B1630" s="209"/>
    </row>
    <row r="1631" spans="2:2" ht="17.25">
      <c r="B1631" s="209"/>
    </row>
    <row r="1632" spans="2:2" ht="17.25">
      <c r="B1632" s="209"/>
    </row>
    <row r="1633" spans="2:2" ht="17.25">
      <c r="B1633" s="209"/>
    </row>
    <row r="1634" spans="2:2" ht="17.25">
      <c r="B1634" s="209"/>
    </row>
    <row r="1635" spans="2:2" ht="17.25">
      <c r="B1635" s="209"/>
    </row>
    <row r="1636" spans="2:2" ht="17.25">
      <c r="B1636" s="209"/>
    </row>
    <row r="1637" spans="2:2" ht="17.25">
      <c r="B1637" s="209"/>
    </row>
    <row r="1638" spans="2:2" ht="17.25">
      <c r="B1638" s="209"/>
    </row>
    <row r="1639" spans="2:2" ht="17.25">
      <c r="B1639" s="209"/>
    </row>
    <row r="1640" spans="2:2" ht="17.25">
      <c r="B1640" s="209"/>
    </row>
    <row r="1641" spans="2:2" ht="17.25">
      <c r="B1641" s="209"/>
    </row>
    <row r="1642" spans="2:2" ht="17.25">
      <c r="B1642" s="209"/>
    </row>
    <row r="1643" spans="2:2" ht="17.25">
      <c r="B1643" s="209"/>
    </row>
    <row r="1644" spans="2:2" ht="17.25">
      <c r="B1644" s="209"/>
    </row>
    <row r="1645" spans="2:2" ht="17.25">
      <c r="B1645" s="209"/>
    </row>
    <row r="1646" spans="2:2" ht="17.25">
      <c r="B1646" s="209"/>
    </row>
    <row r="1647" spans="2:2" ht="17.25">
      <c r="B1647" s="209"/>
    </row>
    <row r="1648" spans="2:2" ht="17.25">
      <c r="B1648" s="209"/>
    </row>
    <row r="1649" spans="2:2" ht="17.25">
      <c r="B1649" s="209"/>
    </row>
    <row r="1650" spans="2:2" ht="17.25">
      <c r="B1650" s="209"/>
    </row>
    <row r="1651" spans="2:2" ht="17.25">
      <c r="B1651" s="209"/>
    </row>
    <row r="1652" spans="2:2" ht="17.25">
      <c r="B1652" s="209"/>
    </row>
    <row r="1653" spans="2:2" ht="17.25">
      <c r="B1653" s="209"/>
    </row>
    <row r="1654" spans="2:2" ht="17.25">
      <c r="B1654" s="209"/>
    </row>
    <row r="1655" spans="2:2" ht="17.25">
      <c r="B1655" s="209"/>
    </row>
    <row r="1656" spans="2:2" ht="17.25">
      <c r="B1656" s="209"/>
    </row>
    <row r="1657" spans="2:2" ht="17.25">
      <c r="B1657" s="209"/>
    </row>
    <row r="1658" spans="2:2" ht="17.25">
      <c r="B1658" s="209"/>
    </row>
    <row r="1659" spans="2:2" ht="17.25">
      <c r="B1659" s="209"/>
    </row>
    <row r="1660" spans="2:2" ht="17.25">
      <c r="B1660" s="209"/>
    </row>
    <row r="1661" spans="2:2" ht="17.25">
      <c r="B1661" s="209"/>
    </row>
    <row r="1662" spans="2:2" ht="17.25">
      <c r="B1662" s="209"/>
    </row>
    <row r="1663" spans="2:2" ht="17.25">
      <c r="B1663" s="209"/>
    </row>
    <row r="1664" spans="2:2" ht="17.25">
      <c r="B1664" s="209"/>
    </row>
    <row r="1665" spans="2:2" ht="17.25">
      <c r="B1665" s="209"/>
    </row>
    <row r="1666" spans="2:2" ht="17.25">
      <c r="B1666" s="209"/>
    </row>
    <row r="1667" spans="2:2" ht="17.25">
      <c r="B1667" s="209"/>
    </row>
    <row r="1668" spans="2:2" ht="17.25">
      <c r="B1668" s="209"/>
    </row>
    <row r="1669" spans="2:2" ht="17.25">
      <c r="B1669" s="209"/>
    </row>
    <row r="1670" spans="2:2" ht="17.25">
      <c r="B1670" s="209"/>
    </row>
    <row r="1671" spans="2:2" ht="17.25">
      <c r="B1671" s="209"/>
    </row>
    <row r="1672" spans="2:2" ht="17.25">
      <c r="B1672" s="209"/>
    </row>
    <row r="1673" spans="2:2" ht="17.25">
      <c r="B1673" s="209"/>
    </row>
    <row r="1674" spans="2:2" ht="17.25">
      <c r="B1674" s="209"/>
    </row>
    <row r="1675" spans="2:2" ht="17.25">
      <c r="B1675" s="209"/>
    </row>
    <row r="1676" spans="2:2" ht="17.25">
      <c r="B1676" s="209"/>
    </row>
    <row r="1677" spans="2:2" ht="17.25">
      <c r="B1677" s="209"/>
    </row>
    <row r="1678" spans="2:2" ht="17.25">
      <c r="B1678" s="209"/>
    </row>
    <row r="1679" spans="2:2" ht="17.25">
      <c r="B1679" s="209"/>
    </row>
    <row r="1680" spans="2:2" ht="17.25">
      <c r="B1680" s="209"/>
    </row>
    <row r="1681" spans="2:2" ht="17.25">
      <c r="B1681" s="209"/>
    </row>
    <row r="1682" spans="2:2" ht="17.25">
      <c r="B1682" s="209"/>
    </row>
    <row r="1683" spans="2:2" ht="17.25">
      <c r="B1683" s="209"/>
    </row>
    <row r="1684" spans="2:2" ht="17.25">
      <c r="B1684" s="209"/>
    </row>
    <row r="1685" spans="2:2" ht="17.25">
      <c r="B1685" s="209"/>
    </row>
    <row r="1686" spans="2:2" ht="17.25">
      <c r="B1686" s="209"/>
    </row>
    <row r="1687" spans="2:2" ht="17.25">
      <c r="B1687" s="209"/>
    </row>
    <row r="1688" spans="2:2" ht="17.25">
      <c r="B1688" s="209"/>
    </row>
    <row r="1689" spans="2:2" ht="17.25">
      <c r="B1689" s="209"/>
    </row>
    <row r="1690" spans="2:2" ht="17.25">
      <c r="B1690" s="209"/>
    </row>
    <row r="1691" spans="2:2" ht="17.25">
      <c r="B1691" s="209"/>
    </row>
    <row r="1692" spans="2:2" ht="17.25">
      <c r="B1692" s="209"/>
    </row>
    <row r="1693" spans="2:2" ht="17.25">
      <c r="B1693" s="209"/>
    </row>
    <row r="1694" spans="2:2" ht="17.25">
      <c r="B1694" s="209"/>
    </row>
    <row r="1695" spans="2:2" ht="17.25">
      <c r="B1695" s="209"/>
    </row>
    <row r="1696" spans="2:2" ht="17.25">
      <c r="B1696" s="209"/>
    </row>
    <row r="1697" spans="2:2" ht="17.25">
      <c r="B1697" s="209"/>
    </row>
    <row r="1698" spans="2:2" ht="17.25">
      <c r="B1698" s="209"/>
    </row>
    <row r="1699" spans="2:2" ht="17.25">
      <c r="B1699" s="209"/>
    </row>
    <row r="1700" spans="2:2" ht="17.25">
      <c r="B1700" s="209"/>
    </row>
    <row r="1701" spans="2:2" ht="17.25">
      <c r="B1701" s="209"/>
    </row>
    <row r="1702" spans="2:2" ht="17.25">
      <c r="B1702" s="209"/>
    </row>
    <row r="1703" spans="2:2" ht="17.25">
      <c r="B1703" s="209"/>
    </row>
    <row r="1704" spans="2:2" ht="17.25">
      <c r="B1704" s="209"/>
    </row>
    <row r="1705" spans="2:2" ht="17.25">
      <c r="B1705" s="209"/>
    </row>
    <row r="1706" spans="2:2" ht="17.25">
      <c r="B1706" s="209"/>
    </row>
    <row r="1707" spans="2:2" ht="17.25">
      <c r="B1707" s="209"/>
    </row>
    <row r="1708" spans="2:2" ht="17.25">
      <c r="B1708" s="209"/>
    </row>
    <row r="1709" spans="2:2" ht="17.25">
      <c r="B1709" s="209"/>
    </row>
    <row r="1710" spans="2:2" ht="17.25">
      <c r="B1710" s="209"/>
    </row>
    <row r="1711" spans="2:2" ht="17.25">
      <c r="B1711" s="209"/>
    </row>
    <row r="1712" spans="2:2" ht="17.25">
      <c r="B1712" s="209"/>
    </row>
    <row r="1713" spans="2:2" ht="17.25">
      <c r="B1713" s="209"/>
    </row>
    <row r="1714" spans="2:2" ht="17.25">
      <c r="B1714" s="209"/>
    </row>
    <row r="1715" spans="2:2" ht="17.25">
      <c r="B1715" s="209"/>
    </row>
    <row r="1716" spans="2:2" ht="17.25">
      <c r="B1716" s="209"/>
    </row>
    <row r="1717" spans="2:2" ht="17.25">
      <c r="B1717" s="209"/>
    </row>
    <row r="1718" spans="2:2" ht="17.25">
      <c r="B1718" s="209"/>
    </row>
    <row r="1719" spans="2:2" ht="17.25">
      <c r="B1719" s="209"/>
    </row>
    <row r="1720" spans="2:2" ht="17.25">
      <c r="B1720" s="209"/>
    </row>
    <row r="1721" spans="2:2" ht="17.25">
      <c r="B1721" s="209"/>
    </row>
    <row r="1722" spans="2:2" ht="17.25">
      <c r="B1722" s="209"/>
    </row>
    <row r="1723" spans="2:2" ht="17.25">
      <c r="B1723" s="209"/>
    </row>
    <row r="1724" spans="2:2" ht="17.25">
      <c r="B1724" s="209"/>
    </row>
    <row r="1725" spans="2:2" ht="17.25">
      <c r="B1725" s="209"/>
    </row>
    <row r="1726" spans="2:2" ht="17.25">
      <c r="B1726" s="209"/>
    </row>
    <row r="1727" spans="2:2" ht="17.25">
      <c r="B1727" s="209"/>
    </row>
    <row r="1728" spans="2:2" ht="17.25">
      <c r="B1728" s="209"/>
    </row>
    <row r="1729" spans="2:2" ht="17.25">
      <c r="B1729" s="209"/>
    </row>
    <row r="1730" spans="2:2" ht="17.25">
      <c r="B1730" s="209"/>
    </row>
    <row r="1731" spans="2:2" ht="17.25">
      <c r="B1731" s="209"/>
    </row>
    <row r="1732" spans="2:2" ht="17.25">
      <c r="B1732" s="209"/>
    </row>
    <row r="1733" spans="2:2" ht="17.25">
      <c r="B1733" s="209"/>
    </row>
    <row r="1734" spans="2:2" ht="17.25">
      <c r="B1734" s="209"/>
    </row>
    <row r="1735" spans="2:2" ht="17.25">
      <c r="B1735" s="209"/>
    </row>
    <row r="1736" spans="2:2" ht="17.25">
      <c r="B1736" s="209"/>
    </row>
    <row r="1737" spans="2:2" ht="17.25">
      <c r="B1737" s="209"/>
    </row>
    <row r="1738" spans="2:2" ht="17.25">
      <c r="B1738" s="209"/>
    </row>
    <row r="1739" spans="2:2" ht="17.25">
      <c r="B1739" s="209"/>
    </row>
    <row r="1740" spans="2:2" ht="17.25">
      <c r="B1740" s="209"/>
    </row>
    <row r="1741" spans="2:2" ht="17.25">
      <c r="B1741" s="209"/>
    </row>
    <row r="1742" spans="2:2" ht="17.25">
      <c r="B1742" s="209"/>
    </row>
    <row r="1743" spans="2:2" ht="17.25">
      <c r="B1743" s="209"/>
    </row>
    <row r="1744" spans="2:2" ht="17.25">
      <c r="B1744" s="209"/>
    </row>
    <row r="1745" spans="2:2" ht="17.25">
      <c r="B1745" s="209"/>
    </row>
    <row r="1746" spans="2:2" ht="17.25">
      <c r="B1746" s="209"/>
    </row>
    <row r="1747" spans="2:2" ht="17.25">
      <c r="B1747" s="209"/>
    </row>
    <row r="1748" spans="2:2" ht="17.25">
      <c r="B1748" s="209"/>
    </row>
    <row r="1749" spans="2:2" ht="17.25">
      <c r="B1749" s="209"/>
    </row>
    <row r="1750" spans="2:2" ht="17.25">
      <c r="B1750" s="209"/>
    </row>
    <row r="1751" spans="2:2" ht="17.25">
      <c r="B1751" s="209"/>
    </row>
    <row r="1752" spans="2:2" ht="17.25">
      <c r="B1752" s="209"/>
    </row>
    <row r="1753" spans="2:2" ht="17.25">
      <c r="B1753" s="209"/>
    </row>
    <row r="1754" spans="2:2" ht="17.25">
      <c r="B1754" s="209"/>
    </row>
    <row r="1755" spans="2:2" ht="17.25">
      <c r="B1755" s="209"/>
    </row>
    <row r="1756" spans="2:2" ht="17.25">
      <c r="B1756" s="209"/>
    </row>
    <row r="1757" spans="2:2" ht="17.25">
      <c r="B1757" s="209"/>
    </row>
    <row r="1758" spans="2:2" ht="17.25">
      <c r="B1758" s="209"/>
    </row>
    <row r="1759" spans="2:2" ht="17.25">
      <c r="B1759" s="209"/>
    </row>
    <row r="1760" spans="2:2" ht="17.25">
      <c r="B1760" s="209"/>
    </row>
    <row r="1761" spans="2:2" ht="17.25">
      <c r="B1761" s="209"/>
    </row>
    <row r="1762" spans="2:2" ht="17.25">
      <c r="B1762" s="209"/>
    </row>
    <row r="1763" spans="2:2" ht="17.25">
      <c r="B1763" s="209"/>
    </row>
    <row r="1764" spans="2:2" ht="17.25">
      <c r="B1764" s="209"/>
    </row>
    <row r="1765" spans="2:2" ht="17.25">
      <c r="B1765" s="209"/>
    </row>
    <row r="1766" spans="2:2" ht="17.25">
      <c r="B1766" s="209"/>
    </row>
    <row r="1767" spans="2:2" ht="17.25">
      <c r="B1767" s="209"/>
    </row>
    <row r="1768" spans="2:2" ht="17.25">
      <c r="B1768" s="209"/>
    </row>
    <row r="1769" spans="2:2" ht="17.25">
      <c r="B1769" s="209"/>
    </row>
    <row r="1770" spans="2:2" ht="17.25">
      <c r="B1770" s="209"/>
    </row>
    <row r="1771" spans="2:2" ht="17.25">
      <c r="B1771" s="209"/>
    </row>
    <row r="1772" spans="2:2" ht="17.25">
      <c r="B1772" s="209"/>
    </row>
    <row r="1773" spans="2:2" ht="17.25">
      <c r="B1773" s="209"/>
    </row>
    <row r="1774" spans="2:2" ht="17.25">
      <c r="B1774" s="209"/>
    </row>
    <row r="1775" spans="2:2" ht="17.25">
      <c r="B1775" s="209"/>
    </row>
    <row r="1776" spans="2:2" ht="17.25">
      <c r="B1776" s="209"/>
    </row>
    <row r="1777" spans="2:2" ht="17.25">
      <c r="B1777" s="209"/>
    </row>
    <row r="1778" spans="2:2" ht="17.25">
      <c r="B1778" s="209"/>
    </row>
    <row r="1779" spans="2:2" ht="17.25">
      <c r="B1779" s="209"/>
    </row>
    <row r="1780" spans="2:2" ht="17.25">
      <c r="B1780" s="209"/>
    </row>
    <row r="1781" spans="2:2" ht="17.25">
      <c r="B1781" s="209"/>
    </row>
    <row r="1782" spans="2:2" ht="17.25">
      <c r="B1782" s="209"/>
    </row>
    <row r="1783" spans="2:2" ht="17.25">
      <c r="B1783" s="209"/>
    </row>
    <row r="1784" spans="2:2" ht="17.25">
      <c r="B1784" s="209"/>
    </row>
    <row r="1785" spans="2:2" ht="17.25">
      <c r="B1785" s="209"/>
    </row>
    <row r="1786" spans="2:2" ht="17.25">
      <c r="B1786" s="209"/>
    </row>
    <row r="1787" spans="2:2" ht="17.25">
      <c r="B1787" s="209"/>
    </row>
    <row r="1788" spans="2:2" ht="17.25">
      <c r="B1788" s="209"/>
    </row>
    <row r="1789" spans="2:2" ht="17.25">
      <c r="B1789" s="209"/>
    </row>
    <row r="1790" spans="2:2" ht="17.25">
      <c r="B1790" s="209"/>
    </row>
    <row r="1791" spans="2:2" ht="17.25">
      <c r="B1791" s="209"/>
    </row>
    <row r="1792" spans="2:2" ht="17.25">
      <c r="B1792" s="209"/>
    </row>
    <row r="1793" spans="2:2" ht="17.25">
      <c r="B1793" s="209"/>
    </row>
    <row r="1794" spans="2:2" ht="17.25">
      <c r="B1794" s="209"/>
    </row>
    <row r="1795" spans="2:2" ht="17.25">
      <c r="B1795" s="209"/>
    </row>
    <row r="1796" spans="2:2" ht="17.25">
      <c r="B1796" s="209"/>
    </row>
    <row r="1797" spans="2:2" ht="17.25">
      <c r="B1797" s="209"/>
    </row>
    <row r="1798" spans="2:2" ht="17.25">
      <c r="B1798" s="209"/>
    </row>
    <row r="1799" spans="2:2" ht="17.25">
      <c r="B1799" s="209"/>
    </row>
    <row r="1800" spans="2:2" ht="17.25">
      <c r="B1800" s="209"/>
    </row>
    <row r="1801" spans="2:2" ht="17.25">
      <c r="B1801" s="209"/>
    </row>
    <row r="1802" spans="2:2" ht="17.25">
      <c r="B1802" s="209"/>
    </row>
    <row r="1803" spans="2:2" ht="17.25">
      <c r="B1803" s="209"/>
    </row>
    <row r="1804" spans="2:2" ht="17.25">
      <c r="B1804" s="209"/>
    </row>
    <row r="1805" spans="2:2" ht="17.25">
      <c r="B1805" s="209"/>
    </row>
    <row r="1806" spans="2:2" ht="17.25">
      <c r="B1806" s="209"/>
    </row>
    <row r="1807" spans="2:2" ht="17.25">
      <c r="B1807" s="209"/>
    </row>
    <row r="1808" spans="2:2" ht="17.25">
      <c r="B1808" s="209"/>
    </row>
    <row r="1809" spans="2:2" ht="17.25">
      <c r="B1809" s="209"/>
    </row>
    <row r="1810" spans="2:2" ht="17.25">
      <c r="B1810" s="209"/>
    </row>
    <row r="1811" spans="2:2" ht="17.25">
      <c r="B1811" s="209"/>
    </row>
    <row r="1812" spans="2:2" ht="17.25">
      <c r="B1812" s="209"/>
    </row>
    <row r="1813" spans="2:2" ht="17.25">
      <c r="B1813" s="209"/>
    </row>
    <row r="1814" spans="2:2" ht="17.25">
      <c r="B1814" s="209"/>
    </row>
    <row r="1815" spans="2:2" ht="17.25">
      <c r="B1815" s="209"/>
    </row>
    <row r="1816" spans="2:2" ht="17.25">
      <c r="B1816" s="209"/>
    </row>
    <row r="1817" spans="2:2" ht="17.25">
      <c r="B1817" s="209"/>
    </row>
    <row r="1818" spans="2:2" ht="17.25">
      <c r="B1818" s="209"/>
    </row>
    <row r="1819" spans="2:2" ht="17.25">
      <c r="B1819" s="209"/>
    </row>
    <row r="1820" spans="2:2" ht="17.25">
      <c r="B1820" s="209"/>
    </row>
    <row r="1821" spans="2:2" ht="17.25">
      <c r="B1821" s="209"/>
    </row>
    <row r="1822" spans="2:2" ht="17.25">
      <c r="B1822" s="209"/>
    </row>
    <row r="1823" spans="2:2" ht="17.25">
      <c r="B1823" s="209"/>
    </row>
    <row r="1824" spans="2:2" ht="17.25">
      <c r="B1824" s="209"/>
    </row>
    <row r="1825" spans="2:2" ht="17.25">
      <c r="B1825" s="209"/>
    </row>
    <row r="1826" spans="2:2" ht="17.25">
      <c r="B1826" s="209"/>
    </row>
    <row r="1827" spans="2:2" ht="17.25">
      <c r="B1827" s="209"/>
    </row>
    <row r="1828" spans="2:2" ht="17.25">
      <c r="B1828" s="209"/>
    </row>
    <row r="1829" spans="2:2" ht="17.25">
      <c r="B1829" s="209"/>
    </row>
    <row r="1830" spans="2:2" ht="17.25">
      <c r="B1830" s="209"/>
    </row>
    <row r="1831" spans="2:2" ht="17.25">
      <c r="B1831" s="209"/>
    </row>
    <row r="1832" spans="2:2" ht="17.25">
      <c r="B1832" s="209"/>
    </row>
    <row r="1833" spans="2:2" ht="17.25">
      <c r="B1833" s="209"/>
    </row>
    <row r="1834" spans="2:2" ht="17.25">
      <c r="B1834" s="209"/>
    </row>
    <row r="1835" spans="2:2" ht="17.25">
      <c r="B1835" s="209"/>
    </row>
    <row r="1836" spans="2:2" ht="17.25">
      <c r="B1836" s="209"/>
    </row>
    <row r="1837" spans="2:2" ht="17.25">
      <c r="B1837" s="209"/>
    </row>
    <row r="1838" spans="2:2" ht="17.25">
      <c r="B1838" s="209"/>
    </row>
    <row r="1839" spans="2:2" ht="17.25">
      <c r="B1839" s="209"/>
    </row>
    <row r="1840" spans="2:2" ht="17.25">
      <c r="B1840" s="209"/>
    </row>
    <row r="1841" spans="2:2" ht="17.25">
      <c r="B1841" s="209"/>
    </row>
    <row r="1842" spans="2:2" ht="17.25">
      <c r="B1842" s="209"/>
    </row>
    <row r="1843" spans="2:2" ht="17.25">
      <c r="B1843" s="209"/>
    </row>
    <row r="1844" spans="2:2" ht="17.25">
      <c r="B1844" s="209"/>
    </row>
    <row r="1845" spans="2:2" ht="17.25">
      <c r="B1845" s="209"/>
    </row>
    <row r="1846" spans="2:2" ht="17.25">
      <c r="B1846" s="209"/>
    </row>
    <row r="1847" spans="2:2" ht="17.25">
      <c r="B1847" s="209"/>
    </row>
    <row r="1848" spans="2:2" ht="17.25">
      <c r="B1848" s="209"/>
    </row>
    <row r="1849" spans="2:2" ht="17.25">
      <c r="B1849" s="209"/>
    </row>
    <row r="1850" spans="2:2" ht="17.25">
      <c r="B1850" s="209"/>
    </row>
    <row r="1851" spans="2:2" ht="17.25">
      <c r="B1851" s="209"/>
    </row>
    <row r="1852" spans="2:2" ht="17.25">
      <c r="B1852" s="209"/>
    </row>
    <row r="1853" spans="2:2" ht="17.25">
      <c r="B1853" s="209"/>
    </row>
    <row r="1854" spans="2:2" ht="17.25">
      <c r="B1854" s="209"/>
    </row>
    <row r="1855" spans="2:2" ht="17.25">
      <c r="B1855" s="209"/>
    </row>
    <row r="1856" spans="2:2" ht="17.25">
      <c r="B1856" s="209"/>
    </row>
    <row r="1857" spans="2:2" ht="17.25">
      <c r="B1857" s="209"/>
    </row>
    <row r="1858" spans="2:2" ht="17.25">
      <c r="B1858" s="209"/>
    </row>
    <row r="1859" spans="2:2" ht="17.25">
      <c r="B1859" s="209"/>
    </row>
    <row r="1860" spans="2:2" ht="17.25">
      <c r="B1860" s="209"/>
    </row>
    <row r="1861" spans="2:2" ht="17.25">
      <c r="B1861" s="209"/>
    </row>
    <row r="1862" spans="2:2" ht="17.25">
      <c r="B1862" s="209"/>
    </row>
    <row r="1863" spans="2:2" ht="17.25">
      <c r="B1863" s="209"/>
    </row>
    <row r="1864" spans="2:2" ht="17.25">
      <c r="B1864" s="209"/>
    </row>
    <row r="1865" spans="2:2" ht="17.25">
      <c r="B1865" s="209"/>
    </row>
    <row r="1866" spans="2:2" ht="17.25">
      <c r="B1866" s="209"/>
    </row>
    <row r="1867" spans="2:2" ht="17.25">
      <c r="B1867" s="209"/>
    </row>
    <row r="1868" spans="2:2" ht="17.25">
      <c r="B1868" s="209"/>
    </row>
    <row r="1869" spans="2:2" ht="17.25">
      <c r="B1869" s="209"/>
    </row>
    <row r="1870" spans="2:2" ht="17.25">
      <c r="B1870" s="209"/>
    </row>
    <row r="1871" spans="2:2" ht="17.25">
      <c r="B1871" s="209"/>
    </row>
    <row r="1872" spans="2:2" ht="17.25">
      <c r="B1872" s="209"/>
    </row>
    <row r="1873" spans="2:2" ht="17.25">
      <c r="B1873" s="209"/>
    </row>
    <row r="1874" spans="2:2" ht="17.25">
      <c r="B1874" s="209"/>
    </row>
    <row r="1875" spans="2:2" ht="17.25">
      <c r="B1875" s="209"/>
    </row>
    <row r="1876" spans="2:2" ht="17.25">
      <c r="B1876" s="209"/>
    </row>
    <row r="1877" spans="2:2" ht="17.25">
      <c r="B1877" s="209"/>
    </row>
    <row r="1878" spans="2:2" ht="17.25">
      <c r="B1878" s="209"/>
    </row>
    <row r="1879" spans="2:2" ht="17.25">
      <c r="B1879" s="209"/>
    </row>
    <row r="1880" spans="2:2" ht="17.25">
      <c r="B1880" s="209"/>
    </row>
    <row r="1881" spans="2:2" ht="17.25">
      <c r="B1881" s="209"/>
    </row>
    <row r="1882" spans="2:2" ht="17.25">
      <c r="B1882" s="209"/>
    </row>
    <row r="1883" spans="2:2" ht="17.25">
      <c r="B1883" s="209"/>
    </row>
    <row r="1884" spans="2:2" ht="17.25">
      <c r="B1884" s="209"/>
    </row>
    <row r="1885" spans="2:2" ht="17.25">
      <c r="B1885" s="209"/>
    </row>
    <row r="1886" spans="2:2" ht="17.25">
      <c r="B1886" s="209"/>
    </row>
    <row r="1887" spans="2:2" ht="17.25">
      <c r="B1887" s="209"/>
    </row>
    <row r="1888" spans="2:2" ht="17.25">
      <c r="B1888" s="209"/>
    </row>
    <row r="1889" spans="2:2" ht="17.25">
      <c r="B1889" s="209"/>
    </row>
    <row r="1890" spans="2:2" ht="17.25">
      <c r="B1890" s="209"/>
    </row>
    <row r="1891" spans="2:2" ht="17.25">
      <c r="B1891" s="209"/>
    </row>
    <row r="1892" spans="2:2" ht="17.25">
      <c r="B1892" s="209"/>
    </row>
    <row r="1893" spans="2:2" ht="17.25">
      <c r="B1893" s="209"/>
    </row>
    <row r="1894" spans="2:2" ht="17.25">
      <c r="B1894" s="209"/>
    </row>
    <row r="1895" spans="2:2" ht="17.25">
      <c r="B1895" s="209"/>
    </row>
    <row r="1896" spans="2:2" ht="17.25">
      <c r="B1896" s="209"/>
    </row>
    <row r="1897" spans="2:2" ht="17.25">
      <c r="B1897" s="209"/>
    </row>
    <row r="1898" spans="2:2" ht="17.25">
      <c r="B1898" s="209"/>
    </row>
    <row r="1899" spans="2:2" ht="17.25">
      <c r="B1899" s="209"/>
    </row>
    <row r="1900" spans="2:2" ht="17.25">
      <c r="B1900" s="209"/>
    </row>
    <row r="1901" spans="2:2" ht="17.25">
      <c r="B1901" s="209"/>
    </row>
    <row r="1902" spans="2:2" ht="17.25">
      <c r="B1902" s="209"/>
    </row>
    <row r="1903" spans="2:2" ht="17.25">
      <c r="B1903" s="209"/>
    </row>
    <row r="1904" spans="2:2" ht="17.25">
      <c r="B1904" s="209"/>
    </row>
    <row r="1905" spans="2:2" ht="17.25">
      <c r="B1905" s="209"/>
    </row>
    <row r="1906" spans="2:2" ht="17.25">
      <c r="B1906" s="209"/>
    </row>
    <row r="1907" spans="2:2" ht="17.25">
      <c r="B1907" s="209"/>
    </row>
    <row r="1908" spans="2:2" ht="17.25">
      <c r="B1908" s="209"/>
    </row>
    <row r="1909" spans="2:2" ht="17.25">
      <c r="B1909" s="209"/>
    </row>
    <row r="1910" spans="2:2" ht="17.25">
      <c r="B1910" s="209"/>
    </row>
    <row r="1911" spans="2:2" ht="17.25">
      <c r="B1911" s="209"/>
    </row>
    <row r="1912" spans="2:2" ht="17.25">
      <c r="B1912" s="209"/>
    </row>
    <row r="1913" spans="2:2" ht="17.25">
      <c r="B1913" s="209"/>
    </row>
    <row r="1914" spans="2:2" ht="17.25">
      <c r="B1914" s="209"/>
    </row>
    <row r="1915" spans="2:2" ht="17.25">
      <c r="B1915" s="209"/>
    </row>
    <row r="1916" spans="2:2" ht="17.25">
      <c r="B1916" s="209"/>
    </row>
    <row r="1917" spans="2:2" ht="17.25">
      <c r="B1917" s="209"/>
    </row>
    <row r="1918" spans="2:2" ht="17.25">
      <c r="B1918" s="209"/>
    </row>
    <row r="1919" spans="2:2" ht="17.25">
      <c r="B1919" s="209"/>
    </row>
    <row r="1920" spans="2:2" ht="17.25">
      <c r="B1920" s="209"/>
    </row>
    <row r="1921" spans="2:2" ht="17.25">
      <c r="B1921" s="209"/>
    </row>
    <row r="1922" spans="2:2" ht="17.25">
      <c r="B1922" s="209"/>
    </row>
    <row r="1923" spans="2:2" ht="17.25">
      <c r="B1923" s="209"/>
    </row>
    <row r="1924" spans="2:2" ht="17.25">
      <c r="B1924" s="209"/>
    </row>
    <row r="1925" spans="2:2" ht="17.25">
      <c r="B1925" s="209"/>
    </row>
    <row r="1926" spans="2:2" ht="17.25">
      <c r="B1926" s="209"/>
    </row>
    <row r="1927" spans="2:2" ht="17.25">
      <c r="B1927" s="209"/>
    </row>
    <row r="1928" spans="2:2" ht="17.25">
      <c r="B1928" s="209"/>
    </row>
    <row r="1929" spans="2:2" ht="17.25">
      <c r="B1929" s="209"/>
    </row>
    <row r="1930" spans="2:2" ht="17.25">
      <c r="B1930" s="209"/>
    </row>
    <row r="1931" spans="2:2" ht="17.25">
      <c r="B1931" s="209"/>
    </row>
    <row r="1932" spans="2:2" ht="17.25">
      <c r="B1932" s="209"/>
    </row>
    <row r="1933" spans="2:2" ht="17.25">
      <c r="B1933" s="209"/>
    </row>
    <row r="1934" spans="2:2" ht="17.25">
      <c r="B1934" s="209"/>
    </row>
    <row r="1935" spans="2:2" ht="17.25">
      <c r="B1935" s="209"/>
    </row>
    <row r="1936" spans="2:2" ht="17.25">
      <c r="B1936" s="209"/>
    </row>
    <row r="1937" spans="2:2" ht="17.25">
      <c r="B1937" s="209"/>
    </row>
    <row r="1938" spans="2:2" ht="17.25">
      <c r="B1938" s="209"/>
    </row>
    <row r="1939" spans="2:2" ht="17.25">
      <c r="B1939" s="209"/>
    </row>
    <row r="1940" spans="2:2" ht="17.25">
      <c r="B1940" s="209"/>
    </row>
    <row r="1941" spans="2:2" ht="17.25">
      <c r="B1941" s="209"/>
    </row>
    <row r="1942" spans="2:2" ht="17.25">
      <c r="B1942" s="209"/>
    </row>
    <row r="1943" spans="2:2" ht="17.25">
      <c r="B1943" s="209"/>
    </row>
    <row r="1944" spans="2:2" ht="17.25">
      <c r="B1944" s="209"/>
    </row>
    <row r="1945" spans="2:2" ht="17.25">
      <c r="B1945" s="209"/>
    </row>
    <row r="1946" spans="2:2" ht="17.25">
      <c r="B1946" s="209"/>
    </row>
    <row r="1947" spans="2:2" ht="17.25">
      <c r="B1947" s="209"/>
    </row>
    <row r="1948" spans="2:2" ht="17.25">
      <c r="B1948" s="209"/>
    </row>
    <row r="1949" spans="2:2" ht="17.25">
      <c r="B1949" s="209"/>
    </row>
    <row r="1950" spans="2:2" ht="17.25">
      <c r="B1950" s="209"/>
    </row>
    <row r="1951" spans="2:2" ht="17.25">
      <c r="B1951" s="209"/>
    </row>
    <row r="1952" spans="2:2" ht="17.25">
      <c r="B1952" s="209"/>
    </row>
    <row r="1953" spans="2:2" ht="17.25">
      <c r="B1953" s="209"/>
    </row>
    <row r="1954" spans="2:2" ht="17.25">
      <c r="B1954" s="209"/>
    </row>
    <row r="1955" spans="2:2" ht="17.25">
      <c r="B1955" s="209"/>
    </row>
    <row r="1956" spans="2:2" ht="17.25">
      <c r="B1956" s="209"/>
    </row>
    <row r="1957" spans="2:2" ht="17.25">
      <c r="B1957" s="209"/>
    </row>
    <row r="1958" spans="2:2" ht="17.25">
      <c r="B1958" s="209"/>
    </row>
    <row r="1959" spans="2:2" ht="17.25">
      <c r="B1959" s="209"/>
    </row>
    <row r="1960" spans="2:2" ht="17.25">
      <c r="B1960" s="209"/>
    </row>
    <row r="1961" spans="2:2" ht="17.25">
      <c r="B1961" s="209"/>
    </row>
    <row r="1962" spans="2:2" ht="17.25">
      <c r="B1962" s="209"/>
    </row>
    <row r="1963" spans="2:2" ht="17.25">
      <c r="B1963" s="209"/>
    </row>
    <row r="1964" spans="2:2" ht="17.25">
      <c r="B1964" s="209"/>
    </row>
    <row r="1965" spans="2:2" ht="17.25">
      <c r="B1965" s="209"/>
    </row>
    <row r="1966" spans="2:2" ht="17.25">
      <c r="B1966" s="209"/>
    </row>
    <row r="1967" spans="2:2" ht="17.25">
      <c r="B1967" s="209"/>
    </row>
    <row r="1968" spans="2:2" ht="17.25">
      <c r="B1968" s="209"/>
    </row>
    <row r="1969" spans="2:2" ht="17.25">
      <c r="B1969" s="209"/>
    </row>
    <row r="1970" spans="2:2" ht="17.25">
      <c r="B1970" s="209"/>
    </row>
    <row r="1971" spans="2:2" ht="17.25">
      <c r="B1971" s="209"/>
    </row>
    <row r="1972" spans="2:2" ht="17.25">
      <c r="B1972" s="209"/>
    </row>
    <row r="1973" spans="2:2" ht="17.25">
      <c r="B1973" s="209"/>
    </row>
    <row r="1974" spans="2:2" ht="17.25">
      <c r="B1974" s="209"/>
    </row>
    <row r="1975" spans="2:2" ht="17.25">
      <c r="B1975" s="209"/>
    </row>
    <row r="1976" spans="2:2" ht="17.25">
      <c r="B1976" s="209"/>
    </row>
    <row r="1977" spans="2:2" ht="17.25">
      <c r="B1977" s="209"/>
    </row>
    <row r="1978" spans="2:2" ht="17.25">
      <c r="B1978" s="209"/>
    </row>
    <row r="1979" spans="2:2" ht="17.25">
      <c r="B1979" s="209"/>
    </row>
    <row r="1980" spans="2:2" ht="17.25">
      <c r="B1980" s="209"/>
    </row>
    <row r="1981" spans="2:2" ht="17.25">
      <c r="B1981" s="209"/>
    </row>
    <row r="1982" spans="2:2" ht="17.25">
      <c r="B1982" s="209"/>
    </row>
    <row r="1983" spans="2:2" ht="17.25">
      <c r="B1983" s="209"/>
    </row>
    <row r="1984" spans="2:2" ht="17.25">
      <c r="B1984" s="209"/>
    </row>
    <row r="1985" spans="2:2" ht="17.25">
      <c r="B1985" s="209"/>
    </row>
    <row r="1986" spans="2:2" ht="17.25">
      <c r="B1986" s="209"/>
    </row>
    <row r="1987" spans="2:2" ht="17.25">
      <c r="B1987" s="209"/>
    </row>
    <row r="1988" spans="2:2" ht="17.25">
      <c r="B1988" s="209"/>
    </row>
    <row r="1989" spans="2:2" ht="17.25">
      <c r="B1989" s="209"/>
    </row>
    <row r="1990" spans="2:2" ht="17.25">
      <c r="B1990" s="209"/>
    </row>
    <row r="1991" spans="2:2" ht="17.25">
      <c r="B1991" s="209"/>
    </row>
    <row r="1992" spans="2:2" ht="17.25">
      <c r="B1992" s="209"/>
    </row>
    <row r="1993" spans="2:2" ht="17.25">
      <c r="B1993" s="209"/>
    </row>
    <row r="1994" spans="2:2" ht="17.25">
      <c r="B1994" s="209"/>
    </row>
    <row r="1995" spans="2:2" ht="17.25">
      <c r="B1995" s="209"/>
    </row>
    <row r="1996" spans="2:2" ht="17.25">
      <c r="B1996" s="209"/>
    </row>
    <row r="1997" spans="2:2" ht="17.25">
      <c r="B1997" s="209"/>
    </row>
    <row r="1998" spans="2:2" ht="17.25">
      <c r="B1998" s="209"/>
    </row>
    <row r="1999" spans="2:2" ht="17.25">
      <c r="B1999" s="209"/>
    </row>
    <row r="2000" spans="2:2" ht="17.25">
      <c r="B2000" s="209"/>
    </row>
    <row r="2001" spans="2:2" ht="17.25">
      <c r="B2001" s="209"/>
    </row>
    <row r="2002" spans="2:2" ht="17.25">
      <c r="B2002" s="209"/>
    </row>
    <row r="2003" spans="2:2" ht="17.25">
      <c r="B2003" s="209"/>
    </row>
    <row r="2004" spans="2:2" ht="17.25">
      <c r="B2004" s="209"/>
    </row>
    <row r="2005" spans="2:2" ht="17.25">
      <c r="B2005" s="209"/>
    </row>
    <row r="2006" spans="2:2" ht="17.25">
      <c r="B2006" s="209"/>
    </row>
    <row r="2007" spans="2:2" ht="17.25">
      <c r="B2007" s="209"/>
    </row>
    <row r="2008" spans="2:2" ht="17.25">
      <c r="B2008" s="209"/>
    </row>
    <row r="2009" spans="2:2" ht="17.25">
      <c r="B2009" s="209"/>
    </row>
    <row r="2010" spans="2:2" ht="17.25">
      <c r="B2010" s="209"/>
    </row>
    <row r="2011" spans="2:2" ht="17.25">
      <c r="B2011" s="209"/>
    </row>
    <row r="2012" spans="2:2" ht="17.25">
      <c r="B2012" s="209"/>
    </row>
    <row r="2013" spans="2:2" ht="17.25">
      <c r="B2013" s="209"/>
    </row>
    <row r="2014" spans="2:2" ht="17.25">
      <c r="B2014" s="209"/>
    </row>
    <row r="2015" spans="2:2" ht="17.25">
      <c r="B2015" s="209"/>
    </row>
    <row r="2016" spans="2:2" ht="17.25">
      <c r="B2016" s="209"/>
    </row>
    <row r="2017" spans="2:2" ht="17.25">
      <c r="B2017" s="209"/>
    </row>
    <row r="2018" spans="2:2" ht="17.25">
      <c r="B2018" s="209"/>
    </row>
    <row r="2019" spans="2:2" ht="17.25">
      <c r="B2019" s="209"/>
    </row>
    <row r="2020" spans="2:2" ht="17.25">
      <c r="B2020" s="209"/>
    </row>
    <row r="2021" spans="2:2" ht="17.25">
      <c r="B2021" s="209"/>
    </row>
    <row r="2022" spans="2:2" ht="17.25">
      <c r="B2022" s="209"/>
    </row>
    <row r="2023" spans="2:2" ht="17.25">
      <c r="B2023" s="209"/>
    </row>
    <row r="2024" spans="2:2" ht="17.25">
      <c r="B2024" s="209"/>
    </row>
    <row r="2025" spans="2:2" ht="17.25">
      <c r="B2025" s="209"/>
    </row>
    <row r="2026" spans="2:2" ht="17.25">
      <c r="B2026" s="209"/>
    </row>
    <row r="2027" spans="2:2" ht="17.25">
      <c r="B2027" s="209"/>
    </row>
    <row r="2028" spans="2:2" ht="17.25">
      <c r="B2028" s="209"/>
    </row>
    <row r="2029" spans="2:2" ht="17.25">
      <c r="B2029" s="209"/>
    </row>
    <row r="2030" spans="2:2" ht="17.25">
      <c r="B2030" s="209"/>
    </row>
    <row r="2031" spans="2:2" ht="17.25">
      <c r="B2031" s="209"/>
    </row>
    <row r="2032" spans="2:2" ht="17.25">
      <c r="B2032" s="209"/>
    </row>
    <row r="2033" spans="2:2" ht="17.25">
      <c r="B2033" s="209"/>
    </row>
    <row r="2034" spans="2:2" ht="17.25">
      <c r="B2034" s="209"/>
    </row>
    <row r="2035" spans="2:2" ht="17.25">
      <c r="B2035" s="209"/>
    </row>
    <row r="2036" spans="2:2" ht="17.25">
      <c r="B2036" s="209"/>
    </row>
    <row r="2037" spans="2:2" ht="17.25">
      <c r="B2037" s="209"/>
    </row>
    <row r="2038" spans="2:2" ht="17.25">
      <c r="B2038" s="209"/>
    </row>
    <row r="2039" spans="2:2" ht="17.25">
      <c r="B2039" s="209"/>
    </row>
    <row r="2040" spans="2:2" ht="17.25">
      <c r="B2040" s="209"/>
    </row>
    <row r="2041" spans="2:2" ht="17.25">
      <c r="B2041" s="209"/>
    </row>
    <row r="2042" spans="2:2" ht="17.25">
      <c r="B2042" s="209"/>
    </row>
    <row r="2043" spans="2:2" ht="17.25">
      <c r="B2043" s="209"/>
    </row>
    <row r="2044" spans="2:2" ht="17.25">
      <c r="B2044" s="209"/>
    </row>
    <row r="2045" spans="2:2" ht="17.25">
      <c r="B2045" s="209"/>
    </row>
    <row r="2046" spans="2:2" ht="17.25">
      <c r="B2046" s="209"/>
    </row>
    <row r="2047" spans="2:2" ht="17.25">
      <c r="B2047" s="209"/>
    </row>
    <row r="2048" spans="2:2" ht="17.25">
      <c r="B2048" s="209"/>
    </row>
    <row r="2049" spans="2:2" ht="17.25">
      <c r="B2049" s="209"/>
    </row>
    <row r="2050" spans="2:2" ht="17.25">
      <c r="B2050" s="209"/>
    </row>
    <row r="2051" spans="2:2" ht="17.25">
      <c r="B2051" s="209"/>
    </row>
    <row r="2052" spans="2:2" ht="17.25">
      <c r="B2052" s="209"/>
    </row>
    <row r="2053" spans="2:2" ht="17.25">
      <c r="B2053" s="209"/>
    </row>
    <row r="2054" spans="2:2" ht="17.25">
      <c r="B2054" s="209"/>
    </row>
    <row r="2055" spans="2:2" ht="17.25">
      <c r="B2055" s="209"/>
    </row>
    <row r="2056" spans="2:2" ht="17.25">
      <c r="B2056" s="209"/>
    </row>
    <row r="2057" spans="2:2" ht="17.25">
      <c r="B2057" s="209"/>
    </row>
    <row r="2058" spans="2:2" ht="17.25">
      <c r="B2058" s="209"/>
    </row>
    <row r="2059" spans="2:2" ht="17.25">
      <c r="B2059" s="209"/>
    </row>
    <row r="2060" spans="2:2" ht="17.25">
      <c r="B2060" s="209"/>
    </row>
    <row r="2061" spans="2:2" ht="17.25">
      <c r="B2061" s="209"/>
    </row>
    <row r="2062" spans="2:2" ht="17.25">
      <c r="B2062" s="209"/>
    </row>
    <row r="2063" spans="2:2" ht="17.25">
      <c r="B2063" s="209"/>
    </row>
    <row r="2064" spans="2:2" ht="17.25">
      <c r="B2064" s="209"/>
    </row>
    <row r="2065" spans="2:2" ht="17.25">
      <c r="B2065" s="209"/>
    </row>
    <row r="2066" spans="2:2" ht="17.25">
      <c r="B2066" s="209"/>
    </row>
    <row r="2067" spans="2:2" ht="17.25">
      <c r="B2067" s="209"/>
    </row>
    <row r="2068" spans="2:2" ht="17.25">
      <c r="B2068" s="209"/>
    </row>
    <row r="2069" spans="2:2" ht="17.25">
      <c r="B2069" s="209"/>
    </row>
    <row r="2070" spans="2:2" ht="17.25">
      <c r="B2070" s="209"/>
    </row>
    <row r="2071" spans="2:2" ht="17.25">
      <c r="B2071" s="209"/>
    </row>
    <row r="2072" spans="2:2" ht="17.25">
      <c r="B2072" s="209"/>
    </row>
    <row r="2073" spans="2:2" ht="17.25">
      <c r="B2073" s="209"/>
    </row>
    <row r="2074" spans="2:2" ht="17.25">
      <c r="B2074" s="209"/>
    </row>
    <row r="2075" spans="2:2" ht="17.25">
      <c r="B2075" s="209"/>
    </row>
    <row r="2076" spans="2:2" ht="17.25">
      <c r="B2076" s="209"/>
    </row>
    <row r="2077" spans="2:2" ht="17.25">
      <c r="B2077" s="209"/>
    </row>
    <row r="2078" spans="2:2" ht="17.25">
      <c r="B2078" s="209"/>
    </row>
    <row r="2079" spans="2:2" ht="17.25">
      <c r="B2079" s="209"/>
    </row>
    <row r="2080" spans="2:2" ht="17.25">
      <c r="B2080" s="209"/>
    </row>
    <row r="2081" spans="2:2" ht="17.25">
      <c r="B2081" s="209"/>
    </row>
    <row r="2082" spans="2:2" ht="17.25">
      <c r="B2082" s="209"/>
    </row>
    <row r="2083" spans="2:2" ht="17.25">
      <c r="B2083" s="209"/>
    </row>
    <row r="2084" spans="2:2" ht="17.25">
      <c r="B2084" s="209"/>
    </row>
    <row r="2085" spans="2:2" ht="17.25">
      <c r="B2085" s="209"/>
    </row>
    <row r="2086" spans="2:2" ht="17.25">
      <c r="B2086" s="209"/>
    </row>
    <row r="2087" spans="2:2" ht="17.25">
      <c r="B2087" s="209"/>
    </row>
    <row r="2088" spans="2:2" ht="17.25">
      <c r="B2088" s="209"/>
    </row>
    <row r="2089" spans="2:2" ht="17.25">
      <c r="B2089" s="209"/>
    </row>
    <row r="2090" spans="2:2" ht="17.25">
      <c r="B2090" s="209"/>
    </row>
    <row r="2091" spans="2:2" ht="17.25">
      <c r="B2091" s="209"/>
    </row>
    <row r="2092" spans="2:2" ht="17.25">
      <c r="B2092" s="209"/>
    </row>
    <row r="2093" spans="2:2" ht="17.25">
      <c r="B2093" s="209"/>
    </row>
    <row r="2094" spans="2:2" ht="17.25">
      <c r="B2094" s="209"/>
    </row>
    <row r="2095" spans="2:2" ht="17.25">
      <c r="B2095" s="209"/>
    </row>
    <row r="2096" spans="2:2" ht="17.25">
      <c r="B2096" s="209"/>
    </row>
    <row r="2097" spans="2:2" ht="17.25">
      <c r="B2097" s="209"/>
    </row>
    <row r="2098" spans="2:2" ht="17.25">
      <c r="B2098" s="209"/>
    </row>
    <row r="2099" spans="2:2" ht="17.25">
      <c r="B2099" s="209"/>
    </row>
    <row r="2100" spans="2:2" ht="17.25">
      <c r="B2100" s="209"/>
    </row>
    <row r="2101" spans="2:2" ht="17.25">
      <c r="B2101" s="209"/>
    </row>
    <row r="2102" spans="2:2" ht="17.25">
      <c r="B2102" s="209"/>
    </row>
    <row r="2103" spans="2:2" ht="17.25">
      <c r="B2103" s="209"/>
    </row>
    <row r="2104" spans="2:2" ht="17.25">
      <c r="B2104" s="209"/>
    </row>
    <row r="2105" spans="2:2" ht="17.25">
      <c r="B2105" s="209"/>
    </row>
    <row r="2106" spans="2:2" ht="17.25">
      <c r="B2106" s="209"/>
    </row>
    <row r="2107" spans="2:2" ht="17.25">
      <c r="B2107" s="209"/>
    </row>
    <row r="2108" spans="2:2" ht="17.25">
      <c r="B2108" s="209"/>
    </row>
    <row r="2109" spans="2:2" ht="17.25">
      <c r="B2109" s="209"/>
    </row>
    <row r="2110" spans="2:2" ht="17.25">
      <c r="B2110" s="209"/>
    </row>
    <row r="2111" spans="2:2" ht="17.25">
      <c r="B2111" s="209"/>
    </row>
    <row r="2112" spans="2:2" ht="17.25">
      <c r="B2112" s="209"/>
    </row>
    <row r="2113" spans="2:2" ht="17.25">
      <c r="B2113" s="209"/>
    </row>
    <row r="2114" spans="2:2" ht="17.25">
      <c r="B2114" s="209"/>
    </row>
    <row r="2115" spans="2:2" ht="17.25">
      <c r="B2115" s="209"/>
    </row>
    <row r="2116" spans="2:2" ht="17.25">
      <c r="B2116" s="209"/>
    </row>
    <row r="2117" spans="2:2" ht="17.25">
      <c r="B2117" s="209"/>
    </row>
    <row r="2118" spans="2:2" ht="17.25">
      <c r="B2118" s="209"/>
    </row>
    <row r="2119" spans="2:2" ht="17.25">
      <c r="B2119" s="209"/>
    </row>
    <row r="2120" spans="2:2" ht="17.25">
      <c r="B2120" s="209"/>
    </row>
    <row r="2121" spans="2:2" ht="17.25">
      <c r="B2121" s="209"/>
    </row>
    <row r="2122" spans="2:2" ht="17.25">
      <c r="B2122" s="209"/>
    </row>
    <row r="2123" spans="2:2" ht="17.25">
      <c r="B2123" s="209"/>
    </row>
    <row r="2124" spans="2:2" ht="17.25">
      <c r="B2124" s="209"/>
    </row>
    <row r="2125" spans="2:2" ht="17.25">
      <c r="B2125" s="209"/>
    </row>
    <row r="2126" spans="2:2" ht="17.25">
      <c r="B2126" s="209"/>
    </row>
    <row r="2127" spans="2:2" ht="17.25">
      <c r="B2127" s="209"/>
    </row>
    <row r="2128" spans="2:2" ht="17.25">
      <c r="B2128" s="209"/>
    </row>
    <row r="2129" spans="2:2" ht="17.25">
      <c r="B2129" s="209"/>
    </row>
    <row r="2130" spans="2:2" ht="17.25">
      <c r="B2130" s="209"/>
    </row>
    <row r="2131" spans="2:2" ht="17.25">
      <c r="B2131" s="209"/>
    </row>
    <row r="2132" spans="2:2" ht="17.25">
      <c r="B2132" s="209"/>
    </row>
    <row r="2133" spans="2:2" ht="17.25">
      <c r="B2133" s="209"/>
    </row>
    <row r="2134" spans="2:2" ht="17.25">
      <c r="B2134" s="209"/>
    </row>
    <row r="2135" spans="2:2" ht="17.25">
      <c r="B2135" s="209"/>
    </row>
    <row r="2136" spans="2:2" ht="17.25">
      <c r="B2136" s="209"/>
    </row>
    <row r="2137" spans="2:2" ht="17.25">
      <c r="B2137" s="209"/>
    </row>
    <row r="2138" spans="2:2" ht="17.25">
      <c r="B2138" s="209"/>
    </row>
    <row r="2139" spans="2:2" ht="17.25">
      <c r="B2139" s="209"/>
    </row>
    <row r="2140" spans="2:2" ht="17.25">
      <c r="B2140" s="209"/>
    </row>
    <row r="2141" spans="2:2" ht="17.25">
      <c r="B2141" s="209"/>
    </row>
    <row r="2142" spans="2:2" ht="17.25">
      <c r="B2142" s="209"/>
    </row>
    <row r="2143" spans="2:2" ht="17.25">
      <c r="B2143" s="209"/>
    </row>
    <row r="2144" spans="2:2" ht="17.25">
      <c r="B2144" s="209"/>
    </row>
    <row r="2145" spans="2:2" ht="17.25">
      <c r="B2145" s="209"/>
    </row>
    <row r="2146" spans="2:2" ht="17.25">
      <c r="B2146" s="209"/>
    </row>
    <row r="2147" spans="2:2" ht="17.25">
      <c r="B2147" s="209"/>
    </row>
    <row r="2148" spans="2:2" ht="17.25">
      <c r="B2148" s="209"/>
    </row>
    <row r="2149" spans="2:2" ht="17.25">
      <c r="B2149" s="209"/>
    </row>
    <row r="2150" spans="2:2" ht="17.25">
      <c r="B2150" s="209"/>
    </row>
    <row r="2151" spans="2:2" ht="17.25">
      <c r="B2151" s="209"/>
    </row>
    <row r="2152" spans="2:2" ht="17.25">
      <c r="B2152" s="209"/>
    </row>
    <row r="2153" spans="2:2" ht="17.25">
      <c r="B2153" s="209"/>
    </row>
    <row r="2154" spans="2:2" ht="17.25">
      <c r="B2154" s="209"/>
    </row>
    <row r="2155" spans="2:2" ht="17.25">
      <c r="B2155" s="209"/>
    </row>
    <row r="2156" spans="2:2" ht="17.25">
      <c r="B2156" s="209"/>
    </row>
    <row r="2157" spans="2:2" ht="17.25">
      <c r="B2157" s="209"/>
    </row>
    <row r="2158" spans="2:2" ht="17.25">
      <c r="B2158" s="209"/>
    </row>
    <row r="2159" spans="2:2" ht="17.25">
      <c r="B2159" s="209"/>
    </row>
    <row r="2160" spans="2:2" ht="17.25">
      <c r="B2160" s="209"/>
    </row>
    <row r="2161" spans="2:2" ht="17.25">
      <c r="B2161" s="209"/>
    </row>
    <row r="2162" spans="2:2" ht="17.25">
      <c r="B2162" s="209"/>
    </row>
    <row r="2163" spans="2:2" ht="17.25">
      <c r="B2163" s="209"/>
    </row>
    <row r="2164" spans="2:2" ht="17.25">
      <c r="B2164" s="209"/>
    </row>
    <row r="2165" spans="2:2" ht="17.25">
      <c r="B2165" s="209"/>
    </row>
    <row r="2166" spans="2:2" ht="17.25">
      <c r="B2166" s="209"/>
    </row>
    <row r="2167" spans="2:2" ht="17.25">
      <c r="B2167" s="209"/>
    </row>
    <row r="2168" spans="2:2" ht="17.25">
      <c r="B2168" s="209"/>
    </row>
    <row r="2169" spans="2:2" ht="17.25">
      <c r="B2169" s="209"/>
    </row>
    <row r="2170" spans="2:2" ht="17.25">
      <c r="B2170" s="209"/>
    </row>
    <row r="2171" spans="2:2" ht="17.25">
      <c r="B2171" s="209"/>
    </row>
    <row r="2172" spans="2:2" ht="17.25">
      <c r="B2172" s="209"/>
    </row>
    <row r="2173" spans="2:2" ht="17.25">
      <c r="B2173" s="209"/>
    </row>
    <row r="2174" spans="2:2" ht="17.25">
      <c r="B2174" s="209"/>
    </row>
    <row r="2175" spans="2:2" ht="17.25">
      <c r="B2175" s="209"/>
    </row>
    <row r="2176" spans="2:2" ht="17.25">
      <c r="B2176" s="209"/>
    </row>
    <row r="2177" spans="2:2" ht="17.25">
      <c r="B2177" s="209"/>
    </row>
    <row r="2178" spans="2:2" ht="17.25">
      <c r="B2178" s="209"/>
    </row>
    <row r="2179" spans="2:2" ht="17.25">
      <c r="B2179" s="209"/>
    </row>
    <row r="2180" spans="2:2" ht="17.25">
      <c r="B2180" s="209"/>
    </row>
    <row r="2181" spans="2:2" ht="17.25">
      <c r="B2181" s="209"/>
    </row>
    <row r="2182" spans="2:2" ht="17.25">
      <c r="B2182" s="209"/>
    </row>
    <row r="2183" spans="2:2" ht="17.25">
      <c r="B2183" s="209"/>
    </row>
    <row r="2184" spans="2:2" ht="17.25">
      <c r="B2184" s="209"/>
    </row>
    <row r="2185" spans="2:2" ht="17.25">
      <c r="B2185" s="209"/>
    </row>
    <row r="2186" spans="2:2" ht="17.25">
      <c r="B2186" s="209"/>
    </row>
    <row r="2187" spans="2:2" ht="17.25">
      <c r="B2187" s="209"/>
    </row>
    <row r="2188" spans="2:2" ht="17.25">
      <c r="B2188" s="209"/>
    </row>
    <row r="2189" spans="2:2" ht="17.25">
      <c r="B2189" s="209"/>
    </row>
    <row r="2190" spans="2:2" ht="17.25">
      <c r="B2190" s="209"/>
    </row>
    <row r="2191" spans="2:2" ht="17.25">
      <c r="B2191" s="209"/>
    </row>
    <row r="2192" spans="2:2" ht="17.25">
      <c r="B2192" s="209"/>
    </row>
    <row r="2193" spans="2:2" ht="17.25">
      <c r="B2193" s="209"/>
    </row>
    <row r="2194" spans="2:2" ht="17.25">
      <c r="B2194" s="209"/>
    </row>
    <row r="2195" spans="2:2" ht="17.25">
      <c r="B2195" s="209"/>
    </row>
    <row r="2196" spans="2:2" ht="17.25">
      <c r="B2196" s="209"/>
    </row>
    <row r="2197" spans="2:2" ht="17.25">
      <c r="B2197" s="209"/>
    </row>
    <row r="2198" spans="2:2" ht="17.25">
      <c r="B2198" s="209"/>
    </row>
    <row r="2199" spans="2:2" ht="17.25">
      <c r="B2199" s="209"/>
    </row>
    <row r="2200" spans="2:2" ht="17.25">
      <c r="B2200" s="209"/>
    </row>
    <row r="2201" spans="2:2" ht="17.25">
      <c r="B2201" s="209"/>
    </row>
    <row r="2202" spans="2:2" ht="17.25">
      <c r="B2202" s="209"/>
    </row>
    <row r="2203" spans="2:2" ht="17.25">
      <c r="B2203" s="209"/>
    </row>
    <row r="2204" spans="2:2" ht="17.25">
      <c r="B2204" s="209"/>
    </row>
    <row r="2205" spans="2:2" ht="17.25">
      <c r="B2205" s="209"/>
    </row>
    <row r="2206" spans="2:2" ht="17.25">
      <c r="B2206" s="209"/>
    </row>
    <row r="2207" spans="2:2" ht="17.25">
      <c r="B2207" s="209"/>
    </row>
    <row r="2208" spans="2:2" ht="17.25">
      <c r="B2208" s="209"/>
    </row>
    <row r="2209" spans="2:2" ht="17.25">
      <c r="B2209" s="209"/>
    </row>
    <row r="2210" spans="2:2" ht="17.25">
      <c r="B2210" s="209"/>
    </row>
    <row r="2211" spans="2:2" ht="17.25">
      <c r="B2211" s="209"/>
    </row>
    <row r="2212" spans="2:2" ht="17.25">
      <c r="B2212" s="209"/>
    </row>
    <row r="2213" spans="2:2" ht="17.25">
      <c r="B2213" s="209"/>
    </row>
    <row r="2214" spans="2:2" ht="17.25">
      <c r="B2214" s="209"/>
    </row>
    <row r="2215" spans="2:2" ht="17.25">
      <c r="B2215" s="209"/>
    </row>
    <row r="2216" spans="2:2" ht="17.25">
      <c r="B2216" s="209"/>
    </row>
    <row r="2217" spans="2:2" ht="17.25">
      <c r="B2217" s="209"/>
    </row>
    <row r="2218" spans="2:2" ht="17.25">
      <c r="B2218" s="209"/>
    </row>
    <row r="2219" spans="2:2" ht="17.25">
      <c r="B2219" s="209"/>
    </row>
    <row r="2220" spans="2:2" ht="17.25">
      <c r="B2220" s="209"/>
    </row>
    <row r="2221" spans="2:2" ht="17.25">
      <c r="B2221" s="209"/>
    </row>
    <row r="2222" spans="2:2" ht="17.25">
      <c r="B2222" s="209"/>
    </row>
    <row r="2223" spans="2:2" ht="17.25">
      <c r="B2223" s="209"/>
    </row>
    <row r="2224" spans="2:2" ht="17.25">
      <c r="B2224" s="209"/>
    </row>
    <row r="2225" spans="2:2" ht="17.25">
      <c r="B2225" s="209"/>
    </row>
    <row r="2226" spans="2:2" ht="17.25">
      <c r="B2226" s="209"/>
    </row>
    <row r="2227" spans="2:2" ht="17.25">
      <c r="B2227" s="209"/>
    </row>
    <row r="2228" spans="2:2" ht="17.25">
      <c r="B2228" s="209"/>
    </row>
    <row r="2229" spans="2:2" ht="17.25">
      <c r="B2229" s="209"/>
    </row>
    <row r="2230" spans="2:2" ht="17.25">
      <c r="B2230" s="209"/>
    </row>
    <row r="2231" spans="2:2" ht="17.25">
      <c r="B2231" s="209"/>
    </row>
    <row r="2232" spans="2:2" ht="17.25">
      <c r="B2232" s="209"/>
    </row>
    <row r="2233" spans="2:2" ht="17.25">
      <c r="B2233" s="209"/>
    </row>
    <row r="2234" spans="2:2" ht="17.25">
      <c r="B2234" s="209"/>
    </row>
    <row r="2235" spans="2:2" ht="17.25">
      <c r="B2235" s="209"/>
    </row>
    <row r="2236" spans="2:2" ht="17.25">
      <c r="B2236" s="209"/>
    </row>
    <row r="2237" spans="2:2" ht="17.25">
      <c r="B2237" s="209"/>
    </row>
    <row r="2238" spans="2:2" ht="17.25">
      <c r="B2238" s="209"/>
    </row>
    <row r="2239" spans="2:2" ht="17.25">
      <c r="B2239" s="209"/>
    </row>
    <row r="2240" spans="2:2" ht="17.25">
      <c r="B2240" s="209"/>
    </row>
    <row r="2241" spans="2:2" ht="17.25">
      <c r="B2241" s="209"/>
    </row>
    <row r="2242" spans="2:2" ht="17.25">
      <c r="B2242" s="209"/>
    </row>
    <row r="2243" spans="2:2" ht="17.25">
      <c r="B2243" s="209"/>
    </row>
    <row r="2244" spans="2:2" ht="17.25">
      <c r="B2244" s="209"/>
    </row>
    <row r="2245" spans="2:2" ht="17.25">
      <c r="B2245" s="209"/>
    </row>
    <row r="2246" spans="2:2" ht="17.25">
      <c r="B2246" s="209"/>
    </row>
    <row r="2247" spans="2:2" ht="17.25">
      <c r="B2247" s="209"/>
    </row>
    <row r="2248" spans="2:2" ht="17.25">
      <c r="B2248" s="209"/>
    </row>
    <row r="2249" spans="2:2" ht="17.25">
      <c r="B2249" s="209"/>
    </row>
    <row r="2250" spans="2:2" ht="17.25">
      <c r="B2250" s="209"/>
    </row>
    <row r="2251" spans="2:2" ht="17.25">
      <c r="B2251" s="209"/>
    </row>
    <row r="2252" spans="2:2" ht="17.25">
      <c r="B2252" s="209"/>
    </row>
    <row r="2253" spans="2:2" ht="17.25">
      <c r="B2253" s="209"/>
    </row>
    <row r="2254" spans="2:2" ht="17.25">
      <c r="B2254" s="209"/>
    </row>
    <row r="2255" spans="2:2" ht="17.25">
      <c r="B2255" s="209"/>
    </row>
    <row r="2256" spans="2:2" ht="17.25">
      <c r="B2256" s="209"/>
    </row>
    <row r="2257" spans="2:2" ht="17.25">
      <c r="B2257" s="209"/>
    </row>
    <row r="2258" spans="2:2" ht="17.25">
      <c r="B2258" s="209"/>
    </row>
    <row r="2259" spans="2:2" ht="17.25">
      <c r="B2259" s="209"/>
    </row>
    <row r="2260" spans="2:2" ht="17.25">
      <c r="B2260" s="209"/>
    </row>
    <row r="2261" spans="2:2" ht="17.25">
      <c r="B2261" s="209"/>
    </row>
    <row r="2262" spans="2:2" ht="17.25">
      <c r="B2262" s="209"/>
    </row>
    <row r="2263" spans="2:2" ht="17.25">
      <c r="B2263" s="209"/>
    </row>
    <row r="2264" spans="2:2" ht="17.25">
      <c r="B2264" s="209"/>
    </row>
    <row r="2265" spans="2:2" ht="17.25">
      <c r="B2265" s="209"/>
    </row>
    <row r="2266" spans="2:2" ht="17.25">
      <c r="B2266" s="209"/>
    </row>
    <row r="2267" spans="2:2" ht="17.25">
      <c r="B2267" s="209"/>
    </row>
    <row r="2268" spans="2:2" ht="17.25">
      <c r="B2268" s="209"/>
    </row>
    <row r="2269" spans="2:2" ht="17.25">
      <c r="B2269" s="209"/>
    </row>
    <row r="2270" spans="2:2" ht="17.25">
      <c r="B2270" s="209"/>
    </row>
    <row r="2271" spans="2:2" ht="17.25">
      <c r="B2271" s="209"/>
    </row>
    <row r="2272" spans="2:2" ht="17.25">
      <c r="B2272" s="209"/>
    </row>
    <row r="2273" spans="2:2" ht="17.25">
      <c r="B2273" s="209"/>
    </row>
    <row r="2274" spans="2:2" ht="17.25">
      <c r="B2274" s="209"/>
    </row>
    <row r="2275" spans="2:2" ht="17.25">
      <c r="B2275" s="209"/>
    </row>
    <row r="2276" spans="2:2" ht="17.25">
      <c r="B2276" s="209"/>
    </row>
    <row r="2277" spans="2:2" ht="17.25">
      <c r="B2277" s="209"/>
    </row>
    <row r="2278" spans="2:2" ht="17.25">
      <c r="B2278" s="209"/>
    </row>
    <row r="2279" spans="2:2" ht="17.25">
      <c r="B2279" s="209"/>
    </row>
    <row r="2280" spans="2:2" ht="17.25">
      <c r="B2280" s="209"/>
    </row>
    <row r="2281" spans="2:2" ht="17.25">
      <c r="B2281" s="209"/>
    </row>
    <row r="2282" spans="2:2" ht="17.25">
      <c r="B2282" s="209"/>
    </row>
    <row r="2283" spans="2:2" ht="17.25">
      <c r="B2283" s="209"/>
    </row>
    <row r="2284" spans="2:2" ht="17.25">
      <c r="B2284" s="209"/>
    </row>
    <row r="2285" spans="2:2" ht="17.25">
      <c r="B2285" s="209"/>
    </row>
    <row r="2286" spans="2:2" ht="17.25">
      <c r="B2286" s="209"/>
    </row>
    <row r="2287" spans="2:2" ht="17.25">
      <c r="B2287" s="209"/>
    </row>
    <row r="2288" spans="2:2" ht="17.25">
      <c r="B2288" s="209"/>
    </row>
    <row r="2289" spans="2:2" ht="17.25">
      <c r="B2289" s="209"/>
    </row>
    <row r="2290" spans="2:2" ht="17.25">
      <c r="B2290" s="209"/>
    </row>
    <row r="2291" spans="2:2" ht="17.25">
      <c r="B2291" s="209"/>
    </row>
    <row r="2292" spans="2:2" ht="17.25">
      <c r="B2292" s="209"/>
    </row>
    <row r="2293" spans="2:2" ht="17.25">
      <c r="B2293" s="209"/>
    </row>
    <row r="2294" spans="2:2" ht="17.25">
      <c r="B2294" s="209"/>
    </row>
    <row r="2295" spans="2:2" ht="17.25">
      <c r="B2295" s="209"/>
    </row>
    <row r="2296" spans="2:2" ht="17.25">
      <c r="B2296" s="209"/>
    </row>
    <row r="2297" spans="2:2" ht="17.25">
      <c r="B2297" s="209"/>
    </row>
    <row r="2298" spans="2:2" ht="17.25">
      <c r="B2298" s="209"/>
    </row>
    <row r="2299" spans="2:2" ht="17.25">
      <c r="B2299" s="209"/>
    </row>
    <row r="2300" spans="2:2" ht="17.25">
      <c r="B2300" s="209"/>
    </row>
    <row r="2301" spans="2:2" ht="17.25">
      <c r="B2301" s="209"/>
    </row>
    <row r="2302" spans="2:2" ht="17.25">
      <c r="B2302" s="209"/>
    </row>
    <row r="2303" spans="2:2" ht="17.25">
      <c r="B2303" s="209"/>
    </row>
    <row r="2304" spans="2:2" ht="17.25">
      <c r="B2304" s="209"/>
    </row>
    <row r="2305" spans="2:2" ht="17.25">
      <c r="B2305" s="209"/>
    </row>
    <row r="2306" spans="2:2" ht="17.25">
      <c r="B2306" s="209"/>
    </row>
    <row r="2307" spans="2:2" ht="17.25">
      <c r="B2307" s="209"/>
    </row>
    <row r="2308" spans="2:2" ht="17.25">
      <c r="B2308" s="209"/>
    </row>
    <row r="2309" spans="2:2" ht="17.25">
      <c r="B2309" s="209"/>
    </row>
    <row r="2310" spans="2:2" ht="17.25">
      <c r="B2310" s="209"/>
    </row>
    <row r="2311" spans="2:2" ht="17.25">
      <c r="B2311" s="209"/>
    </row>
    <row r="2312" spans="2:2" ht="17.25">
      <c r="B2312" s="209"/>
    </row>
    <row r="2313" spans="2:2" ht="17.25">
      <c r="B2313" s="209"/>
    </row>
    <row r="2314" spans="2:2" ht="17.25">
      <c r="B2314" s="209"/>
    </row>
    <row r="2315" spans="2:2" ht="17.25">
      <c r="B2315" s="209"/>
    </row>
    <row r="2316" spans="2:2" ht="17.25">
      <c r="B2316" s="209"/>
    </row>
    <row r="2317" spans="2:2" ht="17.25">
      <c r="B2317" s="209"/>
    </row>
    <row r="2318" spans="2:2" ht="17.25">
      <c r="B2318" s="209"/>
    </row>
    <row r="2319" spans="2:2" ht="17.25">
      <c r="B2319" s="209"/>
    </row>
    <row r="2320" spans="2:2" ht="17.25">
      <c r="B2320" s="209"/>
    </row>
    <row r="2321" spans="2:2" ht="17.25">
      <c r="B2321" s="209"/>
    </row>
    <row r="2322" spans="2:2" ht="17.25">
      <c r="B2322" s="209"/>
    </row>
    <row r="2323" spans="2:2" ht="17.25">
      <c r="B2323" s="209"/>
    </row>
    <row r="2324" spans="2:2" ht="17.25">
      <c r="B2324" s="209"/>
    </row>
    <row r="2325" spans="2:2" ht="17.25">
      <c r="B2325" s="209"/>
    </row>
    <row r="2326" spans="2:2" ht="17.25">
      <c r="B2326" s="209"/>
    </row>
    <row r="2327" spans="2:2" ht="17.25">
      <c r="B2327" s="209"/>
    </row>
    <row r="2328" spans="2:2" ht="17.25">
      <c r="B2328" s="209"/>
    </row>
    <row r="2329" spans="2:2" ht="17.25">
      <c r="B2329" s="209"/>
    </row>
    <row r="2330" spans="2:2" ht="17.25">
      <c r="B2330" s="209"/>
    </row>
    <row r="2331" spans="2:2" ht="17.25">
      <c r="B2331" s="209"/>
    </row>
    <row r="2332" spans="2:2" ht="17.25">
      <c r="B2332" s="209"/>
    </row>
    <row r="2333" spans="2:2" ht="17.25">
      <c r="B2333" s="209"/>
    </row>
    <row r="2334" spans="2:2" ht="17.25">
      <c r="B2334" s="209"/>
    </row>
    <row r="2335" spans="2:2" ht="17.25">
      <c r="B2335" s="209"/>
    </row>
    <row r="2336" spans="2:2" ht="17.25">
      <c r="B2336" s="209"/>
    </row>
    <row r="2337" spans="2:2" ht="17.25">
      <c r="B2337" s="209"/>
    </row>
    <row r="2338" spans="2:2" ht="17.25">
      <c r="B2338" s="209"/>
    </row>
    <row r="2339" spans="2:2" ht="17.25">
      <c r="B2339" s="209"/>
    </row>
    <row r="2340" spans="2:2" ht="17.25">
      <c r="B2340" s="209"/>
    </row>
    <row r="2341" spans="2:2" ht="17.25">
      <c r="B2341" s="209"/>
    </row>
    <row r="2342" spans="2:2" ht="17.25">
      <c r="B2342" s="209"/>
    </row>
    <row r="2343" spans="2:2" ht="17.25">
      <c r="B2343" s="209"/>
    </row>
    <row r="2344" spans="2:2" ht="17.25">
      <c r="B2344" s="209"/>
    </row>
    <row r="2345" spans="2:2" ht="17.25">
      <c r="B2345" s="209"/>
    </row>
    <row r="2346" spans="2:2" ht="17.25">
      <c r="B2346" s="209"/>
    </row>
    <row r="2347" spans="2:2" ht="17.25">
      <c r="B2347" s="209"/>
    </row>
    <row r="2348" spans="2:2" ht="17.25">
      <c r="B2348" s="209"/>
    </row>
    <row r="2349" spans="2:2" ht="17.25">
      <c r="B2349" s="209"/>
    </row>
    <row r="2350" spans="2:2" ht="17.25">
      <c r="B2350" s="209"/>
    </row>
    <row r="2351" spans="2:2" ht="17.25">
      <c r="B2351" s="209"/>
    </row>
    <row r="2352" spans="2:2" ht="17.25">
      <c r="B2352" s="209"/>
    </row>
    <row r="2353" spans="2:2" ht="17.25">
      <c r="B2353" s="209"/>
    </row>
    <row r="2354" spans="2:2" ht="17.25">
      <c r="B2354" s="209"/>
    </row>
    <row r="2355" spans="2:2" ht="17.25">
      <c r="B2355" s="209"/>
    </row>
    <row r="2356" spans="2:2" ht="17.25">
      <c r="B2356" s="209"/>
    </row>
    <row r="2357" spans="2:2" ht="17.25">
      <c r="B2357" s="209"/>
    </row>
    <row r="2358" spans="2:2" ht="17.25">
      <c r="B2358" s="209"/>
    </row>
    <row r="2359" spans="2:2" ht="17.25">
      <c r="B2359" s="209"/>
    </row>
    <row r="2360" spans="2:2" ht="17.25">
      <c r="B2360" s="209"/>
    </row>
    <row r="2361" spans="2:2" ht="17.25">
      <c r="B2361" s="209"/>
    </row>
    <row r="2362" spans="2:2" ht="17.25">
      <c r="B2362" s="209"/>
    </row>
    <row r="2363" spans="2:2" ht="17.25">
      <c r="B2363" s="209"/>
    </row>
    <row r="2364" spans="2:2" ht="17.25">
      <c r="B2364" s="209"/>
    </row>
    <row r="2365" spans="2:2" ht="17.25">
      <c r="B2365" s="209"/>
    </row>
    <row r="2366" spans="2:2" ht="17.25">
      <c r="B2366" s="209"/>
    </row>
    <row r="2367" spans="2:2" ht="17.25">
      <c r="B2367" s="209"/>
    </row>
    <row r="2368" spans="2:2" ht="17.25">
      <c r="B2368" s="209"/>
    </row>
    <row r="2369" spans="2:2" ht="17.25">
      <c r="B2369" s="209"/>
    </row>
    <row r="2370" spans="2:2" ht="17.25">
      <c r="B2370" s="209"/>
    </row>
    <row r="2371" spans="2:2" ht="17.25">
      <c r="B2371" s="209"/>
    </row>
    <row r="2372" spans="2:2" ht="17.25">
      <c r="B2372" s="209"/>
    </row>
    <row r="2373" spans="2:2" ht="17.25">
      <c r="B2373" s="209"/>
    </row>
    <row r="2374" spans="2:2" ht="17.25">
      <c r="B2374" s="209"/>
    </row>
    <row r="2375" spans="2:2" ht="17.25">
      <c r="B2375" s="209"/>
    </row>
    <row r="2376" spans="2:2" ht="17.25">
      <c r="B2376" s="209"/>
    </row>
    <row r="2377" spans="2:2" ht="17.25">
      <c r="B2377" s="209"/>
    </row>
    <row r="2378" spans="2:2" ht="17.25">
      <c r="B2378" s="209"/>
    </row>
    <row r="2379" spans="2:2" ht="17.25">
      <c r="B2379" s="209"/>
    </row>
    <row r="2380" spans="2:2" ht="17.25">
      <c r="B2380" s="209"/>
    </row>
    <row r="2381" spans="2:2" ht="17.25">
      <c r="B2381" s="209"/>
    </row>
    <row r="2382" spans="2:2" ht="17.25">
      <c r="B2382" s="209"/>
    </row>
    <row r="2383" spans="2:2" ht="17.25">
      <c r="B2383" s="209"/>
    </row>
    <row r="2384" spans="2:2" ht="17.25">
      <c r="B2384" s="209"/>
    </row>
    <row r="2385" spans="2:2" ht="17.25">
      <c r="B2385" s="209"/>
    </row>
    <row r="2386" spans="2:2" ht="17.25">
      <c r="B2386" s="209"/>
    </row>
    <row r="2387" spans="2:2" ht="17.25">
      <c r="B2387" s="209"/>
    </row>
    <row r="2388" spans="2:2" ht="17.25">
      <c r="B2388" s="209"/>
    </row>
    <row r="2389" spans="2:2" ht="17.25">
      <c r="B2389" s="209"/>
    </row>
    <row r="2390" spans="2:2" ht="17.25">
      <c r="B2390" s="209"/>
    </row>
    <row r="2391" spans="2:2" ht="17.25">
      <c r="B2391" s="209"/>
    </row>
    <row r="2392" spans="2:2" ht="17.25">
      <c r="B2392" s="209"/>
    </row>
    <row r="2393" spans="2:2" ht="17.25">
      <c r="B2393" s="209"/>
    </row>
    <row r="2394" spans="2:2" ht="17.25">
      <c r="B2394" s="209"/>
    </row>
    <row r="2395" spans="2:2" ht="17.25">
      <c r="B2395" s="209"/>
    </row>
    <row r="2396" spans="2:2" ht="17.25">
      <c r="B2396" s="209"/>
    </row>
    <row r="2397" spans="2:2" ht="17.25">
      <c r="B2397" s="209"/>
    </row>
    <row r="2398" spans="2:2" ht="17.25">
      <c r="B2398" s="209"/>
    </row>
    <row r="2399" spans="2:2" ht="17.25">
      <c r="B2399" s="209"/>
    </row>
    <row r="2400" spans="2:2" ht="17.25">
      <c r="B2400" s="209"/>
    </row>
    <row r="2401" spans="2:2" ht="17.25">
      <c r="B2401" s="209"/>
    </row>
    <row r="2402" spans="2:2" ht="17.25">
      <c r="B2402" s="209"/>
    </row>
    <row r="2403" spans="2:2" ht="17.25">
      <c r="B2403" s="209"/>
    </row>
    <row r="2404" spans="2:2" ht="17.25">
      <c r="B2404" s="209"/>
    </row>
    <row r="2405" spans="2:2" ht="17.25">
      <c r="B2405" s="209"/>
    </row>
    <row r="2406" spans="2:2" ht="17.25">
      <c r="B2406" s="209"/>
    </row>
    <row r="2407" spans="2:2" ht="17.25">
      <c r="B2407" s="209"/>
    </row>
    <row r="2408" spans="2:2" ht="17.25">
      <c r="B2408" s="209"/>
    </row>
    <row r="2409" spans="2:2" ht="17.25">
      <c r="B2409" s="209"/>
    </row>
    <row r="2410" spans="2:2" ht="17.25">
      <c r="B2410" s="209"/>
    </row>
    <row r="2411" spans="2:2" ht="17.25">
      <c r="B2411" s="209"/>
    </row>
    <row r="2412" spans="2:2" ht="17.25">
      <c r="B2412" s="209"/>
    </row>
    <row r="2413" spans="2:2" ht="17.25">
      <c r="B2413" s="209"/>
    </row>
    <row r="2414" spans="2:2" ht="17.25">
      <c r="B2414" s="209"/>
    </row>
    <row r="2415" spans="2:2" ht="17.25">
      <c r="B2415" s="209"/>
    </row>
    <row r="2416" spans="2:2" ht="17.25">
      <c r="B2416" s="209"/>
    </row>
    <row r="2417" spans="2:2" ht="17.25">
      <c r="B2417" s="209"/>
    </row>
    <row r="2418" spans="2:2" ht="17.25">
      <c r="B2418" s="209"/>
    </row>
    <row r="2419" spans="2:2" ht="17.25">
      <c r="B2419" s="209"/>
    </row>
    <row r="2420" spans="2:2" ht="17.25">
      <c r="B2420" s="209"/>
    </row>
    <row r="2421" spans="2:2" ht="17.25">
      <c r="B2421" s="209"/>
    </row>
    <row r="2422" spans="2:2" ht="17.25">
      <c r="B2422" s="209"/>
    </row>
    <row r="2423" spans="2:2" ht="17.25">
      <c r="B2423" s="209"/>
    </row>
    <row r="2424" spans="2:2" ht="17.25">
      <c r="B2424" s="209"/>
    </row>
    <row r="2425" spans="2:2" ht="17.25">
      <c r="B2425" s="209"/>
    </row>
    <row r="2426" spans="2:2" ht="17.25">
      <c r="B2426" s="209"/>
    </row>
    <row r="2427" spans="2:2" ht="17.25">
      <c r="B2427" s="209"/>
    </row>
    <row r="2428" spans="2:2" ht="17.25">
      <c r="B2428" s="209"/>
    </row>
    <row r="2429" spans="2:2" ht="17.25">
      <c r="B2429" s="209"/>
    </row>
    <row r="2430" spans="2:2" ht="17.25">
      <c r="B2430" s="209"/>
    </row>
    <row r="2431" spans="2:2" ht="17.25">
      <c r="B2431" s="209"/>
    </row>
    <row r="2432" spans="2:2" ht="17.25">
      <c r="B2432" s="209"/>
    </row>
    <row r="2433" spans="2:2" ht="17.25">
      <c r="B2433" s="209"/>
    </row>
    <row r="2434" spans="2:2" ht="17.25">
      <c r="B2434" s="209"/>
    </row>
    <row r="2435" spans="2:2" ht="17.25">
      <c r="B2435" s="209"/>
    </row>
    <row r="2436" spans="2:2" ht="17.25">
      <c r="B2436" s="209"/>
    </row>
    <row r="2437" spans="2:2" ht="17.25">
      <c r="B2437" s="209"/>
    </row>
    <row r="2438" spans="2:2" ht="17.25">
      <c r="B2438" s="209"/>
    </row>
    <row r="2439" spans="2:2" ht="17.25">
      <c r="B2439" s="209"/>
    </row>
    <row r="2440" spans="2:2" ht="17.25">
      <c r="B2440" s="209"/>
    </row>
    <row r="2441" spans="2:2" ht="17.25">
      <c r="B2441" s="209"/>
    </row>
    <row r="2442" spans="2:2" ht="17.25">
      <c r="B2442" s="209"/>
    </row>
    <row r="2443" spans="2:2" ht="17.25">
      <c r="B2443" s="209"/>
    </row>
    <row r="2444" spans="2:2" ht="17.25">
      <c r="B2444" s="209"/>
    </row>
    <row r="2445" spans="2:2" ht="17.25">
      <c r="B2445" s="209"/>
    </row>
    <row r="2446" spans="2:2" ht="17.25">
      <c r="B2446" s="209"/>
    </row>
    <row r="2447" spans="2:2" ht="17.25">
      <c r="B2447" s="209"/>
    </row>
    <row r="2448" spans="2:2" ht="17.25">
      <c r="B2448" s="209"/>
    </row>
    <row r="2449" spans="2:2" ht="17.25">
      <c r="B2449" s="209"/>
    </row>
    <row r="2450" spans="2:2" ht="17.25">
      <c r="B2450" s="209"/>
    </row>
    <row r="2451" spans="2:2" ht="17.25">
      <c r="B2451" s="209"/>
    </row>
    <row r="2452" spans="2:2" ht="17.25">
      <c r="B2452" s="209"/>
    </row>
    <row r="2453" spans="2:2" ht="17.25">
      <c r="B2453" s="209"/>
    </row>
    <row r="2454" spans="2:2" ht="17.25">
      <c r="B2454" s="209"/>
    </row>
    <row r="2455" spans="2:2" ht="17.25">
      <c r="B2455" s="209"/>
    </row>
    <row r="2456" spans="2:2" ht="17.25">
      <c r="B2456" s="209"/>
    </row>
    <row r="2457" spans="2:2" ht="17.25">
      <c r="B2457" s="209"/>
    </row>
    <row r="2458" spans="2:2" ht="17.25">
      <c r="B2458" s="209"/>
    </row>
    <row r="2459" spans="2:2" ht="17.25">
      <c r="B2459" s="209"/>
    </row>
    <row r="2460" spans="2:2" ht="17.25">
      <c r="B2460" s="209"/>
    </row>
    <row r="2461" spans="2:2" ht="17.25">
      <c r="B2461" s="209"/>
    </row>
    <row r="2462" spans="2:2" ht="17.25">
      <c r="B2462" s="209"/>
    </row>
    <row r="2463" spans="2:2" ht="17.25">
      <c r="B2463" s="209"/>
    </row>
    <row r="2464" spans="2:2" ht="17.25">
      <c r="B2464" s="209"/>
    </row>
    <row r="2465" spans="2:2" ht="17.25">
      <c r="B2465" s="209"/>
    </row>
    <row r="2466" spans="2:2" ht="17.25">
      <c r="B2466" s="209"/>
    </row>
    <row r="2467" spans="2:2" ht="17.25">
      <c r="B2467" s="209"/>
    </row>
    <row r="2468" spans="2:2" ht="17.25">
      <c r="B2468" s="209"/>
    </row>
    <row r="2469" spans="2:2" ht="17.25">
      <c r="B2469" s="209"/>
    </row>
    <row r="2470" spans="2:2" ht="17.25">
      <c r="B2470" s="209"/>
    </row>
    <row r="2471" spans="2:2" ht="17.25">
      <c r="B2471" s="209"/>
    </row>
    <row r="2472" spans="2:2" ht="17.25">
      <c r="B2472" s="209"/>
    </row>
    <row r="2473" spans="2:2" ht="17.25">
      <c r="B2473" s="209"/>
    </row>
    <row r="2474" spans="2:2" ht="17.25">
      <c r="B2474" s="209"/>
    </row>
    <row r="2475" spans="2:2" ht="17.25">
      <c r="B2475" s="209"/>
    </row>
    <row r="2476" spans="2:2" ht="17.25">
      <c r="B2476" s="209"/>
    </row>
    <row r="2477" spans="2:2" ht="17.25">
      <c r="B2477" s="209"/>
    </row>
    <row r="2478" spans="2:2" ht="17.25">
      <c r="B2478" s="209"/>
    </row>
    <row r="2479" spans="2:2" ht="17.25">
      <c r="B2479" s="209"/>
    </row>
    <row r="2480" spans="2:2" ht="17.25">
      <c r="B2480" s="209"/>
    </row>
    <row r="2481" spans="2:2" ht="17.25">
      <c r="B2481" s="209"/>
    </row>
    <row r="2482" spans="2:2" ht="17.25">
      <c r="B2482" s="209"/>
    </row>
    <row r="2483" spans="2:2" ht="17.25">
      <c r="B2483" s="209"/>
    </row>
    <row r="2484" spans="2:2" ht="17.25">
      <c r="B2484" s="209"/>
    </row>
    <row r="2485" spans="2:2" ht="17.25">
      <c r="B2485" s="209"/>
    </row>
    <row r="2486" spans="2:2" ht="17.25">
      <c r="B2486" s="209"/>
    </row>
    <row r="2487" spans="2:2" ht="17.25">
      <c r="B2487" s="209"/>
    </row>
    <row r="2488" spans="2:2" ht="17.25">
      <c r="B2488" s="209"/>
    </row>
    <row r="2489" spans="2:2" ht="17.25">
      <c r="B2489" s="209"/>
    </row>
    <row r="2490" spans="2:2" ht="17.25">
      <c r="B2490" s="209"/>
    </row>
    <row r="2491" spans="2:2" ht="17.25">
      <c r="B2491" s="209"/>
    </row>
    <row r="2492" spans="2:2" ht="17.25">
      <c r="B2492" s="209"/>
    </row>
    <row r="2493" spans="2:2" ht="17.25">
      <c r="B2493" s="209"/>
    </row>
    <row r="2494" spans="2:2" ht="17.25">
      <c r="B2494" s="209"/>
    </row>
    <row r="2495" spans="2:2" ht="17.25">
      <c r="B2495" s="209"/>
    </row>
    <row r="2496" spans="2:2" ht="17.25">
      <c r="B2496" s="209"/>
    </row>
    <row r="2497" spans="2:2" ht="17.25">
      <c r="B2497" s="209"/>
    </row>
    <row r="2498" spans="2:2" ht="17.25">
      <c r="B2498" s="209"/>
    </row>
    <row r="2499" spans="2:2" ht="17.25">
      <c r="B2499" s="209"/>
    </row>
    <row r="2500" spans="2:2" ht="17.25">
      <c r="B2500" s="209"/>
    </row>
    <row r="2501" spans="2:2" ht="17.25">
      <c r="B2501" s="209"/>
    </row>
    <row r="2502" spans="2:2" ht="17.25">
      <c r="B2502" s="209"/>
    </row>
    <row r="2503" spans="2:2" ht="17.25">
      <c r="B2503" s="209"/>
    </row>
    <row r="2504" spans="2:2" ht="17.25">
      <c r="B2504" s="209"/>
    </row>
    <row r="2505" spans="2:2" ht="17.25">
      <c r="B2505" s="209"/>
    </row>
    <row r="2506" spans="2:2" ht="17.25">
      <c r="B2506" s="209"/>
    </row>
    <row r="2507" spans="2:2" ht="17.25">
      <c r="B2507" s="209"/>
    </row>
    <row r="2508" spans="2:2" ht="17.25">
      <c r="B2508" s="209"/>
    </row>
    <row r="2509" spans="2:2" ht="17.25">
      <c r="B2509" s="209"/>
    </row>
    <row r="2510" spans="2:2" ht="17.25">
      <c r="B2510" s="209"/>
    </row>
    <row r="2511" spans="2:2" ht="17.25">
      <c r="B2511" s="209"/>
    </row>
    <row r="2512" spans="2:2" ht="17.25">
      <c r="B2512" s="209"/>
    </row>
    <row r="2513" spans="2:2" ht="17.25">
      <c r="B2513" s="209"/>
    </row>
    <row r="2514" spans="2:2" ht="17.25">
      <c r="B2514" s="209"/>
    </row>
    <row r="2515" spans="2:2" ht="17.25">
      <c r="B2515" s="209"/>
    </row>
    <row r="2516" spans="2:2" ht="17.25">
      <c r="B2516" s="209"/>
    </row>
    <row r="2517" spans="2:2" ht="17.25">
      <c r="B2517" s="209"/>
    </row>
    <row r="2518" spans="2:2" ht="17.25">
      <c r="B2518" s="209"/>
    </row>
    <row r="2519" spans="2:2" ht="17.25">
      <c r="B2519" s="209"/>
    </row>
    <row r="2520" spans="2:2" ht="17.25">
      <c r="B2520" s="209"/>
    </row>
    <row r="2521" spans="2:2" ht="17.25">
      <c r="B2521" s="209"/>
    </row>
    <row r="2522" spans="2:2" ht="17.25">
      <c r="B2522" s="209"/>
    </row>
    <row r="2523" spans="2:2" ht="17.25">
      <c r="B2523" s="209"/>
    </row>
    <row r="2524" spans="2:2" ht="17.25">
      <c r="B2524" s="209"/>
    </row>
    <row r="2525" spans="2:2" ht="17.25">
      <c r="B2525" s="209"/>
    </row>
    <row r="2526" spans="2:2" ht="17.25">
      <c r="B2526" s="209"/>
    </row>
    <row r="2527" spans="2:2" ht="17.25">
      <c r="B2527" s="209"/>
    </row>
    <row r="2528" spans="2:2" ht="17.25">
      <c r="B2528" s="209"/>
    </row>
    <row r="2529" spans="2:2" ht="17.25">
      <c r="B2529" s="209"/>
    </row>
    <row r="2530" spans="2:2" ht="17.25">
      <c r="B2530" s="209"/>
    </row>
    <row r="2531" spans="2:2" ht="17.25">
      <c r="B2531" s="209"/>
    </row>
    <row r="2532" spans="2:2" ht="17.25">
      <c r="B2532" s="209"/>
    </row>
    <row r="2533" spans="2:2" ht="17.25">
      <c r="B2533" s="209"/>
    </row>
    <row r="2534" spans="2:2" ht="17.25">
      <c r="B2534" s="209"/>
    </row>
    <row r="2535" spans="2:2" ht="17.25">
      <c r="B2535" s="209"/>
    </row>
    <row r="2536" spans="2:2" ht="17.25">
      <c r="B2536" s="209"/>
    </row>
    <row r="2537" spans="2:2" ht="17.25">
      <c r="B2537" s="209"/>
    </row>
    <row r="2538" spans="2:2" ht="17.25">
      <c r="B2538" s="209"/>
    </row>
    <row r="2539" spans="2:2" ht="17.25">
      <c r="B2539" s="209"/>
    </row>
    <row r="2540" spans="2:2" ht="17.25">
      <c r="B2540" s="209"/>
    </row>
    <row r="2541" spans="2:2" ht="17.25">
      <c r="B2541" s="209"/>
    </row>
    <row r="2542" spans="2:2" ht="17.25">
      <c r="B2542" s="209"/>
    </row>
    <row r="2543" spans="2:2" ht="17.25">
      <c r="B2543" s="209"/>
    </row>
    <row r="2544" spans="2:2" ht="17.25">
      <c r="B2544" s="209"/>
    </row>
    <row r="2545" spans="2:2" ht="17.25">
      <c r="B2545" s="209"/>
    </row>
    <row r="2546" spans="2:2" ht="17.25">
      <c r="B2546" s="209"/>
    </row>
    <row r="2547" spans="2:2" ht="17.25">
      <c r="B2547" s="209"/>
    </row>
    <row r="2548" spans="2:2" ht="17.25">
      <c r="B2548" s="209"/>
    </row>
    <row r="2549" spans="2:2" ht="17.25">
      <c r="B2549" s="209"/>
    </row>
    <row r="2550" spans="2:2" ht="17.25">
      <c r="B2550" s="209"/>
    </row>
    <row r="2551" spans="2:2" ht="17.25">
      <c r="B2551" s="209"/>
    </row>
    <row r="2552" spans="2:2" ht="17.25">
      <c r="B2552" s="209"/>
    </row>
    <row r="2553" spans="2:2" ht="17.25">
      <c r="B2553" s="209"/>
    </row>
    <row r="2554" spans="2:2" ht="17.25">
      <c r="B2554" s="209"/>
    </row>
    <row r="2555" spans="2:2" ht="17.25">
      <c r="B2555" s="209"/>
    </row>
    <row r="2556" spans="2:2" ht="17.25">
      <c r="B2556" s="209"/>
    </row>
    <row r="2557" spans="2:2" ht="17.25">
      <c r="B2557" s="209"/>
    </row>
    <row r="2558" spans="2:2" ht="17.25">
      <c r="B2558" s="209"/>
    </row>
    <row r="2559" spans="2:2" ht="17.25">
      <c r="B2559" s="209"/>
    </row>
    <row r="2560" spans="2:2" ht="17.25">
      <c r="B2560" s="209"/>
    </row>
    <row r="2561" spans="2:2" ht="17.25">
      <c r="B2561" s="209"/>
    </row>
    <row r="2562" spans="2:2" ht="17.25">
      <c r="B2562" s="209"/>
    </row>
    <row r="2563" spans="2:2" ht="17.25">
      <c r="B2563" s="209"/>
    </row>
    <row r="2564" spans="2:2" ht="17.25">
      <c r="B2564" s="209"/>
    </row>
    <row r="2565" spans="2:2" ht="17.25">
      <c r="B2565" s="209"/>
    </row>
    <row r="2566" spans="2:2" ht="17.25">
      <c r="B2566" s="209"/>
    </row>
    <row r="2567" spans="2:2" ht="17.25">
      <c r="B2567" s="209"/>
    </row>
    <row r="2568" spans="2:2" ht="17.25">
      <c r="B2568" s="209"/>
    </row>
    <row r="2569" spans="2:2" ht="17.25">
      <c r="B2569" s="209"/>
    </row>
    <row r="2570" spans="2:2" ht="17.25">
      <c r="B2570" s="209"/>
    </row>
    <row r="2571" spans="2:2" ht="17.25">
      <c r="B2571" s="209"/>
    </row>
    <row r="2572" spans="2:2" ht="17.25">
      <c r="B2572" s="209"/>
    </row>
    <row r="2573" spans="2:2" ht="17.25">
      <c r="B2573" s="209"/>
    </row>
    <row r="2574" spans="2:2" ht="17.25">
      <c r="B2574" s="209"/>
    </row>
    <row r="2575" spans="2:2" ht="17.25">
      <c r="B2575" s="209"/>
    </row>
    <row r="2576" spans="2:2" ht="17.25">
      <c r="B2576" s="209"/>
    </row>
    <row r="2577" spans="2:2" ht="17.25">
      <c r="B2577" s="209"/>
    </row>
    <row r="2578" spans="2:2" ht="17.25">
      <c r="B2578" s="209"/>
    </row>
    <row r="2579" spans="2:2" ht="17.25">
      <c r="B2579" s="209"/>
    </row>
    <row r="2580" spans="2:2" ht="17.25">
      <c r="B2580" s="209"/>
    </row>
    <row r="2581" spans="2:2" ht="17.25">
      <c r="B2581" s="209"/>
    </row>
    <row r="2582" spans="2:2" ht="17.25">
      <c r="B2582" s="209"/>
    </row>
    <row r="2583" spans="2:2" ht="17.25">
      <c r="B2583" s="209"/>
    </row>
    <row r="2584" spans="2:2" ht="17.25">
      <c r="B2584" s="209"/>
    </row>
    <row r="2585" spans="2:2" ht="17.25">
      <c r="B2585" s="209"/>
    </row>
    <row r="2586" spans="2:2" ht="17.25">
      <c r="B2586" s="209"/>
    </row>
    <row r="2587" spans="2:2" ht="17.25">
      <c r="B2587" s="209"/>
    </row>
    <row r="2588" spans="2:2" ht="17.25">
      <c r="B2588" s="209"/>
    </row>
    <row r="2589" spans="2:2" ht="17.25">
      <c r="B2589" s="209"/>
    </row>
    <row r="2590" spans="2:2" ht="17.25">
      <c r="B2590" s="209"/>
    </row>
    <row r="2591" spans="2:2" ht="17.25">
      <c r="B2591" s="209"/>
    </row>
    <row r="2592" spans="2:2" ht="17.25">
      <c r="B2592" s="209"/>
    </row>
    <row r="2593" spans="2:2" ht="17.25">
      <c r="B2593" s="209"/>
    </row>
    <row r="2594" spans="2:2" ht="17.25">
      <c r="B2594" s="209"/>
    </row>
    <row r="2595" spans="2:2" ht="17.25">
      <c r="B2595" s="209"/>
    </row>
    <row r="2596" spans="2:2" ht="17.25">
      <c r="B2596" s="209"/>
    </row>
    <row r="2597" spans="2:2" ht="17.25">
      <c r="B2597" s="209"/>
    </row>
    <row r="2598" spans="2:2" ht="17.25">
      <c r="B2598" s="209"/>
    </row>
    <row r="2599" spans="2:2" ht="17.25">
      <c r="B2599" s="209"/>
    </row>
    <row r="2600" spans="2:2" ht="17.25">
      <c r="B2600" s="209"/>
    </row>
    <row r="2601" spans="2:2" ht="17.25">
      <c r="B2601" s="209"/>
    </row>
    <row r="2602" spans="2:2" ht="17.25">
      <c r="B2602" s="209"/>
    </row>
    <row r="2603" spans="2:2" ht="17.25">
      <c r="B2603" s="209"/>
    </row>
    <row r="2604" spans="2:2" ht="17.25">
      <c r="B2604" s="209"/>
    </row>
    <row r="2605" spans="2:2" ht="17.25">
      <c r="B2605" s="209"/>
    </row>
    <row r="2606" spans="2:2" ht="17.25">
      <c r="B2606" s="209"/>
    </row>
    <row r="2607" spans="2:2" ht="17.25">
      <c r="B2607" s="209"/>
    </row>
    <row r="2608" spans="2:2" ht="17.25">
      <c r="B2608" s="209"/>
    </row>
    <row r="2609" spans="2:2" ht="17.25">
      <c r="B2609" s="209"/>
    </row>
    <row r="2610" spans="2:2" ht="17.25">
      <c r="B2610" s="209"/>
    </row>
    <row r="2611" spans="2:2" ht="17.25">
      <c r="B2611" s="209"/>
    </row>
    <row r="2612" spans="2:2" ht="17.25">
      <c r="B2612" s="209"/>
    </row>
    <row r="2613" spans="2:2" ht="17.25">
      <c r="B2613" s="209"/>
    </row>
    <row r="2614" spans="2:2" ht="17.25">
      <c r="B2614" s="209"/>
    </row>
    <row r="2615" spans="2:2" ht="17.25">
      <c r="B2615" s="209"/>
    </row>
    <row r="2616" spans="2:2" ht="17.25">
      <c r="B2616" s="209"/>
    </row>
    <row r="2617" spans="2:2" ht="17.25">
      <c r="B2617" s="209"/>
    </row>
    <row r="2618" spans="2:2" ht="17.25">
      <c r="B2618" s="209"/>
    </row>
    <row r="2619" spans="2:2" ht="17.25">
      <c r="B2619" s="209"/>
    </row>
    <row r="2620" spans="2:2" ht="17.25">
      <c r="B2620" s="209"/>
    </row>
    <row r="2621" spans="2:2" ht="17.25">
      <c r="B2621" s="209"/>
    </row>
    <row r="2622" spans="2:2" ht="17.25">
      <c r="B2622" s="209"/>
    </row>
    <row r="2623" spans="2:2" ht="17.25">
      <c r="B2623" s="209"/>
    </row>
    <row r="2624" spans="2:2" ht="17.25">
      <c r="B2624" s="209"/>
    </row>
    <row r="2625" spans="2:2" ht="17.25">
      <c r="B2625" s="209"/>
    </row>
    <row r="2626" spans="2:2" ht="17.25">
      <c r="B2626" s="209"/>
    </row>
    <row r="2627" spans="2:2" ht="17.25">
      <c r="B2627" s="209"/>
    </row>
    <row r="2628" spans="2:2" ht="17.25">
      <c r="B2628" s="209"/>
    </row>
    <row r="2629" spans="2:2" ht="17.25">
      <c r="B2629" s="209"/>
    </row>
    <row r="2630" spans="2:2" ht="17.25">
      <c r="B2630" s="209"/>
    </row>
    <row r="2631" spans="2:2" ht="17.25">
      <c r="B2631" s="209"/>
    </row>
    <row r="2632" spans="2:2" ht="17.25">
      <c r="B2632" s="209"/>
    </row>
    <row r="2633" spans="2:2" ht="17.25">
      <c r="B2633" s="209"/>
    </row>
    <row r="2634" spans="2:2" ht="17.25">
      <c r="B2634" s="209"/>
    </row>
    <row r="2635" spans="2:2" ht="17.25">
      <c r="B2635" s="209"/>
    </row>
    <row r="2636" spans="2:2" ht="17.25">
      <c r="B2636" s="209"/>
    </row>
    <row r="2637" spans="2:2" ht="17.25">
      <c r="B2637" s="209"/>
    </row>
    <row r="2638" spans="2:2" ht="17.25">
      <c r="B2638" s="209"/>
    </row>
    <row r="2639" spans="2:2" ht="17.25">
      <c r="B2639" s="209"/>
    </row>
    <row r="2640" spans="2:2" ht="17.25">
      <c r="B2640" s="209"/>
    </row>
    <row r="2641" spans="2:2" ht="17.25">
      <c r="B2641" s="209"/>
    </row>
    <row r="2642" spans="2:2" ht="17.25">
      <c r="B2642" s="209"/>
    </row>
    <row r="2643" spans="2:2" ht="17.25">
      <c r="B2643" s="209"/>
    </row>
    <row r="2644" spans="2:2" ht="17.25">
      <c r="B2644" s="209"/>
    </row>
    <row r="2645" spans="2:2" ht="17.25">
      <c r="B2645" s="209"/>
    </row>
    <row r="2646" spans="2:2" ht="17.25">
      <c r="B2646" s="209"/>
    </row>
    <row r="2647" spans="2:2" ht="17.25">
      <c r="B2647" s="209"/>
    </row>
    <row r="2648" spans="2:2" ht="17.25">
      <c r="B2648" s="209"/>
    </row>
    <row r="2649" spans="2:2" ht="17.25">
      <c r="B2649" s="209"/>
    </row>
    <row r="2650" spans="2:2" ht="17.25">
      <c r="B2650" s="209"/>
    </row>
    <row r="2651" spans="2:2" ht="17.25">
      <c r="B2651" s="209"/>
    </row>
    <row r="2652" spans="2:2" ht="17.25">
      <c r="B2652" s="209"/>
    </row>
    <row r="2653" spans="2:2" ht="17.25">
      <c r="B2653" s="209"/>
    </row>
    <row r="2654" spans="2:2" ht="17.25">
      <c r="B2654" s="209"/>
    </row>
    <row r="2655" spans="2:2" ht="17.25">
      <c r="B2655" s="209"/>
    </row>
    <row r="2656" spans="2:2" ht="17.25">
      <c r="B2656" s="209"/>
    </row>
    <row r="2657" spans="2:2" ht="17.25">
      <c r="B2657" s="209"/>
    </row>
    <row r="2658" spans="2:2" ht="17.25">
      <c r="B2658" s="209"/>
    </row>
    <row r="2659" spans="2:2" ht="17.25">
      <c r="B2659" s="209"/>
    </row>
    <row r="2660" spans="2:2" ht="17.25">
      <c r="B2660" s="209"/>
    </row>
    <row r="2661" spans="2:2" ht="17.25">
      <c r="B2661" s="209"/>
    </row>
    <row r="2662" spans="2:2" ht="17.25">
      <c r="B2662" s="209"/>
    </row>
    <row r="2663" spans="2:2" ht="17.25">
      <c r="B2663" s="209"/>
    </row>
    <row r="2664" spans="2:2" ht="17.25">
      <c r="B2664" s="209"/>
    </row>
    <row r="2665" spans="2:2" ht="17.25">
      <c r="B2665" s="209"/>
    </row>
    <row r="2666" spans="2:2" ht="17.25">
      <c r="B2666" s="209"/>
    </row>
    <row r="2667" spans="2:2" ht="17.25">
      <c r="B2667" s="209"/>
    </row>
    <row r="2668" spans="2:2" ht="17.25">
      <c r="B2668" s="209"/>
    </row>
    <row r="2669" spans="2:2" ht="17.25">
      <c r="B2669" s="209"/>
    </row>
    <row r="2670" spans="2:2" ht="17.25">
      <c r="B2670" s="209"/>
    </row>
    <row r="2671" spans="2:2" ht="17.25">
      <c r="B2671" s="209"/>
    </row>
    <row r="2672" spans="2:2" ht="17.25">
      <c r="B2672" s="209"/>
    </row>
    <row r="2673" spans="2:2" ht="17.25">
      <c r="B2673" s="209"/>
    </row>
    <row r="2674" spans="2:2" ht="17.25">
      <c r="B2674" s="209"/>
    </row>
    <row r="2675" spans="2:2" ht="17.25">
      <c r="B2675" s="209"/>
    </row>
    <row r="2676" spans="2:2" ht="17.25">
      <c r="B2676" s="209"/>
    </row>
    <row r="2677" spans="2:2" ht="17.25">
      <c r="B2677" s="209"/>
    </row>
    <row r="2678" spans="2:2" ht="17.25">
      <c r="B2678" s="209"/>
    </row>
    <row r="2679" spans="2:2" ht="17.25">
      <c r="B2679" s="209"/>
    </row>
    <row r="2680" spans="2:2" ht="17.25">
      <c r="B2680" s="209"/>
    </row>
    <row r="2681" spans="2:2" ht="17.25">
      <c r="B2681" s="209"/>
    </row>
    <row r="2682" spans="2:2" ht="17.25">
      <c r="B2682" s="209"/>
    </row>
    <row r="2683" spans="2:2" ht="17.25">
      <c r="B2683" s="209"/>
    </row>
    <row r="2684" spans="2:2" ht="17.25">
      <c r="B2684" s="209"/>
    </row>
    <row r="2685" spans="2:2" ht="17.25">
      <c r="B2685" s="209"/>
    </row>
    <row r="2686" spans="2:2" ht="17.25">
      <c r="B2686" s="209"/>
    </row>
    <row r="2687" spans="2:2" ht="17.25">
      <c r="B2687" s="209"/>
    </row>
    <row r="2688" spans="2:2" ht="17.25">
      <c r="B2688" s="209"/>
    </row>
    <row r="2689" spans="2:2" ht="17.25">
      <c r="B2689" s="209"/>
    </row>
    <row r="2690" spans="2:2" ht="17.25">
      <c r="B2690" s="209"/>
    </row>
    <row r="2691" spans="2:2" ht="17.25">
      <c r="B2691" s="209"/>
    </row>
    <row r="2692" spans="2:2" ht="17.25">
      <c r="B2692" s="209"/>
    </row>
    <row r="2693" spans="2:2" ht="17.25">
      <c r="B2693" s="209"/>
    </row>
    <row r="2694" spans="2:2" ht="17.25">
      <c r="B2694" s="209"/>
    </row>
    <row r="2695" spans="2:2" ht="17.25">
      <c r="B2695" s="209"/>
    </row>
    <row r="2696" spans="2:2" ht="17.25">
      <c r="B2696" s="209"/>
    </row>
    <row r="2697" spans="2:2" ht="17.25">
      <c r="B2697" s="209"/>
    </row>
    <row r="2698" spans="2:2" ht="17.25">
      <c r="B2698" s="209"/>
    </row>
    <row r="2699" spans="2:2" ht="17.25">
      <c r="B2699" s="209"/>
    </row>
    <row r="2700" spans="2:2" ht="17.25">
      <c r="B2700" s="209"/>
    </row>
    <row r="2701" spans="2:2" ht="17.25">
      <c r="B2701" s="209"/>
    </row>
    <row r="2702" spans="2:2" ht="17.25">
      <c r="B2702" s="209"/>
    </row>
    <row r="2703" spans="2:2" ht="17.25">
      <c r="B2703" s="209"/>
    </row>
    <row r="2704" spans="2:2" ht="17.25">
      <c r="B2704" s="209"/>
    </row>
    <row r="2705" spans="2:2" ht="17.25">
      <c r="B2705" s="209"/>
    </row>
    <row r="2706" spans="2:2" ht="17.25">
      <c r="B2706" s="209"/>
    </row>
    <row r="2707" spans="2:2" ht="17.25">
      <c r="B2707" s="209"/>
    </row>
    <row r="2708" spans="2:2" ht="17.25">
      <c r="B2708" s="209"/>
    </row>
    <row r="2709" spans="2:2" ht="17.25">
      <c r="B2709" s="209"/>
    </row>
    <row r="2710" spans="2:2" ht="17.25">
      <c r="B2710" s="209"/>
    </row>
    <row r="2711" spans="2:2" ht="17.25">
      <c r="B2711" s="209"/>
    </row>
    <row r="2712" spans="2:2" ht="17.25">
      <c r="B2712" s="209"/>
    </row>
    <row r="2713" spans="2:2" ht="17.25">
      <c r="B2713" s="209"/>
    </row>
    <row r="2714" spans="2:2" ht="17.25">
      <c r="B2714" s="209"/>
    </row>
    <row r="2715" spans="2:2" ht="17.25">
      <c r="B2715" s="209"/>
    </row>
    <row r="2716" spans="2:2" ht="17.25">
      <c r="B2716" s="209"/>
    </row>
    <row r="2717" spans="2:2" ht="17.25">
      <c r="B2717" s="209"/>
    </row>
    <row r="2718" spans="2:2" ht="17.25">
      <c r="B2718" s="209"/>
    </row>
    <row r="2719" spans="2:2" ht="17.25">
      <c r="B2719" s="209"/>
    </row>
    <row r="2720" spans="2:2" ht="17.25">
      <c r="B2720" s="209"/>
    </row>
    <row r="2721" spans="2:2" ht="17.25">
      <c r="B2721" s="209"/>
    </row>
    <row r="2722" spans="2:2" ht="17.25">
      <c r="B2722" s="209"/>
    </row>
    <row r="2723" spans="2:2" ht="17.25">
      <c r="B2723" s="209"/>
    </row>
    <row r="2724" spans="2:2" ht="17.25">
      <c r="B2724" s="209"/>
    </row>
    <row r="2725" spans="2:2" ht="17.25">
      <c r="B2725" s="209"/>
    </row>
    <row r="2726" spans="2:2" ht="17.25">
      <c r="B2726" s="209"/>
    </row>
    <row r="2727" spans="2:2" ht="17.25">
      <c r="B2727" s="209"/>
    </row>
    <row r="2728" spans="2:2" ht="17.25">
      <c r="B2728" s="209"/>
    </row>
    <row r="2729" spans="2:2" ht="17.25">
      <c r="B2729" s="209"/>
    </row>
    <row r="2730" spans="2:2" ht="17.25">
      <c r="B2730" s="209"/>
    </row>
    <row r="2731" spans="2:2" ht="17.25">
      <c r="B2731" s="209"/>
    </row>
    <row r="2732" spans="2:2" ht="17.25">
      <c r="B2732" s="209"/>
    </row>
    <row r="2733" spans="2:2" ht="17.25">
      <c r="B2733" s="209"/>
    </row>
    <row r="2734" spans="2:2" ht="17.25">
      <c r="B2734" s="209"/>
    </row>
    <row r="2735" spans="2:2" ht="17.25">
      <c r="B2735" s="209"/>
    </row>
    <row r="2736" spans="2:2" ht="17.25">
      <c r="B2736" s="209"/>
    </row>
    <row r="2737" spans="2:2" ht="17.25">
      <c r="B2737" s="209"/>
    </row>
    <row r="2738" spans="2:2" ht="17.25">
      <c r="B2738" s="209"/>
    </row>
    <row r="2739" spans="2:2" ht="17.25">
      <c r="B2739" s="209"/>
    </row>
    <row r="2740" spans="2:2" ht="17.25">
      <c r="B2740" s="209"/>
    </row>
    <row r="2741" spans="2:2" ht="17.25">
      <c r="B2741" s="209"/>
    </row>
    <row r="2742" spans="2:2" ht="17.25">
      <c r="B2742" s="209"/>
    </row>
    <row r="2743" spans="2:2" ht="17.25">
      <c r="B2743" s="209"/>
    </row>
    <row r="2744" spans="2:2" ht="17.25">
      <c r="B2744" s="209"/>
    </row>
    <row r="2745" spans="2:2" ht="17.25">
      <c r="B2745" s="209"/>
    </row>
    <row r="2746" spans="2:2" ht="17.25">
      <c r="B2746" s="209"/>
    </row>
    <row r="2747" spans="2:2" ht="17.25">
      <c r="B2747" s="209"/>
    </row>
    <row r="2748" spans="2:2" ht="17.25">
      <c r="B2748" s="209"/>
    </row>
    <row r="2749" spans="2:2" ht="17.25">
      <c r="B2749" s="209"/>
    </row>
    <row r="2750" spans="2:2" ht="17.25">
      <c r="B2750" s="209"/>
    </row>
    <row r="2751" spans="2:2" ht="17.25">
      <c r="B2751" s="209"/>
    </row>
    <row r="2752" spans="2:2" ht="17.25">
      <c r="B2752" s="209"/>
    </row>
    <row r="2753" spans="2:2" ht="17.25">
      <c r="B2753" s="209"/>
    </row>
    <row r="2754" spans="2:2" ht="17.25">
      <c r="B2754" s="209"/>
    </row>
    <row r="2755" spans="2:2" ht="17.25">
      <c r="B2755" s="209"/>
    </row>
    <row r="2756" spans="2:2" ht="17.25">
      <c r="B2756" s="209"/>
    </row>
    <row r="2757" spans="2:2" ht="17.25">
      <c r="B2757" s="209"/>
    </row>
    <row r="2758" spans="2:2" ht="17.25">
      <c r="B2758" s="209"/>
    </row>
    <row r="2759" spans="2:2" ht="17.25">
      <c r="B2759" s="209"/>
    </row>
    <row r="2760" spans="2:2" ht="17.25">
      <c r="B2760" s="209"/>
    </row>
    <row r="2761" spans="2:2" ht="17.25">
      <c r="B2761" s="209"/>
    </row>
    <row r="2762" spans="2:2" ht="17.25">
      <c r="B2762" s="209"/>
    </row>
    <row r="2763" spans="2:2" ht="17.25">
      <c r="B2763" s="209"/>
    </row>
    <row r="2764" spans="2:2" ht="17.25">
      <c r="B2764" s="209"/>
    </row>
    <row r="2765" spans="2:2" ht="17.25">
      <c r="B2765" s="209"/>
    </row>
    <row r="2766" spans="2:2" ht="17.25">
      <c r="B2766" s="209"/>
    </row>
    <row r="2767" spans="2:2" ht="17.25">
      <c r="B2767" s="209"/>
    </row>
    <row r="2768" spans="2:2" ht="17.25">
      <c r="B2768" s="209"/>
    </row>
    <row r="2769" spans="2:2" ht="17.25">
      <c r="B2769" s="209"/>
    </row>
    <row r="2770" spans="2:2" ht="17.25">
      <c r="B2770" s="209"/>
    </row>
    <row r="2771" spans="2:2" ht="17.25">
      <c r="B2771" s="209"/>
    </row>
    <row r="2772" spans="2:2" ht="17.25">
      <c r="B2772" s="209"/>
    </row>
    <row r="2773" spans="2:2" ht="17.25">
      <c r="B2773" s="209"/>
    </row>
    <row r="2774" spans="2:2" ht="17.25">
      <c r="B2774" s="209"/>
    </row>
    <row r="2775" spans="2:2" ht="17.25">
      <c r="B2775" s="209"/>
    </row>
    <row r="2776" spans="2:2" ht="17.25">
      <c r="B2776" s="209"/>
    </row>
    <row r="2777" spans="2:2" ht="17.25">
      <c r="B2777" s="209"/>
    </row>
    <row r="2778" spans="2:2" ht="17.25">
      <c r="B2778" s="209"/>
    </row>
    <row r="2779" spans="2:2" ht="17.25">
      <c r="B2779" s="209"/>
    </row>
    <row r="2780" spans="2:2" ht="17.25">
      <c r="B2780" s="209"/>
    </row>
    <row r="2781" spans="2:2" ht="17.25">
      <c r="B2781" s="209"/>
    </row>
    <row r="2782" spans="2:2" ht="17.25">
      <c r="B2782" s="209"/>
    </row>
    <row r="2783" spans="2:2" ht="17.25">
      <c r="B2783" s="209"/>
    </row>
    <row r="2784" spans="2:2" ht="17.25">
      <c r="B2784" s="209"/>
    </row>
    <row r="2785" spans="2:2" ht="17.25">
      <c r="B2785" s="209"/>
    </row>
    <row r="2786" spans="2:2" ht="17.25">
      <c r="B2786" s="209"/>
    </row>
    <row r="2787" spans="2:2" ht="17.25">
      <c r="B2787" s="209"/>
    </row>
    <row r="2788" spans="2:2" ht="17.25">
      <c r="B2788" s="209"/>
    </row>
    <row r="2789" spans="2:2" ht="17.25">
      <c r="B2789" s="209"/>
    </row>
    <row r="2790" spans="2:2" ht="17.25">
      <c r="B2790" s="209"/>
    </row>
    <row r="2791" spans="2:2" ht="17.25">
      <c r="B2791" s="209"/>
    </row>
    <row r="2792" spans="2:2" ht="17.25">
      <c r="B2792" s="209"/>
    </row>
    <row r="2793" spans="2:2" ht="17.25">
      <c r="B2793" s="209"/>
    </row>
    <row r="2794" spans="2:2" ht="17.25">
      <c r="B2794" s="209"/>
    </row>
    <row r="2795" spans="2:2" ht="17.25">
      <c r="B2795" s="209"/>
    </row>
    <row r="2796" spans="2:2" ht="17.25">
      <c r="B2796" s="209"/>
    </row>
    <row r="2797" spans="2:2" ht="17.25">
      <c r="B2797" s="209"/>
    </row>
    <row r="2798" spans="2:2" ht="17.25">
      <c r="B2798" s="209"/>
    </row>
    <row r="2799" spans="2:2" ht="17.25">
      <c r="B2799" s="209"/>
    </row>
    <row r="2800" spans="2:2" ht="17.25">
      <c r="B2800" s="209"/>
    </row>
    <row r="2801" spans="2:2" ht="17.25">
      <c r="B2801" s="209"/>
    </row>
    <row r="2802" spans="2:2" ht="17.25">
      <c r="B2802" s="209"/>
    </row>
    <row r="2803" spans="2:2" ht="17.25">
      <c r="B2803" s="209"/>
    </row>
    <row r="2804" spans="2:2" ht="17.25">
      <c r="B2804" s="209"/>
    </row>
    <row r="2805" spans="2:2" ht="17.25">
      <c r="B2805" s="209"/>
    </row>
    <row r="2806" spans="2:2" ht="17.25">
      <c r="B2806" s="209"/>
    </row>
    <row r="2807" spans="2:2" ht="17.25">
      <c r="B2807" s="209"/>
    </row>
    <row r="2808" spans="2:2" ht="17.25">
      <c r="B2808" s="209"/>
    </row>
    <row r="2809" spans="2:2" ht="17.25">
      <c r="B2809" s="209"/>
    </row>
    <row r="2810" spans="2:2" ht="17.25">
      <c r="B2810" s="209"/>
    </row>
    <row r="2811" spans="2:2" ht="17.25">
      <c r="B2811" s="209"/>
    </row>
    <row r="2812" spans="2:2" ht="17.25">
      <c r="B2812" s="209"/>
    </row>
    <row r="2813" spans="2:2" ht="17.25">
      <c r="B2813" s="209"/>
    </row>
    <row r="2814" spans="2:2" ht="17.25">
      <c r="B2814" s="209"/>
    </row>
    <row r="2815" spans="2:2" ht="17.25">
      <c r="B2815" s="209"/>
    </row>
    <row r="2816" spans="2:2" ht="17.25">
      <c r="B2816" s="209"/>
    </row>
    <row r="2817" spans="2:2" ht="17.25">
      <c r="B2817" s="209"/>
    </row>
    <row r="2818" spans="2:2" ht="17.25">
      <c r="B2818" s="209"/>
    </row>
    <row r="2819" spans="2:2" ht="17.25">
      <c r="B2819" s="209"/>
    </row>
    <row r="2820" spans="2:2" ht="17.25">
      <c r="B2820" s="209"/>
    </row>
    <row r="2821" spans="2:2" ht="17.25">
      <c r="B2821" s="209"/>
    </row>
    <row r="2822" spans="2:2" ht="17.25">
      <c r="B2822" s="209"/>
    </row>
    <row r="2823" spans="2:2" ht="17.25">
      <c r="B2823" s="209"/>
    </row>
    <row r="2824" spans="2:2" ht="17.25">
      <c r="B2824" s="209"/>
    </row>
    <row r="2825" spans="2:2" ht="17.25">
      <c r="B2825" s="209"/>
    </row>
    <row r="2826" spans="2:2" ht="17.25">
      <c r="B2826" s="209"/>
    </row>
    <row r="2827" spans="2:2" ht="17.25">
      <c r="B2827" s="209"/>
    </row>
    <row r="2828" spans="2:2" ht="17.25">
      <c r="B2828" s="209"/>
    </row>
    <row r="2829" spans="2:2" ht="17.25">
      <c r="B2829" s="209"/>
    </row>
    <row r="2830" spans="2:2" ht="17.25">
      <c r="B2830" s="209"/>
    </row>
    <row r="2831" spans="2:2" ht="17.25">
      <c r="B2831" s="209"/>
    </row>
    <row r="2832" spans="2:2" ht="17.25">
      <c r="B2832" s="209"/>
    </row>
    <row r="2833" spans="2:2" ht="17.25">
      <c r="B2833" s="209"/>
    </row>
    <row r="2834" spans="2:2" ht="17.25">
      <c r="B2834" s="209"/>
    </row>
    <row r="2835" spans="2:2" ht="17.25">
      <c r="B2835" s="209"/>
    </row>
    <row r="2836" spans="2:2" ht="17.25">
      <c r="B2836" s="209"/>
    </row>
    <row r="2837" spans="2:2" ht="17.25">
      <c r="B2837" s="209"/>
    </row>
    <row r="2838" spans="2:2" ht="17.25">
      <c r="B2838" s="209"/>
    </row>
    <row r="2839" spans="2:2" ht="17.25">
      <c r="B2839" s="209"/>
    </row>
    <row r="2840" spans="2:2" ht="17.25">
      <c r="B2840" s="209"/>
    </row>
    <row r="2841" spans="2:2" ht="17.25">
      <c r="B2841" s="209"/>
    </row>
    <row r="2842" spans="2:2" ht="17.25">
      <c r="B2842" s="209"/>
    </row>
    <row r="2843" spans="2:2" ht="17.25">
      <c r="B2843" s="209"/>
    </row>
    <row r="2844" spans="2:2" ht="17.25">
      <c r="B2844" s="209"/>
    </row>
    <row r="2845" spans="2:2" ht="17.25">
      <c r="B2845" s="209"/>
    </row>
    <row r="2846" spans="2:2" ht="17.25">
      <c r="B2846" s="209"/>
    </row>
    <row r="2847" spans="2:2" ht="17.25">
      <c r="B2847" s="209"/>
    </row>
    <row r="2848" spans="2:2" ht="17.25">
      <c r="B2848" s="209"/>
    </row>
    <row r="2849" spans="2:2" ht="17.25">
      <c r="B2849" s="209"/>
    </row>
    <row r="2850" spans="2:2" ht="17.25">
      <c r="B2850" s="209"/>
    </row>
    <row r="2851" spans="2:2" ht="17.25">
      <c r="B2851" s="209"/>
    </row>
    <row r="2852" spans="2:2" ht="17.25">
      <c r="B2852" s="209"/>
    </row>
    <row r="2853" spans="2:2" ht="17.25">
      <c r="B2853" s="209"/>
    </row>
    <row r="2854" spans="2:2" ht="17.25">
      <c r="B2854" s="209"/>
    </row>
    <row r="2855" spans="2:2" ht="17.25">
      <c r="B2855" s="209"/>
    </row>
    <row r="2856" spans="2:2" ht="17.25">
      <c r="B2856" s="209"/>
    </row>
    <row r="2857" spans="2:2" ht="17.25">
      <c r="B2857" s="209"/>
    </row>
    <row r="2858" spans="2:2" ht="17.25">
      <c r="B2858" s="209"/>
    </row>
    <row r="2859" spans="2:2" ht="17.25">
      <c r="B2859" s="209"/>
    </row>
    <row r="2860" spans="2:2" ht="17.25">
      <c r="B2860" s="209"/>
    </row>
    <row r="2861" spans="2:2" ht="17.25">
      <c r="B2861" s="209"/>
    </row>
    <row r="2862" spans="2:2" ht="17.25">
      <c r="B2862" s="209"/>
    </row>
    <row r="2863" spans="2:2" ht="17.25">
      <c r="B2863" s="209"/>
    </row>
    <row r="2864" spans="2:2" ht="17.25">
      <c r="B2864" s="209"/>
    </row>
    <row r="2865" spans="2:2" ht="17.25">
      <c r="B2865" s="209"/>
    </row>
    <row r="2866" spans="2:2" ht="17.25">
      <c r="B2866" s="209"/>
    </row>
    <row r="2867" spans="2:2" ht="17.25">
      <c r="B2867" s="209"/>
    </row>
    <row r="2868" spans="2:2" ht="17.25">
      <c r="B2868" s="209"/>
    </row>
    <row r="2869" spans="2:2" ht="17.25">
      <c r="B2869" s="209"/>
    </row>
    <row r="2870" spans="2:2" ht="17.25">
      <c r="B2870" s="209"/>
    </row>
    <row r="2871" spans="2:2" ht="17.25">
      <c r="B2871" s="209"/>
    </row>
    <row r="2872" spans="2:2" ht="17.25">
      <c r="B2872" s="209"/>
    </row>
    <row r="2873" spans="2:2" ht="17.25">
      <c r="B2873" s="209"/>
    </row>
    <row r="2874" spans="2:2" ht="17.25">
      <c r="B2874" s="209"/>
    </row>
    <row r="2875" spans="2:2" ht="17.25">
      <c r="B2875" s="209"/>
    </row>
    <row r="2876" spans="2:2" ht="17.25">
      <c r="B2876" s="209"/>
    </row>
    <row r="2877" spans="2:2" ht="17.25">
      <c r="B2877" s="209"/>
    </row>
    <row r="2878" spans="2:2" ht="17.25">
      <c r="B2878" s="209"/>
    </row>
    <row r="2879" spans="2:2" ht="17.25">
      <c r="B2879" s="209"/>
    </row>
    <row r="2880" spans="2:2" ht="17.25">
      <c r="B2880" s="209"/>
    </row>
    <row r="2881" spans="2:2" ht="17.25">
      <c r="B2881" s="209"/>
    </row>
    <row r="2882" spans="2:2" ht="17.25">
      <c r="B2882" s="209"/>
    </row>
    <row r="2883" spans="2:2" ht="17.25">
      <c r="B2883" s="209"/>
    </row>
    <row r="2884" spans="2:2" ht="17.25">
      <c r="B2884" s="209"/>
    </row>
    <row r="2885" spans="2:2" ht="17.25">
      <c r="B2885" s="209"/>
    </row>
    <row r="2886" spans="2:2" ht="17.25">
      <c r="B2886" s="209"/>
    </row>
    <row r="2887" spans="2:2" ht="17.25">
      <c r="B2887" s="209"/>
    </row>
    <row r="2888" spans="2:2" ht="17.25">
      <c r="B2888" s="209"/>
    </row>
    <row r="2889" spans="2:2" ht="17.25">
      <c r="B2889" s="209"/>
    </row>
    <row r="2890" spans="2:2" ht="17.25">
      <c r="B2890" s="209"/>
    </row>
    <row r="2891" spans="2:2" ht="17.25">
      <c r="B2891" s="209"/>
    </row>
    <row r="2892" spans="2:2" ht="17.25">
      <c r="B2892" s="209"/>
    </row>
    <row r="2893" spans="2:2" ht="17.25">
      <c r="B2893" s="209"/>
    </row>
    <row r="2894" spans="2:2" ht="17.25">
      <c r="B2894" s="209"/>
    </row>
    <row r="2895" spans="2:2" ht="17.25">
      <c r="B2895" s="209"/>
    </row>
    <row r="2896" spans="2:2" ht="17.25">
      <c r="B2896" s="209"/>
    </row>
    <row r="2897" spans="2:2" ht="17.25">
      <c r="B2897" s="209"/>
    </row>
    <row r="2898" spans="2:2" ht="17.25">
      <c r="B2898" s="209"/>
    </row>
    <row r="2899" spans="2:2" ht="17.25">
      <c r="B2899" s="209"/>
    </row>
    <row r="2900" spans="2:2" ht="17.25">
      <c r="B2900" s="209"/>
    </row>
    <row r="2901" spans="2:2" ht="17.25">
      <c r="B2901" s="209"/>
    </row>
    <row r="2902" spans="2:2" ht="17.25">
      <c r="B2902" s="209"/>
    </row>
    <row r="2903" spans="2:2" ht="17.25">
      <c r="B2903" s="209"/>
    </row>
    <row r="2904" spans="2:2" ht="17.25">
      <c r="B2904" s="209"/>
    </row>
    <row r="2905" spans="2:2" ht="17.25">
      <c r="B2905" s="209"/>
    </row>
    <row r="2906" spans="2:2" ht="17.25">
      <c r="B2906" s="209"/>
    </row>
    <row r="2907" spans="2:2" ht="17.25">
      <c r="B2907" s="209"/>
    </row>
    <row r="2908" spans="2:2" ht="17.25">
      <c r="B2908" s="209"/>
    </row>
    <row r="2909" spans="2:2" ht="17.25">
      <c r="B2909" s="209"/>
    </row>
    <row r="2910" spans="2:2" ht="17.25">
      <c r="B2910" s="209"/>
    </row>
    <row r="2911" spans="2:2" ht="17.25">
      <c r="B2911" s="209"/>
    </row>
    <row r="2912" spans="2:2" ht="17.25">
      <c r="B2912" s="209"/>
    </row>
    <row r="2913" spans="2:2" ht="17.25">
      <c r="B2913" s="209"/>
    </row>
    <row r="2914" spans="2:2" ht="17.25">
      <c r="B2914" s="209"/>
    </row>
    <row r="2915" spans="2:2" ht="17.25">
      <c r="B2915" s="209"/>
    </row>
    <row r="2916" spans="2:2" ht="17.25">
      <c r="B2916" s="209"/>
    </row>
    <row r="2917" spans="2:2" ht="17.25">
      <c r="B2917" s="209"/>
    </row>
    <row r="2918" spans="2:2" ht="17.25">
      <c r="B2918" s="209"/>
    </row>
    <row r="2919" spans="2:2" ht="17.25">
      <c r="B2919" s="209"/>
    </row>
    <row r="2920" spans="2:2" ht="17.25">
      <c r="B2920" s="209"/>
    </row>
    <row r="2921" spans="2:2" ht="17.25">
      <c r="B2921" s="209"/>
    </row>
    <row r="2922" spans="2:2" ht="17.25">
      <c r="B2922" s="209"/>
    </row>
    <row r="2923" spans="2:2" ht="17.25">
      <c r="B2923" s="209"/>
    </row>
    <row r="2924" spans="2:2" ht="17.25">
      <c r="B2924" s="209"/>
    </row>
    <row r="2925" spans="2:2" ht="17.25">
      <c r="B2925" s="209"/>
    </row>
    <row r="2926" spans="2:2" ht="17.25">
      <c r="B2926" s="209"/>
    </row>
    <row r="2927" spans="2:2" ht="17.25">
      <c r="B2927" s="209"/>
    </row>
    <row r="2928" spans="2:2" ht="17.25">
      <c r="B2928" s="209"/>
    </row>
    <row r="2929" spans="2:2" ht="17.25">
      <c r="B2929" s="209"/>
    </row>
    <row r="2930" spans="2:2" ht="17.25">
      <c r="B2930" s="209"/>
    </row>
    <row r="2931" spans="2:2" ht="17.25">
      <c r="B2931" s="209"/>
    </row>
    <row r="2932" spans="2:2" ht="17.25">
      <c r="B2932" s="209"/>
    </row>
    <row r="2933" spans="2:2" ht="17.25">
      <c r="B2933" s="209"/>
    </row>
    <row r="2934" spans="2:2" ht="17.25">
      <c r="B2934" s="209"/>
    </row>
    <row r="2935" spans="2:2" ht="17.25">
      <c r="B2935" s="209"/>
    </row>
    <row r="2936" spans="2:2" ht="17.25">
      <c r="B2936" s="209"/>
    </row>
    <row r="2937" spans="2:2" ht="17.25">
      <c r="B2937" s="209"/>
    </row>
    <row r="2938" spans="2:2" ht="17.25">
      <c r="B2938" s="209"/>
    </row>
    <row r="2939" spans="2:2" ht="17.25">
      <c r="B2939" s="209"/>
    </row>
    <row r="2940" spans="2:2" ht="17.25">
      <c r="B2940" s="209"/>
    </row>
    <row r="2941" spans="2:2" ht="17.25">
      <c r="B2941" s="209"/>
    </row>
    <row r="2942" spans="2:2" ht="17.25">
      <c r="B2942" s="209"/>
    </row>
    <row r="2943" spans="2:2" ht="17.25">
      <c r="B2943" s="209"/>
    </row>
    <row r="2944" spans="2:2" ht="17.25">
      <c r="B2944" s="209"/>
    </row>
    <row r="2945" spans="2:2" ht="17.25">
      <c r="B2945" s="209"/>
    </row>
    <row r="2946" spans="2:2" ht="17.25">
      <c r="B2946" s="209"/>
    </row>
    <row r="2947" spans="2:2" ht="17.25">
      <c r="B2947" s="209"/>
    </row>
    <row r="2948" spans="2:2" ht="17.25">
      <c r="B2948" s="209"/>
    </row>
    <row r="2949" spans="2:2" ht="17.25">
      <c r="B2949" s="209"/>
    </row>
    <row r="2950" spans="2:2" ht="17.25">
      <c r="B2950" s="209"/>
    </row>
    <row r="2951" spans="2:2" ht="17.25">
      <c r="B2951" s="209"/>
    </row>
    <row r="2952" spans="2:2" ht="17.25">
      <c r="B2952" s="209"/>
    </row>
    <row r="2953" spans="2:2" ht="17.25">
      <c r="B2953" s="209"/>
    </row>
    <row r="2954" spans="2:2" ht="17.25">
      <c r="B2954" s="209"/>
    </row>
    <row r="2955" spans="2:2" ht="17.25">
      <c r="B2955" s="209"/>
    </row>
    <row r="2956" spans="2:2" ht="17.25">
      <c r="B2956" s="209"/>
    </row>
    <row r="2957" spans="2:2" ht="17.25">
      <c r="B2957" s="209"/>
    </row>
    <row r="2958" spans="2:2" ht="17.25">
      <c r="B2958" s="209"/>
    </row>
    <row r="2959" spans="2:2" ht="17.25">
      <c r="B2959" s="209"/>
    </row>
    <row r="2960" spans="2:2" ht="17.25">
      <c r="B2960" s="209"/>
    </row>
    <row r="2961" spans="2:2" ht="17.25">
      <c r="B2961" s="209"/>
    </row>
    <row r="2962" spans="2:2" ht="17.25">
      <c r="B2962" s="209"/>
    </row>
    <row r="2963" spans="2:2" ht="17.25">
      <c r="B2963" s="209"/>
    </row>
    <row r="2964" spans="2:2" ht="17.25">
      <c r="B2964" s="209"/>
    </row>
    <row r="2965" spans="2:2" ht="17.25">
      <c r="B2965" s="209"/>
    </row>
    <row r="2966" spans="2:2" ht="17.25">
      <c r="B2966" s="209"/>
    </row>
    <row r="2967" spans="2:2" ht="17.25">
      <c r="B2967" s="209"/>
    </row>
    <row r="2968" spans="2:2" ht="17.25">
      <c r="B2968" s="209"/>
    </row>
    <row r="2969" spans="2:2" ht="17.25">
      <c r="B2969" s="209"/>
    </row>
    <row r="2970" spans="2:2" ht="17.25">
      <c r="B2970" s="209"/>
    </row>
    <row r="2971" spans="2:2" ht="17.25">
      <c r="B2971" s="209"/>
    </row>
    <row r="2972" spans="2:2" ht="17.25">
      <c r="B2972" s="209"/>
    </row>
    <row r="2973" spans="2:2" ht="17.25">
      <c r="B2973" s="209"/>
    </row>
    <row r="2974" spans="2:2" ht="17.25">
      <c r="B2974" s="209"/>
    </row>
    <row r="2975" spans="2:2" ht="17.25">
      <c r="B2975" s="209"/>
    </row>
    <row r="2976" spans="2:2" ht="17.25">
      <c r="B2976" s="209"/>
    </row>
    <row r="2977" spans="2:2" ht="17.25">
      <c r="B2977" s="209"/>
    </row>
    <row r="2978" spans="2:2" ht="17.25">
      <c r="B2978" s="209"/>
    </row>
    <row r="2979" spans="2:2" ht="17.25">
      <c r="B2979" s="209"/>
    </row>
    <row r="2980" spans="2:2" ht="17.25">
      <c r="B2980" s="209"/>
    </row>
    <row r="2981" spans="2:2" ht="17.25">
      <c r="B2981" s="209"/>
    </row>
    <row r="2982" spans="2:2" ht="17.25">
      <c r="B2982" s="209"/>
    </row>
    <row r="2983" spans="2:2" ht="17.25">
      <c r="B2983" s="209"/>
    </row>
    <row r="2984" spans="2:2" ht="17.25">
      <c r="B2984" s="209"/>
    </row>
    <row r="2985" spans="2:2" ht="17.25">
      <c r="B2985" s="209"/>
    </row>
    <row r="2986" spans="2:2" ht="17.25">
      <c r="B2986" s="209"/>
    </row>
    <row r="2987" spans="2:2" ht="17.25">
      <c r="B2987" s="209"/>
    </row>
    <row r="2988" spans="2:2" ht="17.25">
      <c r="B2988" s="209"/>
    </row>
    <row r="2989" spans="2:2" ht="17.25">
      <c r="B2989" s="209"/>
    </row>
    <row r="2990" spans="2:2" ht="17.25">
      <c r="B2990" s="209"/>
    </row>
    <row r="2991" spans="2:2" ht="17.25">
      <c r="B2991" s="209"/>
    </row>
    <row r="2992" spans="2:2" ht="17.25">
      <c r="B2992" s="209"/>
    </row>
    <row r="2993" spans="2:2" ht="17.25">
      <c r="B2993" s="209"/>
    </row>
    <row r="2994" spans="2:2" ht="17.25">
      <c r="B2994" s="209"/>
    </row>
    <row r="2995" spans="2:2" ht="17.25">
      <c r="B2995" s="209"/>
    </row>
    <row r="2996" spans="2:2" ht="17.25">
      <c r="B2996" s="209"/>
    </row>
    <row r="2997" spans="2:2" ht="17.25">
      <c r="B2997" s="209"/>
    </row>
    <row r="2998" spans="2:2" ht="17.25">
      <c r="B2998" s="209"/>
    </row>
    <row r="2999" spans="2:2" ht="17.25">
      <c r="B2999" s="209"/>
    </row>
    <row r="3000" spans="2:2" ht="17.25">
      <c r="B3000" s="209"/>
    </row>
    <row r="3001" spans="2:2" ht="17.25">
      <c r="B3001" s="209"/>
    </row>
    <row r="3002" spans="2:2" ht="17.25">
      <c r="B3002" s="209"/>
    </row>
    <row r="3003" spans="2:2" ht="17.25">
      <c r="B3003" s="209"/>
    </row>
    <row r="3004" spans="2:2" ht="17.25">
      <c r="B3004" s="209"/>
    </row>
    <row r="3005" spans="2:2" ht="17.25">
      <c r="B3005" s="209"/>
    </row>
    <row r="3006" spans="2:2" ht="17.25">
      <c r="B3006" s="209"/>
    </row>
    <row r="3007" spans="2:2" ht="17.25">
      <c r="B3007" s="209"/>
    </row>
    <row r="3008" spans="2:2" ht="17.25">
      <c r="B3008" s="209"/>
    </row>
    <row r="3009" spans="2:2" ht="17.25">
      <c r="B3009" s="209"/>
    </row>
    <row r="3010" spans="2:2" ht="17.25">
      <c r="B3010" s="209"/>
    </row>
    <row r="3011" spans="2:2" ht="17.25">
      <c r="B3011" s="209"/>
    </row>
    <row r="3012" spans="2:2" ht="17.25">
      <c r="B3012" s="209"/>
    </row>
    <row r="3013" spans="2:2" ht="17.25">
      <c r="B3013" s="209"/>
    </row>
    <row r="3014" spans="2:2" ht="17.25">
      <c r="B3014" s="209"/>
    </row>
    <row r="3015" spans="2:2" ht="17.25">
      <c r="B3015" s="209"/>
    </row>
    <row r="3016" spans="2:2" ht="17.25">
      <c r="B3016" s="209"/>
    </row>
    <row r="3017" spans="2:2" ht="17.25">
      <c r="B3017" s="209"/>
    </row>
    <row r="3018" spans="2:2" ht="17.25">
      <c r="B3018" s="209"/>
    </row>
    <row r="3019" spans="2:2" ht="17.25">
      <c r="B3019" s="209"/>
    </row>
    <row r="3020" spans="2:2" ht="17.25">
      <c r="B3020" s="209"/>
    </row>
    <row r="3021" spans="2:2" ht="17.25">
      <c r="B3021" s="209"/>
    </row>
    <row r="3022" spans="2:2" ht="17.25">
      <c r="B3022" s="209"/>
    </row>
    <row r="3023" spans="2:2" ht="17.25">
      <c r="B3023" s="209"/>
    </row>
    <row r="3024" spans="2:2" ht="17.25">
      <c r="B3024" s="209"/>
    </row>
    <row r="3025" spans="2:2" ht="17.25">
      <c r="B3025" s="209"/>
    </row>
    <row r="3026" spans="2:2" ht="17.25">
      <c r="B3026" s="209"/>
    </row>
    <row r="3027" spans="2:2" ht="17.25">
      <c r="B3027" s="209"/>
    </row>
    <row r="3028" spans="2:2" ht="17.25">
      <c r="B3028" s="209"/>
    </row>
    <row r="3029" spans="2:2" ht="17.25">
      <c r="B3029" s="209"/>
    </row>
    <row r="3030" spans="2:2" ht="17.25">
      <c r="B3030" s="209"/>
    </row>
    <row r="3031" spans="2:2" ht="17.25">
      <c r="B3031" s="209"/>
    </row>
    <row r="3032" spans="2:2" ht="17.25">
      <c r="B3032" s="209"/>
    </row>
    <row r="3033" spans="2:2" ht="17.25">
      <c r="B3033" s="209"/>
    </row>
    <row r="3034" spans="2:2" ht="17.25">
      <c r="B3034" s="209"/>
    </row>
    <row r="3035" spans="2:2" ht="17.25">
      <c r="B3035" s="209"/>
    </row>
    <row r="3036" spans="2:2" ht="17.25">
      <c r="B3036" s="209"/>
    </row>
    <row r="3037" spans="2:2" ht="17.25">
      <c r="B3037" s="209"/>
    </row>
    <row r="3038" spans="2:2" ht="17.25">
      <c r="B3038" s="209"/>
    </row>
    <row r="3039" spans="2:2" ht="17.25">
      <c r="B3039" s="209"/>
    </row>
    <row r="3040" spans="2:2" ht="17.25">
      <c r="B3040" s="209"/>
    </row>
    <row r="3041" spans="2:2" ht="17.25">
      <c r="B3041" s="209"/>
    </row>
    <row r="3042" spans="2:2" ht="17.25">
      <c r="B3042" s="209"/>
    </row>
    <row r="3043" spans="2:2" ht="17.25">
      <c r="B3043" s="209"/>
    </row>
    <row r="3044" spans="2:2" ht="17.25">
      <c r="B3044" s="209"/>
    </row>
    <row r="3045" spans="2:2" ht="17.25">
      <c r="B3045" s="209"/>
    </row>
    <row r="3046" spans="2:2" ht="17.25">
      <c r="B3046" s="209"/>
    </row>
    <row r="3047" spans="2:2" ht="17.25">
      <c r="B3047" s="209"/>
    </row>
    <row r="3048" spans="2:2" ht="17.25">
      <c r="B3048" s="209"/>
    </row>
    <row r="3049" spans="2:2" ht="17.25">
      <c r="B3049" s="209"/>
    </row>
    <row r="3050" spans="2:2" ht="17.25">
      <c r="B3050" s="209"/>
    </row>
    <row r="3051" spans="2:2" ht="17.25">
      <c r="B3051" s="209"/>
    </row>
    <row r="3052" spans="2:2" ht="17.25">
      <c r="B3052" s="209"/>
    </row>
    <row r="3053" spans="2:2" ht="17.25">
      <c r="B3053" s="209"/>
    </row>
    <row r="3054" spans="2:2" ht="17.25">
      <c r="B3054" s="209"/>
    </row>
    <row r="3055" spans="2:2" ht="17.25">
      <c r="B3055" s="209"/>
    </row>
    <row r="3056" spans="2:2" ht="17.25">
      <c r="B3056" s="209"/>
    </row>
    <row r="3057" spans="2:2" ht="17.25">
      <c r="B3057" s="209"/>
    </row>
    <row r="3058" spans="2:2" ht="17.25">
      <c r="B3058" s="209"/>
    </row>
    <row r="3059" spans="2:2" ht="17.25">
      <c r="B3059" s="209"/>
    </row>
    <row r="3060" spans="2:2" ht="17.25">
      <c r="B3060" s="209"/>
    </row>
    <row r="3061" spans="2:2" ht="17.25">
      <c r="B3061" s="209"/>
    </row>
    <row r="3062" spans="2:2" ht="17.25">
      <c r="B3062" s="209"/>
    </row>
    <row r="3063" spans="2:2" ht="17.25">
      <c r="B3063" s="209"/>
    </row>
    <row r="3064" spans="2:2" ht="17.25">
      <c r="B3064" s="209"/>
    </row>
    <row r="3065" spans="2:2" ht="17.25">
      <c r="B3065" s="209"/>
    </row>
    <row r="3066" spans="2:2" ht="17.25">
      <c r="B3066" s="209"/>
    </row>
    <row r="3067" spans="2:2" ht="17.25">
      <c r="B3067" s="209"/>
    </row>
    <row r="3068" spans="2:2" ht="17.25">
      <c r="B3068" s="209"/>
    </row>
    <row r="3069" spans="2:2" ht="17.25">
      <c r="B3069" s="209"/>
    </row>
    <row r="3070" spans="2:2" ht="17.25">
      <c r="B3070" s="209"/>
    </row>
    <row r="3071" spans="2:2" ht="17.25">
      <c r="B3071" s="209"/>
    </row>
    <row r="3072" spans="2:2" ht="17.25">
      <c r="B3072" s="209"/>
    </row>
    <row r="3073" spans="2:2" ht="17.25">
      <c r="B3073" s="209"/>
    </row>
    <row r="3074" spans="2:2" ht="17.25">
      <c r="B3074" s="209"/>
    </row>
    <row r="3075" spans="2:2" ht="17.25">
      <c r="B3075" s="209"/>
    </row>
    <row r="3076" spans="2:2" ht="17.25">
      <c r="B3076" s="209"/>
    </row>
    <row r="3077" spans="2:2" ht="17.25">
      <c r="B3077" s="209"/>
    </row>
    <row r="3078" spans="2:2" ht="17.25">
      <c r="B3078" s="209"/>
    </row>
    <row r="3079" spans="2:2" ht="17.25">
      <c r="B3079" s="209"/>
    </row>
    <row r="3080" spans="2:2" ht="17.25">
      <c r="B3080" s="209"/>
    </row>
    <row r="3081" spans="2:2" ht="17.25">
      <c r="B3081" s="209"/>
    </row>
    <row r="3082" spans="2:2" ht="17.25">
      <c r="B3082" s="209"/>
    </row>
    <row r="3083" spans="2:2" ht="17.25">
      <c r="B3083" s="209"/>
    </row>
    <row r="3084" spans="2:2" ht="17.25">
      <c r="B3084" s="209"/>
    </row>
    <row r="3085" spans="2:2" ht="17.25">
      <c r="B3085" s="209"/>
    </row>
    <row r="3086" spans="2:2" ht="17.25">
      <c r="B3086" s="209"/>
    </row>
    <row r="3087" spans="2:2" ht="17.25">
      <c r="B3087" s="209"/>
    </row>
    <row r="3088" spans="2:2" ht="17.25">
      <c r="B3088" s="209"/>
    </row>
    <row r="3089" spans="2:2" ht="17.25">
      <c r="B3089" s="209"/>
    </row>
    <row r="3090" spans="2:2" ht="17.25">
      <c r="B3090" s="209"/>
    </row>
    <row r="3091" spans="2:2" ht="17.25">
      <c r="B3091" s="209"/>
    </row>
    <row r="3092" spans="2:2" ht="17.25">
      <c r="B3092" s="209"/>
    </row>
    <row r="3093" spans="2:2" ht="17.25">
      <c r="B3093" s="209"/>
    </row>
    <row r="3094" spans="2:2" ht="17.25">
      <c r="B3094" s="209"/>
    </row>
    <row r="3095" spans="2:2" ht="17.25">
      <c r="B3095" s="209"/>
    </row>
    <row r="3096" spans="2:2" ht="17.25">
      <c r="B3096" s="209"/>
    </row>
    <row r="3097" spans="2:2" ht="17.25">
      <c r="B3097" s="209"/>
    </row>
    <row r="3098" spans="2:2" ht="17.25">
      <c r="B3098" s="209"/>
    </row>
    <row r="3099" spans="2:2" ht="17.25">
      <c r="B3099" s="209"/>
    </row>
    <row r="3100" spans="2:2" ht="17.25">
      <c r="B3100" s="209"/>
    </row>
    <row r="3101" spans="2:2" ht="17.25">
      <c r="B3101" s="209"/>
    </row>
    <row r="3102" spans="2:2" ht="17.25">
      <c r="B3102" s="209"/>
    </row>
    <row r="3103" spans="2:2" ht="17.25">
      <c r="B3103" s="209"/>
    </row>
    <row r="3104" spans="2:2" ht="17.25">
      <c r="B3104" s="209"/>
    </row>
    <row r="3105" spans="2:2" ht="17.25">
      <c r="B3105" s="209"/>
    </row>
    <row r="3106" spans="2:2" ht="17.25">
      <c r="B3106" s="209"/>
    </row>
    <row r="3107" spans="2:2" ht="17.25">
      <c r="B3107" s="209"/>
    </row>
    <row r="3108" spans="2:2" ht="17.25">
      <c r="B3108" s="209"/>
    </row>
    <row r="3109" spans="2:2" ht="17.25">
      <c r="B3109" s="209"/>
    </row>
    <row r="3110" spans="2:2" ht="17.25">
      <c r="B3110" s="209"/>
    </row>
    <row r="3111" spans="2:2" ht="17.25">
      <c r="B3111" s="209"/>
    </row>
    <row r="3112" spans="2:2" ht="17.25">
      <c r="B3112" s="209"/>
    </row>
    <row r="3113" spans="2:2" ht="17.25">
      <c r="B3113" s="209"/>
    </row>
    <row r="3114" spans="2:2" ht="17.25">
      <c r="B3114" s="209"/>
    </row>
    <row r="3115" spans="2:2" ht="17.25">
      <c r="B3115" s="209"/>
    </row>
    <row r="3116" spans="2:2" ht="17.25">
      <c r="B3116" s="209"/>
    </row>
    <row r="3117" spans="2:2" ht="17.25">
      <c r="B3117" s="209"/>
    </row>
    <row r="3118" spans="2:2" ht="17.25">
      <c r="B3118" s="209"/>
    </row>
    <row r="3119" spans="2:2" ht="17.25">
      <c r="B3119" s="209"/>
    </row>
    <row r="3120" spans="2:2" ht="17.25">
      <c r="B3120" s="209"/>
    </row>
    <row r="3121" spans="2:2" ht="17.25">
      <c r="B3121" s="209"/>
    </row>
    <row r="3122" spans="2:2" ht="17.25">
      <c r="B3122" s="209"/>
    </row>
    <row r="3123" spans="2:2" ht="17.25">
      <c r="B3123" s="209"/>
    </row>
    <row r="3124" spans="2:2" ht="17.25">
      <c r="B3124" s="209"/>
    </row>
    <row r="3125" spans="2:2" ht="17.25">
      <c r="B3125" s="209"/>
    </row>
    <row r="3126" spans="2:2" ht="17.25">
      <c r="B3126" s="209"/>
    </row>
    <row r="3127" spans="2:2" ht="17.25">
      <c r="B3127" s="209"/>
    </row>
    <row r="3128" spans="2:2" ht="17.25">
      <c r="B3128" s="209"/>
    </row>
    <row r="3129" spans="2:2" ht="17.25">
      <c r="B3129" s="209"/>
    </row>
    <row r="3130" spans="2:2" ht="17.25">
      <c r="B3130" s="209"/>
    </row>
    <row r="3131" spans="2:2" ht="17.25">
      <c r="B3131" s="209"/>
    </row>
    <row r="3132" spans="2:2" ht="17.25">
      <c r="B3132" s="209"/>
    </row>
    <row r="3133" spans="2:2" ht="17.25">
      <c r="B3133" s="209"/>
    </row>
    <row r="3134" spans="2:2" ht="17.25">
      <c r="B3134" s="209"/>
    </row>
    <row r="3135" spans="2:2" ht="17.25">
      <c r="B3135" s="209"/>
    </row>
    <row r="3136" spans="2:2" ht="17.25">
      <c r="B3136" s="209"/>
    </row>
    <row r="3137" spans="2:2" ht="17.25">
      <c r="B3137" s="209"/>
    </row>
    <row r="3138" spans="2:2" ht="17.25">
      <c r="B3138" s="209"/>
    </row>
    <row r="3139" spans="2:2" ht="17.25">
      <c r="B3139" s="209"/>
    </row>
    <row r="3140" spans="2:2" ht="17.25">
      <c r="B3140" s="209"/>
    </row>
    <row r="3141" spans="2:2" ht="17.25">
      <c r="B3141" s="209"/>
    </row>
    <row r="3142" spans="2:2" ht="17.25">
      <c r="B3142" s="209"/>
    </row>
    <row r="3143" spans="2:2" ht="17.25">
      <c r="B3143" s="209"/>
    </row>
    <row r="3144" spans="2:2" ht="17.25">
      <c r="B3144" s="209"/>
    </row>
    <row r="3145" spans="2:2" ht="17.25">
      <c r="B3145" s="209"/>
    </row>
    <row r="3146" spans="2:2" ht="17.25">
      <c r="B3146" s="209"/>
    </row>
    <row r="3147" spans="2:2" ht="17.25">
      <c r="B3147" s="209"/>
    </row>
    <row r="3148" spans="2:2" ht="17.25">
      <c r="B3148" s="209"/>
    </row>
    <row r="3149" spans="2:2" ht="17.25">
      <c r="B3149" s="209"/>
    </row>
    <row r="3150" spans="2:2" ht="17.25">
      <c r="B3150" s="209"/>
    </row>
    <row r="3151" spans="2:2" ht="17.25">
      <c r="B3151" s="209"/>
    </row>
    <row r="3152" spans="2:2" ht="17.25">
      <c r="B3152" s="209"/>
    </row>
    <row r="3153" spans="2:2" ht="17.25">
      <c r="B3153" s="209"/>
    </row>
    <row r="3154" spans="2:2" ht="17.25">
      <c r="B3154" s="209"/>
    </row>
    <row r="3155" spans="2:2" ht="17.25">
      <c r="B3155" s="209"/>
    </row>
    <row r="3156" spans="2:2" ht="17.25">
      <c r="B3156" s="209"/>
    </row>
    <row r="3157" spans="2:2" ht="17.25">
      <c r="B3157" s="209"/>
    </row>
    <row r="3158" spans="2:2" ht="17.25">
      <c r="B3158" s="209"/>
    </row>
    <row r="3159" spans="2:2" ht="17.25">
      <c r="B3159" s="209"/>
    </row>
    <row r="3160" spans="2:2" ht="17.25">
      <c r="B3160" s="209"/>
    </row>
    <row r="3161" spans="2:2" ht="17.25">
      <c r="B3161" s="209"/>
    </row>
    <row r="3162" spans="2:2" ht="17.25">
      <c r="B3162" s="209"/>
    </row>
    <row r="3163" spans="2:2" ht="17.25">
      <c r="B3163" s="209"/>
    </row>
    <row r="3164" spans="2:2" ht="17.25">
      <c r="B3164" s="209"/>
    </row>
    <row r="3165" spans="2:2" ht="17.25">
      <c r="B3165" s="209"/>
    </row>
    <row r="3166" spans="2:2" ht="17.25">
      <c r="B3166" s="209"/>
    </row>
    <row r="3167" spans="2:2" ht="17.25">
      <c r="B3167" s="209"/>
    </row>
    <row r="3168" spans="2:2" ht="17.25">
      <c r="B3168" s="209"/>
    </row>
    <row r="3169" spans="2:2" ht="17.25">
      <c r="B3169" s="209"/>
    </row>
    <row r="3170" spans="2:2" ht="17.25">
      <c r="B3170" s="209"/>
    </row>
    <row r="3171" spans="2:2" ht="17.25">
      <c r="B3171" s="209"/>
    </row>
    <row r="3172" spans="2:2" ht="17.25">
      <c r="B3172" s="209"/>
    </row>
    <row r="3173" spans="2:2" ht="17.25">
      <c r="B3173" s="209"/>
    </row>
    <row r="3174" spans="2:2" ht="17.25">
      <c r="B3174" s="209"/>
    </row>
    <row r="3175" spans="2:2" ht="17.25">
      <c r="B3175" s="209"/>
    </row>
    <row r="3176" spans="2:2" ht="17.25">
      <c r="B3176" s="209"/>
    </row>
    <row r="3177" spans="2:2" ht="17.25">
      <c r="B3177" s="209"/>
    </row>
    <row r="3178" spans="2:2" ht="17.25">
      <c r="B3178" s="209"/>
    </row>
    <row r="3179" spans="2:2" ht="17.25">
      <c r="B3179" s="209"/>
    </row>
    <row r="3180" spans="2:2" ht="17.25">
      <c r="B3180" s="209"/>
    </row>
    <row r="3181" spans="2:2" ht="17.25">
      <c r="B3181" s="209"/>
    </row>
    <row r="3182" spans="2:2" ht="17.25">
      <c r="B3182" s="209"/>
    </row>
    <row r="3183" spans="2:2" ht="17.25">
      <c r="B3183" s="209"/>
    </row>
    <row r="3184" spans="2:2" ht="17.25">
      <c r="B3184" s="209"/>
    </row>
    <row r="3185" spans="2:2" ht="17.25">
      <c r="B3185" s="209"/>
    </row>
    <row r="3186" spans="2:2" ht="17.25">
      <c r="B3186" s="209"/>
    </row>
    <row r="3187" spans="2:2" ht="17.25">
      <c r="B3187" s="209"/>
    </row>
    <row r="3188" spans="2:2" ht="17.25">
      <c r="B3188" s="209"/>
    </row>
    <row r="3189" spans="2:2" ht="17.25">
      <c r="B3189" s="209"/>
    </row>
    <row r="3190" spans="2:2" ht="17.25">
      <c r="B3190" s="209"/>
    </row>
    <row r="3191" spans="2:2" ht="17.25">
      <c r="B3191" s="209"/>
    </row>
    <row r="3192" spans="2:2" ht="17.25">
      <c r="B3192" s="209"/>
    </row>
    <row r="3193" spans="2:2" ht="17.25">
      <c r="B3193" s="209"/>
    </row>
    <row r="3194" spans="2:2" ht="17.25">
      <c r="B3194" s="209"/>
    </row>
    <row r="3195" spans="2:2" ht="17.25">
      <c r="B3195" s="209"/>
    </row>
    <row r="3196" spans="2:2" ht="17.25">
      <c r="B3196" s="209"/>
    </row>
    <row r="3197" spans="2:2" ht="17.25">
      <c r="B3197" s="209"/>
    </row>
    <row r="3198" spans="2:2" ht="17.25">
      <c r="B3198" s="209"/>
    </row>
    <row r="3199" spans="2:2" ht="17.25">
      <c r="B3199" s="209"/>
    </row>
    <row r="3200" spans="2:2" ht="17.25">
      <c r="B3200" s="209"/>
    </row>
    <row r="3201" spans="2:2" ht="17.25">
      <c r="B3201" s="209"/>
    </row>
    <row r="3202" spans="2:2" ht="17.25">
      <c r="B3202" s="209"/>
    </row>
    <row r="3203" spans="2:2" ht="17.25">
      <c r="B3203" s="209"/>
    </row>
    <row r="3204" spans="2:2" ht="17.25">
      <c r="B3204" s="209"/>
    </row>
    <row r="3205" spans="2:2" ht="17.25">
      <c r="B3205" s="209"/>
    </row>
    <row r="3206" spans="2:2" ht="17.25">
      <c r="B3206" s="209"/>
    </row>
    <row r="3207" spans="2:2" ht="17.25">
      <c r="B3207" s="209"/>
    </row>
    <row r="3208" spans="2:2" ht="17.25">
      <c r="B3208" s="209"/>
    </row>
    <row r="3209" spans="2:2" ht="17.25">
      <c r="B3209" s="209"/>
    </row>
    <row r="3210" spans="2:2" ht="17.25">
      <c r="B3210" s="209"/>
    </row>
    <row r="3211" spans="2:2" ht="17.25">
      <c r="B3211" s="209"/>
    </row>
    <row r="3212" spans="2:2" ht="17.25">
      <c r="B3212" s="209"/>
    </row>
    <row r="3213" spans="2:2" ht="17.25">
      <c r="B3213" s="209"/>
    </row>
    <row r="3214" spans="2:2" ht="17.25">
      <c r="B3214" s="209"/>
    </row>
    <row r="3215" spans="2:2" ht="17.25">
      <c r="B3215" s="209"/>
    </row>
    <row r="3216" spans="2:2" ht="17.25">
      <c r="B3216" s="209"/>
    </row>
    <row r="3217" spans="2:2" ht="17.25">
      <c r="B3217" s="209"/>
    </row>
    <row r="3218" spans="2:2" ht="17.25">
      <c r="B3218" s="209"/>
    </row>
    <row r="3219" spans="2:2" ht="17.25">
      <c r="B3219" s="209"/>
    </row>
    <row r="3220" spans="2:2" ht="17.25">
      <c r="B3220" s="209"/>
    </row>
    <row r="3221" spans="2:2" ht="17.25">
      <c r="B3221" s="209"/>
    </row>
    <row r="3222" spans="2:2" ht="17.25">
      <c r="B3222" s="209"/>
    </row>
    <row r="3223" spans="2:2" ht="17.25">
      <c r="B3223" s="209"/>
    </row>
    <row r="3224" spans="2:2" ht="17.25">
      <c r="B3224" s="209"/>
    </row>
    <row r="3225" spans="2:2" ht="17.25">
      <c r="B3225" s="209"/>
    </row>
    <row r="3226" spans="2:2" ht="17.25">
      <c r="B3226" s="209"/>
    </row>
    <row r="3227" spans="2:2" ht="17.25">
      <c r="B3227" s="209"/>
    </row>
    <row r="3228" spans="2:2" ht="17.25">
      <c r="B3228" s="209"/>
    </row>
    <row r="3229" spans="2:2" ht="17.25">
      <c r="B3229" s="209"/>
    </row>
    <row r="3230" spans="2:2" ht="17.25">
      <c r="B3230" s="209"/>
    </row>
    <row r="3231" spans="2:2" ht="17.25">
      <c r="B3231" s="209"/>
    </row>
    <row r="3232" spans="2:2" ht="17.25">
      <c r="B3232" s="209"/>
    </row>
    <row r="3233" spans="2:2" ht="17.25">
      <c r="B3233" s="209"/>
    </row>
    <row r="3234" spans="2:2" ht="17.25">
      <c r="B3234" s="209"/>
    </row>
    <row r="3235" spans="2:2" ht="17.25">
      <c r="B3235" s="209"/>
    </row>
    <row r="3236" spans="2:2" ht="17.25">
      <c r="B3236" s="209"/>
    </row>
    <row r="3237" spans="2:2" ht="17.25">
      <c r="B3237" s="209"/>
    </row>
    <row r="3238" spans="2:2" ht="17.25">
      <c r="B3238" s="209"/>
    </row>
    <row r="3239" spans="2:2" ht="17.25">
      <c r="B3239" s="209"/>
    </row>
    <row r="3240" spans="2:2" ht="17.25">
      <c r="B3240" s="209"/>
    </row>
    <row r="3241" spans="2:2" ht="17.25">
      <c r="B3241" s="209"/>
    </row>
    <row r="3242" spans="2:2" ht="17.25">
      <c r="B3242" s="209"/>
    </row>
    <row r="3243" spans="2:2" ht="17.25">
      <c r="B3243" s="209"/>
    </row>
    <row r="3244" spans="2:2" ht="17.25">
      <c r="B3244" s="209"/>
    </row>
    <row r="3245" spans="2:2" ht="17.25">
      <c r="B3245" s="209"/>
    </row>
    <row r="3246" spans="2:2" ht="17.25">
      <c r="B3246" s="209"/>
    </row>
    <row r="3247" spans="2:2" ht="17.25">
      <c r="B3247" s="209"/>
    </row>
    <row r="3248" spans="2:2" ht="17.25">
      <c r="B3248" s="209"/>
    </row>
    <row r="3249" spans="2:2" ht="17.25">
      <c r="B3249" s="209"/>
    </row>
    <row r="3250" spans="2:2" ht="17.25">
      <c r="B3250" s="209"/>
    </row>
    <row r="3251" spans="2:2" ht="17.25">
      <c r="B3251" s="209"/>
    </row>
    <row r="3252" spans="2:2" ht="17.25">
      <c r="B3252" s="209"/>
    </row>
    <row r="3253" spans="2:2" ht="17.25">
      <c r="B3253" s="209"/>
    </row>
    <row r="3254" spans="2:2" ht="17.25">
      <c r="B3254" s="209"/>
    </row>
    <row r="3255" spans="2:2" ht="17.25">
      <c r="B3255" s="209"/>
    </row>
    <row r="3256" spans="2:2" ht="17.25">
      <c r="B3256" s="209"/>
    </row>
    <row r="3257" spans="2:2" ht="17.25">
      <c r="B3257" s="209"/>
    </row>
    <row r="3258" spans="2:2" ht="17.25">
      <c r="B3258" s="209"/>
    </row>
    <row r="3259" spans="2:2" ht="17.25">
      <c r="B3259" s="209"/>
    </row>
    <row r="3260" spans="2:2" ht="17.25">
      <c r="B3260" s="209"/>
    </row>
    <row r="3261" spans="2:2" ht="17.25">
      <c r="B3261" s="209"/>
    </row>
    <row r="3262" spans="2:2" ht="17.25">
      <c r="B3262" s="209"/>
    </row>
    <row r="3263" spans="2:2" ht="17.25">
      <c r="B3263" s="209"/>
    </row>
    <row r="3264" spans="2:2" ht="17.25">
      <c r="B3264" s="209"/>
    </row>
    <row r="3265" spans="2:2" ht="17.25">
      <c r="B3265" s="209"/>
    </row>
    <row r="3266" spans="2:2" ht="17.25">
      <c r="B3266" s="209"/>
    </row>
    <row r="3267" spans="2:2" ht="17.25">
      <c r="B3267" s="209"/>
    </row>
    <row r="3268" spans="2:2" ht="17.25">
      <c r="B3268" s="209"/>
    </row>
    <row r="3269" spans="2:2" ht="17.25">
      <c r="B3269" s="209"/>
    </row>
    <row r="3270" spans="2:2" ht="17.25">
      <c r="B3270" s="209"/>
    </row>
    <row r="3271" spans="2:2" ht="17.25">
      <c r="B3271" s="209"/>
    </row>
    <row r="3272" spans="2:2" ht="17.25">
      <c r="B3272" s="209"/>
    </row>
    <row r="3273" spans="2:2" ht="17.25">
      <c r="B3273" s="209"/>
    </row>
    <row r="3274" spans="2:2" ht="17.25">
      <c r="B3274" s="209"/>
    </row>
    <row r="3275" spans="2:2" ht="17.25">
      <c r="B3275" s="209"/>
    </row>
    <row r="3276" spans="2:2" ht="17.25">
      <c r="B3276" s="209"/>
    </row>
    <row r="3277" spans="2:2" ht="17.25">
      <c r="B3277" s="209"/>
    </row>
    <row r="3278" spans="2:2" ht="17.25">
      <c r="B3278" s="209"/>
    </row>
    <row r="3279" spans="2:2" ht="17.25">
      <c r="B3279" s="209"/>
    </row>
    <row r="3280" spans="2:2" ht="17.25">
      <c r="B3280" s="209"/>
    </row>
    <row r="3281" spans="2:2" ht="17.25">
      <c r="B3281" s="209"/>
    </row>
    <row r="3282" spans="2:2" ht="17.25">
      <c r="B3282" s="209"/>
    </row>
    <row r="3283" spans="2:2" ht="17.25">
      <c r="B3283" s="209"/>
    </row>
    <row r="3284" spans="2:2" ht="17.25">
      <c r="B3284" s="209"/>
    </row>
    <row r="3285" spans="2:2" ht="17.25">
      <c r="B3285" s="209"/>
    </row>
    <row r="3286" spans="2:2" ht="17.25">
      <c r="B3286" s="209"/>
    </row>
    <row r="3287" spans="2:2" ht="17.25">
      <c r="B3287" s="209"/>
    </row>
    <row r="3288" spans="2:2" ht="17.25">
      <c r="B3288" s="209"/>
    </row>
    <row r="3289" spans="2:2" ht="17.25">
      <c r="B3289" s="209"/>
    </row>
    <row r="3290" spans="2:2" ht="17.25">
      <c r="B3290" s="209"/>
    </row>
    <row r="3291" spans="2:2" ht="17.25">
      <c r="B3291" s="209"/>
    </row>
    <row r="3292" spans="2:2" ht="17.25">
      <c r="B3292" s="209"/>
    </row>
    <row r="3293" spans="2:2" ht="17.25">
      <c r="B3293" s="209"/>
    </row>
    <row r="3294" spans="2:2" ht="17.25">
      <c r="B3294" s="209"/>
    </row>
    <row r="3295" spans="2:2" ht="17.25">
      <c r="B3295" s="209"/>
    </row>
    <row r="3296" spans="2:2" ht="17.25">
      <c r="B3296" s="209"/>
    </row>
    <row r="3297" spans="2:2" ht="17.25">
      <c r="B3297" s="209"/>
    </row>
    <row r="3298" spans="2:2" ht="17.25">
      <c r="B3298" s="209"/>
    </row>
    <row r="3299" spans="2:2" ht="17.25">
      <c r="B3299" s="209"/>
    </row>
    <row r="3300" spans="2:2" ht="17.25">
      <c r="B3300" s="209"/>
    </row>
    <row r="3301" spans="2:2" ht="17.25">
      <c r="B3301" s="209"/>
    </row>
    <row r="3302" spans="2:2" ht="17.25">
      <c r="B3302" s="209"/>
    </row>
    <row r="3303" spans="2:2" ht="17.25">
      <c r="B3303" s="209"/>
    </row>
    <row r="3304" spans="2:2" ht="17.25">
      <c r="B3304" s="209"/>
    </row>
    <row r="3305" spans="2:2" ht="17.25">
      <c r="B3305" s="209"/>
    </row>
    <row r="3306" spans="2:2" ht="17.25">
      <c r="B3306" s="209"/>
    </row>
    <row r="3307" spans="2:2" ht="17.25">
      <c r="B3307" s="209"/>
    </row>
    <row r="3308" spans="2:2" ht="17.25">
      <c r="B3308" s="209"/>
    </row>
    <row r="3309" spans="2:2" ht="17.25">
      <c r="B3309" s="209"/>
    </row>
    <row r="3310" spans="2:2" ht="17.25">
      <c r="B3310" s="209"/>
    </row>
    <row r="3311" spans="2:2" ht="17.25">
      <c r="B3311" s="209"/>
    </row>
    <row r="3312" spans="2:2" ht="17.25">
      <c r="B3312" s="209"/>
    </row>
    <row r="3313" spans="2:2" ht="17.25">
      <c r="B3313" s="209"/>
    </row>
    <row r="3314" spans="2:2" ht="17.25">
      <c r="B3314" s="209"/>
    </row>
    <row r="3315" spans="2:2" ht="17.25">
      <c r="B3315" s="209"/>
    </row>
    <row r="3316" spans="2:2" ht="17.25">
      <c r="B3316" s="209"/>
    </row>
    <row r="3317" spans="2:2" ht="17.25">
      <c r="B3317" s="209"/>
    </row>
    <row r="3318" spans="2:2" ht="17.25">
      <c r="B3318" s="209"/>
    </row>
    <row r="3319" spans="2:2" ht="17.25">
      <c r="B3319" s="209"/>
    </row>
    <row r="3320" spans="2:2" ht="17.25">
      <c r="B3320" s="209"/>
    </row>
    <row r="3321" spans="2:2" ht="17.25">
      <c r="B3321" s="209"/>
    </row>
    <row r="3322" spans="2:2" ht="17.25">
      <c r="B3322" s="209"/>
    </row>
    <row r="3323" spans="2:2" ht="17.25">
      <c r="B3323" s="209"/>
    </row>
    <row r="3324" spans="2:2" ht="17.25">
      <c r="B3324" s="209"/>
    </row>
    <row r="3325" spans="2:2" ht="17.25">
      <c r="B3325" s="209"/>
    </row>
    <row r="3326" spans="2:2" ht="17.25">
      <c r="B3326" s="209"/>
    </row>
    <row r="3327" spans="2:2" ht="17.25">
      <c r="B3327" s="209"/>
    </row>
    <row r="3328" spans="2:2" ht="17.25">
      <c r="B3328" s="209"/>
    </row>
    <row r="3329" spans="2:2" ht="17.25">
      <c r="B3329" s="209"/>
    </row>
    <row r="3330" spans="2:2" ht="17.25">
      <c r="B3330" s="209"/>
    </row>
    <row r="3331" spans="2:2" ht="17.25">
      <c r="B3331" s="209"/>
    </row>
    <row r="3332" spans="2:2" ht="17.25">
      <c r="B3332" s="209"/>
    </row>
    <row r="3333" spans="2:2" ht="17.25">
      <c r="B3333" s="209"/>
    </row>
    <row r="3334" spans="2:2" ht="17.25">
      <c r="B3334" s="209"/>
    </row>
    <row r="3335" spans="2:2" ht="17.25">
      <c r="B3335" s="209"/>
    </row>
    <row r="3336" spans="2:2" ht="17.25">
      <c r="B3336" s="209"/>
    </row>
    <row r="3337" spans="2:2" ht="17.25">
      <c r="B3337" s="209"/>
    </row>
    <row r="3338" spans="2:2" ht="17.25">
      <c r="B3338" s="209"/>
    </row>
    <row r="3339" spans="2:2" ht="17.25">
      <c r="B3339" s="209"/>
    </row>
    <row r="3340" spans="2:2" ht="17.25">
      <c r="B3340" s="209"/>
    </row>
    <row r="3341" spans="2:2" ht="17.25">
      <c r="B3341" s="209"/>
    </row>
    <row r="3342" spans="2:2" ht="17.25">
      <c r="B3342" s="209"/>
    </row>
    <row r="3343" spans="2:2" ht="17.25">
      <c r="B3343" s="209"/>
    </row>
    <row r="3344" spans="2:2" ht="17.25">
      <c r="B3344" s="209"/>
    </row>
    <row r="3345" spans="2:2" ht="17.25">
      <c r="B3345" s="209"/>
    </row>
    <row r="3346" spans="2:2" ht="17.25">
      <c r="B3346" s="209"/>
    </row>
    <row r="3347" spans="2:2" ht="17.25">
      <c r="B3347" s="209"/>
    </row>
    <row r="3348" spans="2:2" ht="17.25">
      <c r="B3348" s="209"/>
    </row>
    <row r="3349" spans="2:2" ht="17.25">
      <c r="B3349" s="209"/>
    </row>
    <row r="3350" spans="2:2" ht="17.25">
      <c r="B3350" s="209"/>
    </row>
    <row r="3351" spans="2:2" ht="17.25">
      <c r="B3351" s="209"/>
    </row>
    <row r="3352" spans="2:2" ht="17.25">
      <c r="B3352" s="209"/>
    </row>
    <row r="3353" spans="2:2" ht="17.25">
      <c r="B3353" s="209"/>
    </row>
    <row r="3354" spans="2:2" ht="17.25">
      <c r="B3354" s="209"/>
    </row>
    <row r="3355" spans="2:2" ht="17.25">
      <c r="B3355" s="209"/>
    </row>
    <row r="3356" spans="2:2" ht="17.25">
      <c r="B3356" s="209"/>
    </row>
    <row r="3357" spans="2:2" ht="17.25">
      <c r="B3357" s="209"/>
    </row>
    <row r="3358" spans="2:2" ht="17.25">
      <c r="B3358" s="209"/>
    </row>
    <row r="3359" spans="2:2" ht="17.25">
      <c r="B3359" s="209"/>
    </row>
    <row r="3360" spans="2:2" ht="17.25">
      <c r="B3360" s="209"/>
    </row>
    <row r="3361" spans="2:2" ht="17.25">
      <c r="B3361" s="209"/>
    </row>
    <row r="3362" spans="2:2" ht="17.25">
      <c r="B3362" s="209"/>
    </row>
    <row r="3363" spans="2:2" ht="17.25">
      <c r="B3363" s="209"/>
    </row>
    <row r="3364" spans="2:2" ht="17.25">
      <c r="B3364" s="209"/>
    </row>
    <row r="3365" spans="2:2" ht="17.25">
      <c r="B3365" s="209"/>
    </row>
    <row r="3366" spans="2:2" ht="17.25">
      <c r="B3366" s="209"/>
    </row>
    <row r="3367" spans="2:2" ht="17.25">
      <c r="B3367" s="209"/>
    </row>
    <row r="3368" spans="2:2" ht="17.25">
      <c r="B3368" s="209"/>
    </row>
    <row r="3369" spans="2:2" ht="17.25">
      <c r="B3369" s="209"/>
    </row>
    <row r="3370" spans="2:2" ht="17.25">
      <c r="B3370" s="209"/>
    </row>
    <row r="3371" spans="2:2" ht="17.25">
      <c r="B3371" s="209"/>
    </row>
    <row r="3372" spans="2:2" ht="17.25">
      <c r="B3372" s="209"/>
    </row>
    <row r="3373" spans="2:2" ht="17.25">
      <c r="B3373" s="209"/>
    </row>
    <row r="3374" spans="2:2" ht="17.25">
      <c r="B3374" s="209"/>
    </row>
    <row r="3375" spans="2:2" ht="17.25">
      <c r="B3375" s="209"/>
    </row>
    <row r="3376" spans="2:2" ht="17.25">
      <c r="B3376" s="209"/>
    </row>
    <row r="3377" spans="2:2" ht="17.25">
      <c r="B3377" s="209"/>
    </row>
    <row r="3378" spans="2:2" ht="17.25">
      <c r="B3378" s="209"/>
    </row>
    <row r="3379" spans="2:2" ht="17.25">
      <c r="B3379" s="209"/>
    </row>
    <row r="3380" spans="2:2" ht="17.25">
      <c r="B3380" s="209"/>
    </row>
    <row r="3381" spans="2:2" ht="17.25">
      <c r="B3381" s="209"/>
    </row>
    <row r="3382" spans="2:2" ht="17.25">
      <c r="B3382" s="209"/>
    </row>
    <row r="3383" spans="2:2" ht="17.25">
      <c r="B3383" s="209"/>
    </row>
    <row r="3384" spans="2:2" ht="17.25">
      <c r="B3384" s="209"/>
    </row>
    <row r="3385" spans="2:2" ht="17.25">
      <c r="B3385" s="209"/>
    </row>
    <row r="3386" spans="2:2" ht="17.25">
      <c r="B3386" s="209"/>
    </row>
    <row r="3387" spans="2:2" ht="17.25">
      <c r="B3387" s="209"/>
    </row>
    <row r="3388" spans="2:2" ht="17.25">
      <c r="B3388" s="209"/>
    </row>
    <row r="3389" spans="2:2" ht="17.25">
      <c r="B3389" s="209"/>
    </row>
    <row r="3390" spans="2:2" ht="17.25">
      <c r="B3390" s="209"/>
    </row>
    <row r="3391" spans="2:2" ht="17.25">
      <c r="B3391" s="209"/>
    </row>
    <row r="3392" spans="2:2" ht="17.25">
      <c r="B3392" s="209"/>
    </row>
    <row r="3393" spans="2:2" ht="17.25">
      <c r="B3393" s="209"/>
    </row>
    <row r="3394" spans="2:2" ht="17.25">
      <c r="B3394" s="209"/>
    </row>
    <row r="3395" spans="2:2" ht="17.25">
      <c r="B3395" s="209"/>
    </row>
    <row r="3396" spans="2:2" ht="17.25">
      <c r="B3396" s="209"/>
    </row>
    <row r="3397" spans="2:2" ht="17.25">
      <c r="B3397" s="209"/>
    </row>
    <row r="3398" spans="2:2" ht="17.25">
      <c r="B3398" s="209"/>
    </row>
    <row r="3399" spans="2:2" ht="17.25">
      <c r="B3399" s="209"/>
    </row>
    <row r="3400" spans="2:2" ht="17.25">
      <c r="B3400" s="209"/>
    </row>
    <row r="3401" spans="2:2" ht="17.25">
      <c r="B3401" s="209"/>
    </row>
    <row r="3402" spans="2:2" ht="17.25">
      <c r="B3402" s="209"/>
    </row>
    <row r="3403" spans="2:2" ht="17.25">
      <c r="B3403" s="209"/>
    </row>
    <row r="3404" spans="2:2" ht="17.25">
      <c r="B3404" s="209"/>
    </row>
    <row r="3405" spans="2:2" ht="17.25">
      <c r="B3405" s="209"/>
    </row>
    <row r="3406" spans="2:2" ht="17.25">
      <c r="B3406" s="209"/>
    </row>
    <row r="3407" spans="2:2" ht="17.25">
      <c r="B3407" s="209"/>
    </row>
    <row r="3408" spans="2:2" ht="17.25">
      <c r="B3408" s="209"/>
    </row>
    <row r="3409" spans="2:2" ht="17.25">
      <c r="B3409" s="209"/>
    </row>
    <row r="3410" spans="2:2" ht="17.25">
      <c r="B3410" s="209"/>
    </row>
    <row r="3411" spans="2:2" ht="17.25">
      <c r="B3411" s="209"/>
    </row>
    <row r="3412" spans="2:2" ht="17.25">
      <c r="B3412" s="209"/>
    </row>
    <row r="3413" spans="2:2" ht="17.25">
      <c r="B3413" s="209"/>
    </row>
    <row r="3414" spans="2:2" ht="17.25">
      <c r="B3414" s="209"/>
    </row>
    <row r="3415" spans="2:2" ht="17.25">
      <c r="B3415" s="209"/>
    </row>
    <row r="3416" spans="2:2" ht="17.25">
      <c r="B3416" s="209"/>
    </row>
    <row r="3417" spans="2:2" ht="17.25">
      <c r="B3417" s="209"/>
    </row>
    <row r="3418" spans="2:2" ht="17.25">
      <c r="B3418" s="209"/>
    </row>
    <row r="3419" spans="2:2" ht="17.25">
      <c r="B3419" s="209"/>
    </row>
    <row r="3420" spans="2:2" ht="17.25">
      <c r="B3420" s="209"/>
    </row>
    <row r="3421" spans="2:2" ht="17.25">
      <c r="B3421" s="209"/>
    </row>
    <row r="3422" spans="2:2" ht="17.25">
      <c r="B3422" s="209"/>
    </row>
    <row r="3423" spans="2:2" ht="17.25">
      <c r="B3423" s="209"/>
    </row>
    <row r="3424" spans="2:2" ht="17.25">
      <c r="B3424" s="209"/>
    </row>
    <row r="3425" spans="2:2" ht="17.25">
      <c r="B3425" s="209"/>
    </row>
    <row r="3426" spans="2:2" ht="17.25">
      <c r="B3426" s="209"/>
    </row>
    <row r="3427" spans="2:2" ht="17.25">
      <c r="B3427" s="209"/>
    </row>
    <row r="3428" spans="2:2" ht="17.25">
      <c r="B3428" s="209"/>
    </row>
    <row r="3429" spans="2:2" ht="17.25">
      <c r="B3429" s="209"/>
    </row>
    <row r="3430" spans="2:2" ht="17.25">
      <c r="B3430" s="209"/>
    </row>
    <row r="3431" spans="2:2" ht="17.25">
      <c r="B3431" s="209"/>
    </row>
    <row r="3432" spans="2:2" ht="17.25">
      <c r="B3432" s="209"/>
    </row>
    <row r="3433" spans="2:2" ht="17.25">
      <c r="B3433" s="209"/>
    </row>
    <row r="3434" spans="2:2" ht="17.25">
      <c r="B3434" s="209"/>
    </row>
    <row r="3435" spans="2:2" ht="17.25">
      <c r="B3435" s="209"/>
    </row>
    <row r="3436" spans="2:2" ht="17.25">
      <c r="B3436" s="209"/>
    </row>
    <row r="3437" spans="2:2" ht="17.25">
      <c r="B3437" s="209"/>
    </row>
    <row r="3438" spans="2:2" ht="17.25">
      <c r="B3438" s="209"/>
    </row>
    <row r="3439" spans="2:2" ht="17.25">
      <c r="B3439" s="209"/>
    </row>
    <row r="3440" spans="2:2" ht="17.25">
      <c r="B3440" s="209"/>
    </row>
    <row r="3441" spans="2:2" ht="17.25">
      <c r="B3441" s="209"/>
    </row>
    <row r="3442" spans="2:2" ht="17.25">
      <c r="B3442" s="209"/>
    </row>
    <row r="3443" spans="2:2" ht="17.25">
      <c r="B3443" s="209"/>
    </row>
    <row r="3444" spans="2:2" ht="17.25">
      <c r="B3444" s="209"/>
    </row>
    <row r="3445" spans="2:2" ht="17.25">
      <c r="B3445" s="209"/>
    </row>
    <row r="3446" spans="2:2" ht="17.25">
      <c r="B3446" s="209"/>
    </row>
    <row r="3447" spans="2:2" ht="17.25">
      <c r="B3447" s="209"/>
    </row>
    <row r="3448" spans="2:2" ht="17.25">
      <c r="B3448" s="209"/>
    </row>
    <row r="3449" spans="2:2" ht="17.25">
      <c r="B3449" s="209"/>
    </row>
    <row r="3450" spans="2:2" ht="17.25">
      <c r="B3450" s="209"/>
    </row>
    <row r="3451" spans="2:2" ht="17.25">
      <c r="B3451" s="209"/>
    </row>
    <row r="3452" spans="2:2" ht="17.25">
      <c r="B3452" s="209"/>
    </row>
    <row r="3453" spans="2:2" ht="17.25">
      <c r="B3453" s="209"/>
    </row>
    <row r="3454" spans="2:2" ht="17.25">
      <c r="B3454" s="209"/>
    </row>
    <row r="3455" spans="2:2" ht="17.25">
      <c r="B3455" s="209"/>
    </row>
    <row r="3456" spans="2:2" ht="17.25">
      <c r="B3456" s="209"/>
    </row>
    <row r="3457" spans="2:2" ht="17.25">
      <c r="B3457" s="209"/>
    </row>
    <row r="3458" spans="2:2" ht="17.25">
      <c r="B3458" s="209"/>
    </row>
    <row r="3459" spans="2:2" ht="17.25">
      <c r="B3459" s="209"/>
    </row>
    <row r="3460" spans="2:2" ht="17.25">
      <c r="B3460" s="209"/>
    </row>
    <row r="3461" spans="2:2" ht="17.25">
      <c r="B3461" s="209"/>
    </row>
    <row r="3462" spans="2:2" ht="17.25">
      <c r="B3462" s="209"/>
    </row>
    <row r="3463" spans="2:2" ht="17.25">
      <c r="B3463" s="209"/>
    </row>
    <row r="3464" spans="2:2" ht="17.25">
      <c r="B3464" s="209"/>
    </row>
    <row r="3465" spans="2:2" ht="17.25">
      <c r="B3465" s="209"/>
    </row>
    <row r="3466" spans="2:2" ht="17.25">
      <c r="B3466" s="209"/>
    </row>
    <row r="3467" spans="2:2" ht="17.25">
      <c r="B3467" s="209"/>
    </row>
    <row r="3468" spans="2:2" ht="17.25">
      <c r="B3468" s="209"/>
    </row>
    <row r="3469" spans="2:2" ht="17.25">
      <c r="B3469" s="209"/>
    </row>
    <row r="3470" spans="2:2" ht="17.25">
      <c r="B3470" s="209"/>
    </row>
    <row r="3471" spans="2:2" ht="17.25">
      <c r="B3471" s="209"/>
    </row>
    <row r="3472" spans="2:2" ht="17.25">
      <c r="B3472" s="209"/>
    </row>
    <row r="3473" spans="2:2" ht="17.25">
      <c r="B3473" s="209"/>
    </row>
    <row r="3474" spans="2:2" ht="17.25">
      <c r="B3474" s="209"/>
    </row>
    <row r="3475" spans="2:2" ht="17.25">
      <c r="B3475" s="209"/>
    </row>
    <row r="3476" spans="2:2" ht="17.25">
      <c r="B3476" s="209"/>
    </row>
    <row r="3477" spans="2:2" ht="17.25">
      <c r="B3477" s="209"/>
    </row>
    <row r="3478" spans="2:2" ht="17.25">
      <c r="B3478" s="209"/>
    </row>
    <row r="3479" spans="2:2" ht="17.25">
      <c r="B3479" s="209"/>
    </row>
    <row r="3480" spans="2:2" ht="17.25">
      <c r="B3480" s="209"/>
    </row>
    <row r="3481" spans="2:2" ht="17.25">
      <c r="B3481" s="209"/>
    </row>
    <row r="3482" spans="2:2" ht="17.25">
      <c r="B3482" s="209"/>
    </row>
    <row r="3483" spans="2:2" ht="17.25">
      <c r="B3483" s="209"/>
    </row>
    <row r="3484" spans="2:2" ht="17.25">
      <c r="B3484" s="209"/>
    </row>
    <row r="3485" spans="2:2" ht="17.25">
      <c r="B3485" s="209"/>
    </row>
    <row r="3486" spans="2:2" ht="17.25">
      <c r="B3486" s="209"/>
    </row>
    <row r="3487" spans="2:2" ht="17.25">
      <c r="B3487" s="209"/>
    </row>
    <row r="3488" spans="2:2" ht="17.25">
      <c r="B3488" s="209"/>
    </row>
    <row r="3489" spans="2:2" ht="17.25">
      <c r="B3489" s="209"/>
    </row>
    <row r="3490" spans="2:2" ht="17.25">
      <c r="B3490" s="209"/>
    </row>
    <row r="3491" spans="2:2" ht="17.25">
      <c r="B3491" s="209"/>
    </row>
    <row r="3492" spans="2:2" ht="17.25">
      <c r="B3492" s="209"/>
    </row>
    <row r="3493" spans="2:2" ht="17.25">
      <c r="B3493" s="209"/>
    </row>
    <row r="3494" spans="2:2" ht="17.25">
      <c r="B3494" s="209"/>
    </row>
    <row r="3495" spans="2:2" ht="17.25">
      <c r="B3495" s="209"/>
    </row>
    <row r="3496" spans="2:2" ht="17.25">
      <c r="B3496" s="209"/>
    </row>
    <row r="3497" spans="2:2" ht="17.25">
      <c r="B3497" s="209"/>
    </row>
    <row r="3498" spans="2:2" ht="17.25">
      <c r="B3498" s="209"/>
    </row>
    <row r="3499" spans="2:2" ht="17.25">
      <c r="B3499" s="209"/>
    </row>
    <row r="3500" spans="2:2" ht="17.25">
      <c r="B3500" s="209"/>
    </row>
    <row r="3501" spans="2:2" ht="17.25">
      <c r="B3501" s="209"/>
    </row>
    <row r="3502" spans="2:2" ht="17.25">
      <c r="B3502" s="209"/>
    </row>
    <row r="3503" spans="2:2" ht="17.25">
      <c r="B3503" s="209"/>
    </row>
    <row r="3504" spans="2:2" ht="17.25">
      <c r="B3504" s="209"/>
    </row>
    <row r="3505" spans="2:2" ht="17.25">
      <c r="B3505" s="209"/>
    </row>
    <row r="3506" spans="2:2" ht="17.25">
      <c r="B3506" s="209"/>
    </row>
    <row r="3507" spans="2:2" ht="17.25">
      <c r="B3507" s="209"/>
    </row>
    <row r="3508" spans="2:2" ht="17.25">
      <c r="B3508" s="209"/>
    </row>
    <row r="3509" spans="2:2" ht="17.25">
      <c r="B3509" s="209"/>
    </row>
    <row r="3510" spans="2:2" ht="17.25">
      <c r="B3510" s="209"/>
    </row>
    <row r="3511" spans="2:2" ht="17.25">
      <c r="B3511" s="209"/>
    </row>
    <row r="3512" spans="2:2" ht="17.25">
      <c r="B3512" s="209"/>
    </row>
    <row r="3513" spans="2:2" ht="17.25">
      <c r="B3513" s="209"/>
    </row>
    <row r="3514" spans="2:2" ht="17.25">
      <c r="B3514" s="209"/>
    </row>
    <row r="3515" spans="2:2" ht="17.25">
      <c r="B3515" s="209"/>
    </row>
    <row r="3516" spans="2:2" ht="17.25">
      <c r="B3516" s="209"/>
    </row>
    <row r="3517" spans="2:2" ht="17.25">
      <c r="B3517" s="209"/>
    </row>
    <row r="3518" spans="2:2" ht="17.25">
      <c r="B3518" s="209"/>
    </row>
    <row r="3519" spans="2:2" ht="17.25">
      <c r="B3519" s="209"/>
    </row>
    <row r="3520" spans="2:2" ht="17.25">
      <c r="B3520" s="209"/>
    </row>
    <row r="3521" spans="2:2" ht="17.25">
      <c r="B3521" s="209"/>
    </row>
    <row r="3522" spans="2:2" ht="17.25">
      <c r="B3522" s="209"/>
    </row>
    <row r="3523" spans="2:2" ht="17.25">
      <c r="B3523" s="209"/>
    </row>
    <row r="3524" spans="2:2" ht="17.25">
      <c r="B3524" s="209"/>
    </row>
    <row r="3525" spans="2:2" ht="17.25">
      <c r="B3525" s="209"/>
    </row>
    <row r="3526" spans="2:2" ht="17.25">
      <c r="B3526" s="209"/>
    </row>
    <row r="3527" spans="2:2" ht="17.25">
      <c r="B3527" s="209"/>
    </row>
    <row r="3528" spans="2:2" ht="17.25">
      <c r="B3528" s="209"/>
    </row>
    <row r="3529" spans="2:2" ht="17.25">
      <c r="B3529" s="209"/>
    </row>
    <row r="3530" spans="2:2" ht="17.25">
      <c r="B3530" s="209"/>
    </row>
    <row r="3531" spans="2:2" ht="17.25">
      <c r="B3531" s="209"/>
    </row>
    <row r="3532" spans="2:2" ht="17.25">
      <c r="B3532" s="209"/>
    </row>
    <row r="3533" spans="2:2" ht="17.25">
      <c r="B3533" s="209"/>
    </row>
    <row r="3534" spans="2:2" ht="17.25">
      <c r="B3534" s="209"/>
    </row>
    <row r="3535" spans="2:2" ht="17.25">
      <c r="B3535" s="209"/>
    </row>
    <row r="3536" spans="2:2" ht="17.25">
      <c r="B3536" s="209"/>
    </row>
    <row r="3537" spans="2:2" ht="17.25">
      <c r="B3537" s="209"/>
    </row>
    <row r="3538" spans="2:2" ht="17.25">
      <c r="B3538" s="209"/>
    </row>
    <row r="3539" spans="2:2" ht="17.25">
      <c r="B3539" s="209"/>
    </row>
    <row r="3540" spans="2:2" ht="17.25">
      <c r="B3540" s="209"/>
    </row>
    <row r="3541" spans="2:2" ht="17.25">
      <c r="B3541" s="209"/>
    </row>
    <row r="3542" spans="2:2" ht="17.25">
      <c r="B3542" s="209"/>
    </row>
    <row r="3543" spans="2:2" ht="17.25">
      <c r="B3543" s="209"/>
    </row>
    <row r="3544" spans="2:2" ht="17.25">
      <c r="B3544" s="209"/>
    </row>
    <row r="3545" spans="2:2" ht="17.25">
      <c r="B3545" s="209"/>
    </row>
    <row r="3546" spans="2:2" ht="17.25">
      <c r="B3546" s="209"/>
    </row>
    <row r="3547" spans="2:2" ht="17.25">
      <c r="B3547" s="209"/>
    </row>
    <row r="3548" spans="2:2" ht="17.25">
      <c r="B3548" s="209"/>
    </row>
    <row r="3549" spans="2:2" ht="17.25">
      <c r="B3549" s="209"/>
    </row>
    <row r="3550" spans="2:2" ht="17.25">
      <c r="B3550" s="209"/>
    </row>
    <row r="3551" spans="2:2" ht="17.25">
      <c r="B3551" s="209"/>
    </row>
    <row r="3552" spans="2:2" ht="17.25">
      <c r="B3552" s="209"/>
    </row>
    <row r="3553" spans="2:2" ht="17.25">
      <c r="B3553" s="209"/>
    </row>
    <row r="3554" spans="2:2" ht="17.25">
      <c r="B3554" s="209"/>
    </row>
    <row r="3555" spans="2:2" ht="17.25">
      <c r="B3555" s="209"/>
    </row>
    <row r="3556" spans="2:2" ht="17.25">
      <c r="B3556" s="209"/>
    </row>
    <row r="3557" spans="2:2" ht="17.25">
      <c r="B3557" s="209"/>
    </row>
    <row r="3558" spans="2:2" ht="17.25">
      <c r="B3558" s="209"/>
    </row>
    <row r="3559" spans="2:2" ht="17.25">
      <c r="B3559" s="209"/>
    </row>
    <row r="3560" spans="2:2" ht="17.25">
      <c r="B3560" s="209"/>
    </row>
    <row r="3561" spans="2:2" ht="17.25">
      <c r="B3561" s="209"/>
    </row>
    <row r="3562" spans="2:2" ht="17.25">
      <c r="B3562" s="209"/>
    </row>
    <row r="3563" spans="2:2" ht="17.25">
      <c r="B3563" s="209"/>
    </row>
    <row r="3564" spans="2:2" ht="17.25">
      <c r="B3564" s="209"/>
    </row>
    <row r="3565" spans="2:2" ht="17.25">
      <c r="B3565" s="209"/>
    </row>
    <row r="3566" spans="2:2" ht="17.25">
      <c r="B3566" s="209"/>
    </row>
    <row r="3567" spans="2:2" ht="17.25">
      <c r="B3567" s="209"/>
    </row>
    <row r="3568" spans="2:2" ht="17.25">
      <c r="B3568" s="209"/>
    </row>
    <row r="3569" spans="2:2" ht="17.25">
      <c r="B3569" s="209"/>
    </row>
    <row r="3570" spans="2:2" ht="17.25">
      <c r="B3570" s="209"/>
    </row>
    <row r="3571" spans="2:2" ht="17.25">
      <c r="B3571" s="209"/>
    </row>
    <row r="3572" spans="2:2" ht="17.25">
      <c r="B3572" s="209"/>
    </row>
    <row r="3573" spans="2:2" ht="17.25">
      <c r="B3573" s="209"/>
    </row>
    <row r="3574" spans="2:2" ht="17.25">
      <c r="B3574" s="209"/>
    </row>
    <row r="3575" spans="2:2" ht="17.25">
      <c r="B3575" s="209"/>
    </row>
    <row r="3576" spans="2:2" ht="17.25">
      <c r="B3576" s="209"/>
    </row>
    <row r="3577" spans="2:2" ht="17.25">
      <c r="B3577" s="209"/>
    </row>
    <row r="3578" spans="2:2" ht="17.25">
      <c r="B3578" s="209"/>
    </row>
    <row r="3579" spans="2:2" ht="17.25">
      <c r="B3579" s="209"/>
    </row>
    <row r="3580" spans="2:2" ht="17.25">
      <c r="B3580" s="209"/>
    </row>
    <row r="3581" spans="2:2" ht="17.25">
      <c r="B3581" s="209"/>
    </row>
    <row r="3582" spans="2:2" ht="17.25">
      <c r="B3582" s="209"/>
    </row>
    <row r="3583" spans="2:2" ht="17.25">
      <c r="B3583" s="209"/>
    </row>
    <row r="3584" spans="2:2" ht="17.25">
      <c r="B3584" s="209"/>
    </row>
    <row r="3585" spans="2:2" ht="17.25">
      <c r="B3585" s="209"/>
    </row>
    <row r="3586" spans="2:2" ht="17.25">
      <c r="B3586" s="209"/>
    </row>
    <row r="3587" spans="2:2" ht="17.25">
      <c r="B3587" s="209"/>
    </row>
    <row r="3588" spans="2:2" ht="17.25">
      <c r="B3588" s="209"/>
    </row>
    <row r="3589" spans="2:2" ht="17.25">
      <c r="B3589" s="209"/>
    </row>
    <row r="3590" spans="2:2" ht="17.25">
      <c r="B3590" s="209"/>
    </row>
    <row r="3591" spans="2:2" ht="17.25">
      <c r="B3591" s="209"/>
    </row>
    <row r="3592" spans="2:2" ht="17.25">
      <c r="B3592" s="209"/>
    </row>
    <row r="3593" spans="2:2" ht="17.25">
      <c r="B3593" s="209"/>
    </row>
    <row r="3594" spans="2:2" ht="17.25">
      <c r="B3594" s="209"/>
    </row>
    <row r="3595" spans="2:2" ht="17.25">
      <c r="B3595" s="209"/>
    </row>
    <row r="3596" spans="2:2" ht="17.25">
      <c r="B3596" s="209"/>
    </row>
    <row r="3597" spans="2:2" ht="17.25">
      <c r="B3597" s="209"/>
    </row>
    <row r="3598" spans="2:2" ht="17.25">
      <c r="B3598" s="209"/>
    </row>
    <row r="3599" spans="2:2" ht="17.25">
      <c r="B3599" s="209"/>
    </row>
    <row r="3600" spans="2:2" ht="17.25">
      <c r="B3600" s="209"/>
    </row>
    <row r="3601" spans="2:2" ht="17.25">
      <c r="B3601" s="209"/>
    </row>
    <row r="3602" spans="2:2" ht="17.25">
      <c r="B3602" s="209"/>
    </row>
    <row r="3603" spans="2:2" ht="17.25">
      <c r="B3603" s="209"/>
    </row>
    <row r="3604" spans="2:2" ht="17.25">
      <c r="B3604" s="209"/>
    </row>
    <row r="3605" spans="2:2" ht="17.25">
      <c r="B3605" s="209"/>
    </row>
    <row r="3606" spans="2:2" ht="17.25">
      <c r="B3606" s="209"/>
    </row>
    <row r="3607" spans="2:2" ht="17.25">
      <c r="B3607" s="209"/>
    </row>
    <row r="3608" spans="2:2" ht="17.25">
      <c r="B3608" s="209"/>
    </row>
    <row r="3609" spans="2:2" ht="17.25">
      <c r="B3609" s="209"/>
    </row>
    <row r="3610" spans="2:2" ht="17.25">
      <c r="B3610" s="209"/>
    </row>
    <row r="3611" spans="2:2" ht="17.25">
      <c r="B3611" s="209"/>
    </row>
    <row r="3612" spans="2:2" ht="17.25">
      <c r="B3612" s="209"/>
    </row>
    <row r="3613" spans="2:2" ht="17.25">
      <c r="B3613" s="209"/>
    </row>
    <row r="3614" spans="2:2" ht="17.25">
      <c r="B3614" s="209"/>
    </row>
    <row r="3615" spans="2:2" ht="17.25">
      <c r="B3615" s="209"/>
    </row>
    <row r="3616" spans="2:2" ht="17.25">
      <c r="B3616" s="209"/>
    </row>
    <row r="3617" spans="2:2" ht="17.25">
      <c r="B3617" s="209"/>
    </row>
    <row r="3618" spans="2:2" ht="17.25">
      <c r="B3618" s="209"/>
    </row>
    <row r="3619" spans="2:2" ht="17.25">
      <c r="B3619" s="209"/>
    </row>
    <row r="3620" spans="2:2" ht="17.25">
      <c r="B3620" s="209"/>
    </row>
    <row r="3621" spans="2:2" ht="17.25">
      <c r="B3621" s="209"/>
    </row>
    <row r="3622" spans="2:2" ht="17.25">
      <c r="B3622" s="209"/>
    </row>
    <row r="3623" spans="2:2" ht="17.25">
      <c r="B3623" s="209"/>
    </row>
    <row r="3624" spans="2:2" ht="17.25">
      <c r="B3624" s="209"/>
    </row>
    <row r="3625" spans="2:2" ht="17.25">
      <c r="B3625" s="209"/>
    </row>
    <row r="3626" spans="2:2" ht="17.25">
      <c r="B3626" s="209"/>
    </row>
    <row r="3627" spans="2:2" ht="17.25">
      <c r="B3627" s="209"/>
    </row>
    <row r="3628" spans="2:2" ht="17.25">
      <c r="B3628" s="209"/>
    </row>
    <row r="3629" spans="2:2" ht="17.25">
      <c r="B3629" s="209"/>
    </row>
    <row r="3630" spans="2:2" ht="17.25">
      <c r="B3630" s="209"/>
    </row>
    <row r="3631" spans="2:2" ht="17.25">
      <c r="B3631" s="209"/>
    </row>
    <row r="3632" spans="2:2" ht="17.25">
      <c r="B3632" s="209"/>
    </row>
    <row r="3633" spans="2:2" ht="17.25">
      <c r="B3633" s="209"/>
    </row>
    <row r="3634" spans="2:2" ht="17.25">
      <c r="B3634" s="209"/>
    </row>
    <row r="3635" spans="2:2" ht="17.25">
      <c r="B3635" s="209"/>
    </row>
    <row r="3636" spans="2:2" ht="17.25">
      <c r="B3636" s="209"/>
    </row>
    <row r="3637" spans="2:2" ht="17.25">
      <c r="B3637" s="209"/>
    </row>
    <row r="3638" spans="2:2" ht="17.25">
      <c r="B3638" s="209"/>
    </row>
    <row r="3639" spans="2:2" ht="17.25">
      <c r="B3639" s="209"/>
    </row>
    <row r="3640" spans="2:2" ht="17.25">
      <c r="B3640" s="209"/>
    </row>
    <row r="3641" spans="2:2" ht="17.25">
      <c r="B3641" s="209"/>
    </row>
    <row r="3642" spans="2:2" ht="17.25">
      <c r="B3642" s="209"/>
    </row>
    <row r="3643" spans="2:2" ht="17.25">
      <c r="B3643" s="209"/>
    </row>
    <row r="3644" spans="2:2" ht="17.25">
      <c r="B3644" s="209"/>
    </row>
    <row r="3645" spans="2:2" ht="17.25">
      <c r="B3645" s="209"/>
    </row>
    <row r="3646" spans="2:2" ht="17.25">
      <c r="B3646" s="209"/>
    </row>
    <row r="3647" spans="2:2" ht="17.25">
      <c r="B3647" s="209"/>
    </row>
    <row r="3648" spans="2:2" ht="17.25">
      <c r="B3648" s="209"/>
    </row>
    <row r="3649" spans="2:2" ht="17.25">
      <c r="B3649" s="209"/>
    </row>
    <row r="3650" spans="2:2" ht="17.25">
      <c r="B3650" s="209"/>
    </row>
    <row r="3651" spans="2:2" ht="17.25">
      <c r="B3651" s="209"/>
    </row>
    <row r="3652" spans="2:2" ht="17.25">
      <c r="B3652" s="209"/>
    </row>
    <row r="3653" spans="2:2" ht="17.25">
      <c r="B3653" s="209"/>
    </row>
    <row r="3654" spans="2:2" ht="17.25">
      <c r="B3654" s="209"/>
    </row>
    <row r="3655" spans="2:2" ht="17.25">
      <c r="B3655" s="209"/>
    </row>
    <row r="3656" spans="2:2" ht="17.25">
      <c r="B3656" s="209"/>
    </row>
    <row r="3657" spans="2:2" ht="17.25">
      <c r="B3657" s="209"/>
    </row>
    <row r="3658" spans="2:2" ht="17.25">
      <c r="B3658" s="209"/>
    </row>
    <row r="3659" spans="2:2" ht="17.25">
      <c r="B3659" s="209"/>
    </row>
    <row r="3660" spans="2:2" ht="17.25">
      <c r="B3660" s="209"/>
    </row>
    <row r="3661" spans="2:2" ht="17.25">
      <c r="B3661" s="209"/>
    </row>
    <row r="3662" spans="2:2" ht="17.25">
      <c r="B3662" s="209"/>
    </row>
    <row r="3663" spans="2:2" ht="17.25">
      <c r="B3663" s="209"/>
    </row>
    <row r="3664" spans="2:2" ht="17.25">
      <c r="B3664" s="209"/>
    </row>
    <row r="3665" spans="2:2" ht="17.25">
      <c r="B3665" s="209"/>
    </row>
    <row r="3666" spans="2:2" ht="17.25">
      <c r="B3666" s="209"/>
    </row>
    <row r="3667" spans="2:2" ht="17.25">
      <c r="B3667" s="209"/>
    </row>
    <row r="3668" spans="2:2" ht="17.25">
      <c r="B3668" s="209"/>
    </row>
    <row r="3669" spans="2:2" ht="17.25">
      <c r="B3669" s="209"/>
    </row>
    <row r="3670" spans="2:2" ht="17.25">
      <c r="B3670" s="209"/>
    </row>
    <row r="3671" spans="2:2" ht="17.25">
      <c r="B3671" s="209"/>
    </row>
    <row r="3672" spans="2:2" ht="17.25">
      <c r="B3672" s="209"/>
    </row>
    <row r="3673" spans="2:2" ht="17.25">
      <c r="B3673" s="209"/>
    </row>
    <row r="3674" spans="2:2" ht="17.25">
      <c r="B3674" s="209"/>
    </row>
    <row r="3675" spans="2:2" ht="17.25">
      <c r="B3675" s="209"/>
    </row>
    <row r="3676" spans="2:2" ht="17.25">
      <c r="B3676" s="209"/>
    </row>
    <row r="3677" spans="2:2" ht="17.25">
      <c r="B3677" s="209"/>
    </row>
    <row r="3678" spans="2:2" ht="17.25">
      <c r="B3678" s="209"/>
    </row>
    <row r="3679" spans="2:2" ht="17.25">
      <c r="B3679" s="209"/>
    </row>
    <row r="3680" spans="2:2" ht="17.25">
      <c r="B3680" s="209"/>
    </row>
    <row r="3681" spans="2:2" ht="17.25">
      <c r="B3681" s="209"/>
    </row>
    <row r="3682" spans="2:2" ht="17.25">
      <c r="B3682" s="209"/>
    </row>
    <row r="3683" spans="2:2" ht="17.25">
      <c r="B3683" s="209"/>
    </row>
    <row r="3684" spans="2:2" ht="17.25">
      <c r="B3684" s="209"/>
    </row>
    <row r="3685" spans="2:2" ht="17.25">
      <c r="B3685" s="209"/>
    </row>
    <row r="3686" spans="2:2" ht="17.25">
      <c r="B3686" s="209"/>
    </row>
    <row r="3687" spans="2:2" ht="17.25">
      <c r="B3687" s="209"/>
    </row>
    <row r="3688" spans="2:2" ht="17.25">
      <c r="B3688" s="209"/>
    </row>
    <row r="3689" spans="2:2" ht="17.25">
      <c r="B3689" s="209"/>
    </row>
    <row r="3690" spans="2:2" ht="17.25">
      <c r="B3690" s="209"/>
    </row>
    <row r="3691" spans="2:2" ht="17.25">
      <c r="B3691" s="209"/>
    </row>
    <row r="3692" spans="2:2" ht="17.25">
      <c r="B3692" s="209"/>
    </row>
    <row r="3693" spans="2:2" ht="17.25">
      <c r="B3693" s="209"/>
    </row>
    <row r="3694" spans="2:2" ht="17.25">
      <c r="B3694" s="209"/>
    </row>
    <row r="3695" spans="2:2" ht="17.25">
      <c r="B3695" s="209"/>
    </row>
    <row r="3696" spans="2:2" ht="17.25">
      <c r="B3696" s="209"/>
    </row>
    <row r="3697" spans="2:2" ht="17.25">
      <c r="B3697" s="209"/>
    </row>
    <row r="3698" spans="2:2" ht="17.25">
      <c r="B3698" s="209"/>
    </row>
    <row r="3699" spans="2:2" ht="17.25">
      <c r="B3699" s="209"/>
    </row>
    <row r="3700" spans="2:2" ht="17.25">
      <c r="B3700" s="209"/>
    </row>
    <row r="3701" spans="2:2" ht="17.25">
      <c r="B3701" s="209"/>
    </row>
    <row r="3702" spans="2:2" ht="17.25">
      <c r="B3702" s="209"/>
    </row>
    <row r="3703" spans="2:2" ht="17.25">
      <c r="B3703" s="209"/>
    </row>
    <row r="3704" spans="2:2" ht="17.25">
      <c r="B3704" s="209"/>
    </row>
    <row r="3705" spans="2:2" ht="17.25">
      <c r="B3705" s="209"/>
    </row>
    <row r="3706" spans="2:2" ht="17.25">
      <c r="B3706" s="209"/>
    </row>
    <row r="3707" spans="2:2" ht="17.25">
      <c r="B3707" s="209"/>
    </row>
    <row r="3708" spans="2:2" ht="17.25">
      <c r="B3708" s="209"/>
    </row>
    <row r="3709" spans="2:2" ht="17.25">
      <c r="B3709" s="209"/>
    </row>
    <row r="3710" spans="2:2" ht="17.25">
      <c r="B3710" s="209"/>
    </row>
    <row r="3711" spans="2:2" ht="17.25">
      <c r="B3711" s="209"/>
    </row>
    <row r="3712" spans="2:2" ht="17.25">
      <c r="B3712" s="209"/>
    </row>
    <row r="3713" spans="2:2" ht="17.25">
      <c r="B3713" s="209"/>
    </row>
    <row r="3714" spans="2:2" ht="17.25">
      <c r="B3714" s="209"/>
    </row>
    <row r="3715" spans="2:2" ht="17.25">
      <c r="B3715" s="209"/>
    </row>
    <row r="3716" spans="2:2" ht="17.25">
      <c r="B3716" s="209"/>
    </row>
    <row r="3717" spans="2:2" ht="17.25">
      <c r="B3717" s="209"/>
    </row>
    <row r="3718" spans="2:2" ht="17.25">
      <c r="B3718" s="209"/>
    </row>
    <row r="3719" spans="2:2" ht="17.25">
      <c r="B3719" s="209"/>
    </row>
    <row r="3720" spans="2:2" ht="17.25">
      <c r="B3720" s="209"/>
    </row>
    <row r="3721" spans="2:2" ht="17.25">
      <c r="B3721" s="209"/>
    </row>
    <row r="3722" spans="2:2" ht="17.25">
      <c r="B3722" s="209"/>
    </row>
    <row r="3723" spans="2:2" ht="17.25">
      <c r="B3723" s="209"/>
    </row>
    <row r="3724" spans="2:2" ht="17.25">
      <c r="B3724" s="209"/>
    </row>
    <row r="3725" spans="2:2" ht="17.25">
      <c r="B3725" s="209"/>
    </row>
    <row r="3726" spans="2:2" ht="17.25">
      <c r="B3726" s="209"/>
    </row>
    <row r="3727" spans="2:2" ht="17.25">
      <c r="B3727" s="209"/>
    </row>
    <row r="3728" spans="2:2" ht="17.25">
      <c r="B3728" s="209"/>
    </row>
    <row r="3729" spans="2:2" ht="17.25">
      <c r="B3729" s="209"/>
    </row>
    <row r="3730" spans="2:2" ht="17.25">
      <c r="B3730" s="209"/>
    </row>
    <row r="3731" spans="2:2" ht="17.25">
      <c r="B3731" s="209"/>
    </row>
    <row r="3732" spans="2:2" ht="17.25">
      <c r="B3732" s="209"/>
    </row>
    <row r="3733" spans="2:2" ht="17.25">
      <c r="B3733" s="209"/>
    </row>
    <row r="3734" spans="2:2" ht="17.25">
      <c r="B3734" s="209"/>
    </row>
    <row r="3735" spans="2:2" ht="17.25">
      <c r="B3735" s="209"/>
    </row>
    <row r="3736" spans="2:2" ht="17.25">
      <c r="B3736" s="209"/>
    </row>
    <row r="3737" spans="2:2" ht="17.25">
      <c r="B3737" s="209"/>
    </row>
    <row r="3738" spans="2:2" ht="17.25">
      <c r="B3738" s="209"/>
    </row>
    <row r="3739" spans="2:2" ht="17.25">
      <c r="B3739" s="209"/>
    </row>
    <row r="3740" spans="2:2" ht="17.25">
      <c r="B3740" s="209"/>
    </row>
    <row r="3741" spans="2:2" ht="17.25">
      <c r="B3741" s="209"/>
    </row>
    <row r="3742" spans="2:2" ht="17.25">
      <c r="B3742" s="209"/>
    </row>
    <row r="3743" spans="2:2" ht="17.25">
      <c r="B3743" s="209"/>
    </row>
    <row r="3744" spans="2:2" ht="17.25">
      <c r="B3744" s="209"/>
    </row>
    <row r="3745" spans="2:2" ht="17.25">
      <c r="B3745" s="209"/>
    </row>
    <row r="3746" spans="2:2" ht="17.25">
      <c r="B3746" s="209"/>
    </row>
    <row r="3747" spans="2:2" ht="17.25">
      <c r="B3747" s="209"/>
    </row>
    <row r="3748" spans="2:2" ht="17.25">
      <c r="B3748" s="209"/>
    </row>
    <row r="3749" spans="2:2" ht="17.25">
      <c r="B3749" s="209"/>
    </row>
    <row r="3750" spans="2:2" ht="17.25">
      <c r="B3750" s="209"/>
    </row>
    <row r="3751" spans="2:2" ht="17.25">
      <c r="B3751" s="209"/>
    </row>
    <row r="3752" spans="2:2" ht="17.25">
      <c r="B3752" s="209"/>
    </row>
    <row r="3753" spans="2:2" ht="17.25">
      <c r="B3753" s="209"/>
    </row>
    <row r="3754" spans="2:2" ht="17.25">
      <c r="B3754" s="209"/>
    </row>
    <row r="3755" spans="2:2" ht="17.25">
      <c r="B3755" s="209"/>
    </row>
    <row r="3756" spans="2:2" ht="17.25">
      <c r="B3756" s="209"/>
    </row>
    <row r="3757" spans="2:2" ht="17.25">
      <c r="B3757" s="209"/>
    </row>
    <row r="3758" spans="2:2" ht="17.25">
      <c r="B3758" s="209"/>
    </row>
    <row r="3759" spans="2:2" ht="17.25">
      <c r="B3759" s="209"/>
    </row>
    <row r="3760" spans="2:2" ht="17.25">
      <c r="B3760" s="209"/>
    </row>
    <row r="3761" spans="2:2" ht="17.25">
      <c r="B3761" s="209"/>
    </row>
    <row r="3762" spans="2:2" ht="17.25">
      <c r="B3762" s="209"/>
    </row>
    <row r="3763" spans="2:2" ht="17.25">
      <c r="B3763" s="209"/>
    </row>
    <row r="3764" spans="2:2" ht="17.25">
      <c r="B3764" s="209"/>
    </row>
    <row r="3765" spans="2:2" ht="17.25">
      <c r="B3765" s="209"/>
    </row>
    <row r="3766" spans="2:2" ht="17.25">
      <c r="B3766" s="209"/>
    </row>
    <row r="3767" spans="2:2" ht="17.25">
      <c r="B3767" s="209"/>
    </row>
    <row r="3768" spans="2:2" ht="17.25">
      <c r="B3768" s="209"/>
    </row>
    <row r="3769" spans="2:2" ht="17.25">
      <c r="B3769" s="209"/>
    </row>
    <row r="3770" spans="2:2" ht="17.25">
      <c r="B3770" s="209"/>
    </row>
    <row r="3771" spans="2:2" ht="17.25">
      <c r="B3771" s="209"/>
    </row>
    <row r="3772" spans="2:2" ht="17.25">
      <c r="B3772" s="209"/>
    </row>
    <row r="3773" spans="2:2" ht="17.25">
      <c r="B3773" s="209"/>
    </row>
    <row r="3774" spans="2:2" ht="17.25">
      <c r="B3774" s="209"/>
    </row>
    <row r="3775" spans="2:2" ht="17.25">
      <c r="B3775" s="209"/>
    </row>
    <row r="3776" spans="2:2" ht="17.25">
      <c r="B3776" s="209"/>
    </row>
    <row r="3777" spans="2:2" ht="17.25">
      <c r="B3777" s="209"/>
    </row>
    <row r="3778" spans="2:2" ht="17.25">
      <c r="B3778" s="209"/>
    </row>
    <row r="3779" spans="2:2" ht="17.25">
      <c r="B3779" s="209"/>
    </row>
    <row r="3780" spans="2:2" ht="17.25">
      <c r="B3780" s="209"/>
    </row>
    <row r="3781" spans="2:2" ht="17.25">
      <c r="B3781" s="209"/>
    </row>
    <row r="3782" spans="2:2" ht="17.25">
      <c r="B3782" s="209"/>
    </row>
    <row r="3783" spans="2:2" ht="17.25">
      <c r="B3783" s="209"/>
    </row>
    <row r="3784" spans="2:2" ht="17.25">
      <c r="B3784" s="209"/>
    </row>
    <row r="3785" spans="2:2" ht="17.25">
      <c r="B3785" s="209"/>
    </row>
    <row r="3786" spans="2:2" ht="17.25">
      <c r="B3786" s="209"/>
    </row>
    <row r="3787" spans="2:2" ht="17.25">
      <c r="B3787" s="209"/>
    </row>
    <row r="3788" spans="2:2" ht="17.25">
      <c r="B3788" s="209"/>
    </row>
    <row r="3789" spans="2:2" ht="17.25">
      <c r="B3789" s="209"/>
    </row>
    <row r="3790" spans="2:2" ht="17.25">
      <c r="B3790" s="209"/>
    </row>
    <row r="3791" spans="2:2" ht="17.25">
      <c r="B3791" s="209"/>
    </row>
    <row r="3792" spans="2:2" ht="17.25">
      <c r="B3792" s="209"/>
    </row>
    <row r="3793" spans="2:2" ht="17.25">
      <c r="B3793" s="209"/>
    </row>
    <row r="3794" spans="2:2" ht="17.25">
      <c r="B3794" s="209"/>
    </row>
    <row r="3795" spans="2:2" ht="17.25">
      <c r="B3795" s="209"/>
    </row>
    <row r="3796" spans="2:2" ht="17.25">
      <c r="B3796" s="209"/>
    </row>
    <row r="3797" spans="2:2" ht="17.25">
      <c r="B3797" s="209"/>
    </row>
    <row r="3798" spans="2:2" ht="17.25">
      <c r="B3798" s="209"/>
    </row>
    <row r="3799" spans="2:2" ht="17.25">
      <c r="B3799" s="209"/>
    </row>
    <row r="3800" spans="2:2" ht="17.25">
      <c r="B3800" s="209"/>
    </row>
    <row r="3801" spans="2:2" ht="17.25">
      <c r="B3801" s="209"/>
    </row>
    <row r="3802" spans="2:2" ht="17.25">
      <c r="B3802" s="209"/>
    </row>
    <row r="3803" spans="2:2" ht="17.25">
      <c r="B3803" s="209"/>
    </row>
    <row r="3804" spans="2:2" ht="17.25">
      <c r="B3804" s="209"/>
    </row>
    <row r="3805" spans="2:2" ht="17.25">
      <c r="B3805" s="209"/>
    </row>
    <row r="3806" spans="2:2" ht="17.25">
      <c r="B3806" s="209"/>
    </row>
    <row r="3807" spans="2:2" ht="17.25">
      <c r="B3807" s="209"/>
    </row>
    <row r="3808" spans="2:2" ht="17.25">
      <c r="B3808" s="209"/>
    </row>
    <row r="3809" spans="2:2" ht="17.25">
      <c r="B3809" s="209"/>
    </row>
    <row r="3810" spans="2:2" ht="17.25">
      <c r="B3810" s="209"/>
    </row>
    <row r="3811" spans="2:2" ht="17.25">
      <c r="B3811" s="209"/>
    </row>
    <row r="3812" spans="2:2" ht="17.25">
      <c r="B3812" s="209"/>
    </row>
    <row r="3813" spans="2:2" ht="17.25">
      <c r="B3813" s="209"/>
    </row>
    <row r="3814" spans="2:2" ht="17.25">
      <c r="B3814" s="209"/>
    </row>
    <row r="3815" spans="2:2" ht="17.25">
      <c r="B3815" s="209"/>
    </row>
    <row r="3816" spans="2:2" ht="17.25">
      <c r="B3816" s="209"/>
    </row>
    <row r="3817" spans="2:2" ht="17.25">
      <c r="B3817" s="209"/>
    </row>
    <row r="3818" spans="2:2" ht="17.25">
      <c r="B3818" s="209"/>
    </row>
    <row r="3819" spans="2:2" ht="17.25">
      <c r="B3819" s="209"/>
    </row>
    <row r="3820" spans="2:2" ht="17.25">
      <c r="B3820" s="209"/>
    </row>
    <row r="3821" spans="2:2" ht="17.25">
      <c r="B3821" s="209"/>
    </row>
    <row r="3822" spans="2:2" ht="17.25">
      <c r="B3822" s="209"/>
    </row>
    <row r="3823" spans="2:2" ht="17.25">
      <c r="B3823" s="209"/>
    </row>
    <row r="3824" spans="2:2" ht="17.25">
      <c r="B3824" s="209"/>
    </row>
    <row r="3825" spans="2:2" ht="17.25">
      <c r="B3825" s="209"/>
    </row>
    <row r="3826" spans="2:2" ht="17.25">
      <c r="B3826" s="209"/>
    </row>
    <row r="3827" spans="2:2" ht="17.25">
      <c r="B3827" s="209"/>
    </row>
    <row r="3828" spans="2:2" ht="17.25">
      <c r="B3828" s="209"/>
    </row>
    <row r="3829" spans="2:2" ht="17.25">
      <c r="B3829" s="209"/>
    </row>
    <row r="3830" spans="2:2" ht="17.25">
      <c r="B3830" s="209"/>
    </row>
    <row r="3831" spans="2:2" ht="17.25">
      <c r="B3831" s="209"/>
    </row>
    <row r="3832" spans="2:2" ht="17.25">
      <c r="B3832" s="209"/>
    </row>
    <row r="3833" spans="2:2" ht="17.25">
      <c r="B3833" s="209"/>
    </row>
    <row r="3834" spans="2:2" ht="17.25">
      <c r="B3834" s="209"/>
    </row>
    <row r="3835" spans="2:2" ht="17.25">
      <c r="B3835" s="209"/>
    </row>
    <row r="3836" spans="2:2" ht="17.25">
      <c r="B3836" s="209"/>
    </row>
    <row r="3837" spans="2:2" ht="17.25">
      <c r="B3837" s="209"/>
    </row>
    <row r="3838" spans="2:2" ht="17.25">
      <c r="B3838" s="209"/>
    </row>
    <row r="3839" spans="2:2" ht="17.25">
      <c r="B3839" s="209"/>
    </row>
    <row r="3840" spans="2:2" ht="17.25">
      <c r="B3840" s="209"/>
    </row>
    <row r="3841" spans="2:2" ht="17.25">
      <c r="B3841" s="209"/>
    </row>
    <row r="3842" spans="2:2" ht="17.25">
      <c r="B3842" s="209"/>
    </row>
    <row r="3843" spans="2:2" ht="17.25">
      <c r="B3843" s="209"/>
    </row>
    <row r="3844" spans="2:2" ht="17.25">
      <c r="B3844" s="209"/>
    </row>
    <row r="3845" spans="2:2" ht="17.25">
      <c r="B3845" s="209"/>
    </row>
    <row r="3846" spans="2:2" ht="17.25">
      <c r="B3846" s="209"/>
    </row>
    <row r="3847" spans="2:2" ht="17.25">
      <c r="B3847" s="209"/>
    </row>
    <row r="3848" spans="2:2" ht="17.25">
      <c r="B3848" s="209"/>
    </row>
    <row r="3849" spans="2:2" ht="17.25">
      <c r="B3849" s="209"/>
    </row>
    <row r="3850" spans="2:2" ht="17.25">
      <c r="B3850" s="209"/>
    </row>
    <row r="3851" spans="2:2" ht="17.25">
      <c r="B3851" s="209"/>
    </row>
    <row r="3852" spans="2:2" ht="17.25">
      <c r="B3852" s="209"/>
    </row>
    <row r="3853" spans="2:2" ht="17.25">
      <c r="B3853" s="209"/>
    </row>
    <row r="3854" spans="2:2" ht="17.25">
      <c r="B3854" s="209"/>
    </row>
    <row r="3855" spans="2:2" ht="17.25">
      <c r="B3855" s="209"/>
    </row>
    <row r="3856" spans="2:2" ht="17.25">
      <c r="B3856" s="209"/>
    </row>
    <row r="3857" spans="2:2" ht="17.25">
      <c r="B3857" s="209"/>
    </row>
    <row r="3858" spans="2:2" ht="17.25">
      <c r="B3858" s="209"/>
    </row>
    <row r="3859" spans="2:2" ht="17.25">
      <c r="B3859" s="209"/>
    </row>
    <row r="3860" spans="2:2" ht="17.25">
      <c r="B3860" s="209"/>
    </row>
    <row r="3861" spans="2:2" ht="17.25">
      <c r="B3861" s="209"/>
    </row>
    <row r="3862" spans="2:2" ht="17.25">
      <c r="B3862" s="209"/>
    </row>
    <row r="3863" spans="2:2" ht="17.25">
      <c r="B3863" s="209"/>
    </row>
    <row r="3864" spans="2:2" ht="17.25">
      <c r="B3864" s="209"/>
    </row>
    <row r="3865" spans="2:2" ht="17.25">
      <c r="B3865" s="209"/>
    </row>
    <row r="3866" spans="2:2" ht="17.25">
      <c r="B3866" s="209"/>
    </row>
    <row r="3867" spans="2:2" ht="17.25">
      <c r="B3867" s="209"/>
    </row>
    <row r="3868" spans="2:2" ht="17.25">
      <c r="B3868" s="209"/>
    </row>
    <row r="3869" spans="2:2" ht="17.25">
      <c r="B3869" s="209"/>
    </row>
    <row r="3870" spans="2:2" ht="17.25">
      <c r="B3870" s="209"/>
    </row>
    <row r="3871" spans="2:2" ht="17.25">
      <c r="B3871" s="209"/>
    </row>
    <row r="3872" spans="2:2" ht="17.25">
      <c r="B3872" s="209"/>
    </row>
    <row r="3873" spans="2:2" ht="17.25">
      <c r="B3873" s="209"/>
    </row>
    <row r="3874" spans="2:2" ht="17.25">
      <c r="B3874" s="209"/>
    </row>
    <row r="3875" spans="2:2" ht="17.25">
      <c r="B3875" s="209"/>
    </row>
    <row r="3876" spans="2:2" ht="17.25">
      <c r="B3876" s="209"/>
    </row>
    <row r="3877" spans="2:2" ht="17.25">
      <c r="B3877" s="209"/>
    </row>
    <row r="3878" spans="2:2" ht="17.25">
      <c r="B3878" s="209"/>
    </row>
    <row r="3879" spans="2:2" ht="17.25">
      <c r="B3879" s="209"/>
    </row>
    <row r="3880" spans="2:2" ht="17.25">
      <c r="B3880" s="209"/>
    </row>
    <row r="3881" spans="2:2" ht="17.25">
      <c r="B3881" s="209"/>
    </row>
    <row r="3882" spans="2:2" ht="17.25">
      <c r="B3882" s="209"/>
    </row>
    <row r="3883" spans="2:2" ht="17.25">
      <c r="B3883" s="209"/>
    </row>
    <row r="3884" spans="2:2" ht="17.25">
      <c r="B3884" s="209"/>
    </row>
    <row r="3885" spans="2:2" ht="17.25">
      <c r="B3885" s="209"/>
    </row>
    <row r="3886" spans="2:2" ht="17.25">
      <c r="B3886" s="209"/>
    </row>
    <row r="3887" spans="2:2" ht="17.25">
      <c r="B3887" s="209"/>
    </row>
    <row r="3888" spans="2:2" ht="17.25">
      <c r="B3888" s="209"/>
    </row>
    <row r="3889" spans="2:2" ht="17.25">
      <c r="B3889" s="209"/>
    </row>
    <row r="3890" spans="2:2" ht="17.25">
      <c r="B3890" s="209"/>
    </row>
    <row r="3891" spans="2:2" ht="17.25">
      <c r="B3891" s="209"/>
    </row>
    <row r="3892" spans="2:2" ht="17.25">
      <c r="B3892" s="209"/>
    </row>
    <row r="3893" spans="2:2" ht="17.25">
      <c r="B3893" s="209"/>
    </row>
    <row r="3894" spans="2:2" ht="17.25">
      <c r="B3894" s="209"/>
    </row>
    <row r="3895" spans="2:2" ht="17.25">
      <c r="B3895" s="209"/>
    </row>
    <row r="3896" spans="2:2" ht="17.25">
      <c r="B3896" s="209"/>
    </row>
    <row r="3897" spans="2:2" ht="17.25">
      <c r="B3897" s="209"/>
    </row>
    <row r="3898" spans="2:2" ht="17.25">
      <c r="B3898" s="209"/>
    </row>
    <row r="3899" spans="2:2" ht="17.25">
      <c r="B3899" s="209"/>
    </row>
    <row r="3900" spans="2:2" ht="17.25">
      <c r="B3900" s="209"/>
    </row>
    <row r="3901" spans="2:2" ht="17.25">
      <c r="B3901" s="209"/>
    </row>
    <row r="3902" spans="2:2" ht="17.25">
      <c r="B3902" s="209"/>
    </row>
    <row r="3903" spans="2:2" ht="17.25">
      <c r="B3903" s="209"/>
    </row>
    <row r="3904" spans="2:2" ht="17.25">
      <c r="B3904" s="209"/>
    </row>
    <row r="3905" spans="2:2" ht="17.25">
      <c r="B3905" s="209"/>
    </row>
    <row r="3906" spans="2:2" ht="17.25">
      <c r="B3906" s="209"/>
    </row>
    <row r="3907" spans="2:2" ht="17.25">
      <c r="B3907" s="209"/>
    </row>
    <row r="3908" spans="2:2" ht="17.25">
      <c r="B3908" s="209"/>
    </row>
    <row r="3909" spans="2:2" ht="17.25">
      <c r="B3909" s="209"/>
    </row>
    <row r="3910" spans="2:2" ht="17.25">
      <c r="B3910" s="209"/>
    </row>
    <row r="3911" spans="2:2" ht="17.25">
      <c r="B3911" s="209"/>
    </row>
    <row r="3912" spans="2:2" ht="17.25">
      <c r="B3912" s="209"/>
    </row>
    <row r="3913" spans="2:2" ht="17.25">
      <c r="B3913" s="209"/>
    </row>
    <row r="3914" spans="2:2" ht="17.25">
      <c r="B3914" s="209"/>
    </row>
    <row r="3915" spans="2:2" ht="17.25">
      <c r="B3915" s="209"/>
    </row>
    <row r="3916" spans="2:2" ht="17.25">
      <c r="B3916" s="209"/>
    </row>
    <row r="3917" spans="2:2" ht="17.25">
      <c r="B3917" s="209"/>
    </row>
    <row r="3918" spans="2:2" ht="17.25">
      <c r="B3918" s="209"/>
    </row>
    <row r="3919" spans="2:2" ht="17.25">
      <c r="B3919" s="209"/>
    </row>
    <row r="3920" spans="2:2" ht="17.25">
      <c r="B3920" s="209"/>
    </row>
    <row r="3921" spans="2:2" ht="17.25">
      <c r="B3921" s="209"/>
    </row>
    <row r="3922" spans="2:2" ht="17.25">
      <c r="B3922" s="209"/>
    </row>
    <row r="3923" spans="2:2" ht="17.25">
      <c r="B3923" s="209"/>
    </row>
    <row r="3924" spans="2:2" ht="17.25">
      <c r="B3924" s="209"/>
    </row>
    <row r="3925" spans="2:2" ht="17.25">
      <c r="B3925" s="209"/>
    </row>
    <row r="3926" spans="2:2" ht="17.25">
      <c r="B3926" s="209"/>
    </row>
    <row r="3927" spans="2:2" ht="17.25">
      <c r="B3927" s="209"/>
    </row>
    <row r="3928" spans="2:2" ht="17.25">
      <c r="B3928" s="209"/>
    </row>
    <row r="3929" spans="2:2" ht="17.25">
      <c r="B3929" s="209"/>
    </row>
    <row r="3930" spans="2:2" ht="17.25">
      <c r="B3930" s="209"/>
    </row>
    <row r="3931" spans="2:2" ht="17.25">
      <c r="B3931" s="209"/>
    </row>
    <row r="3932" spans="2:2" ht="17.25">
      <c r="B3932" s="209"/>
    </row>
    <row r="3933" spans="2:2" ht="17.25">
      <c r="B3933" s="209"/>
    </row>
    <row r="3934" spans="2:2" ht="17.25">
      <c r="B3934" s="209"/>
    </row>
    <row r="3935" spans="2:2" ht="17.25">
      <c r="B3935" s="209"/>
    </row>
    <row r="3936" spans="2:2" ht="17.25">
      <c r="B3936" s="209"/>
    </row>
    <row r="3937" spans="2:2" ht="17.25">
      <c r="B3937" s="209"/>
    </row>
    <row r="3938" spans="2:2" ht="17.25">
      <c r="B3938" s="209"/>
    </row>
    <row r="3939" spans="2:2" ht="17.25">
      <c r="B3939" s="209"/>
    </row>
    <row r="3940" spans="2:2" ht="17.25">
      <c r="B3940" s="209"/>
    </row>
    <row r="3941" spans="2:2" ht="17.25">
      <c r="B3941" s="209"/>
    </row>
    <row r="3942" spans="2:2" ht="17.25">
      <c r="B3942" s="209"/>
    </row>
    <row r="3943" spans="2:2" ht="17.25">
      <c r="B3943" s="209"/>
    </row>
    <row r="3944" spans="2:2" ht="17.25">
      <c r="B3944" s="209"/>
    </row>
    <row r="3945" spans="2:2" ht="17.25">
      <c r="B3945" s="209"/>
    </row>
    <row r="3946" spans="2:2" ht="17.25">
      <c r="B3946" s="209"/>
    </row>
    <row r="3947" spans="2:2" ht="17.25">
      <c r="B3947" s="209"/>
    </row>
    <row r="3948" spans="2:2" ht="17.25">
      <c r="B3948" s="209"/>
    </row>
    <row r="3949" spans="2:2" ht="17.25">
      <c r="B3949" s="209"/>
    </row>
    <row r="3950" spans="2:2" ht="17.25">
      <c r="B3950" s="209"/>
    </row>
    <row r="3951" spans="2:2" ht="17.25">
      <c r="B3951" s="209"/>
    </row>
    <row r="3952" spans="2:2" ht="17.25">
      <c r="B3952" s="209"/>
    </row>
    <row r="3953" spans="2:2" ht="17.25">
      <c r="B3953" s="209"/>
    </row>
    <row r="3954" spans="2:2" ht="17.25">
      <c r="B3954" s="209"/>
    </row>
    <row r="3955" spans="2:2" ht="17.25">
      <c r="B3955" s="209"/>
    </row>
    <row r="3956" spans="2:2" ht="17.25">
      <c r="B3956" s="209"/>
    </row>
    <row r="3957" spans="2:2" ht="17.25">
      <c r="B3957" s="209"/>
    </row>
    <row r="3958" spans="2:2" ht="17.25">
      <c r="B3958" s="209"/>
    </row>
    <row r="3959" spans="2:2" ht="17.25">
      <c r="B3959" s="209"/>
    </row>
    <row r="3960" spans="2:2" ht="17.25">
      <c r="B3960" s="209"/>
    </row>
    <row r="3961" spans="2:2" ht="17.25">
      <c r="B3961" s="209"/>
    </row>
    <row r="3962" spans="2:2" ht="17.25">
      <c r="B3962" s="209"/>
    </row>
    <row r="3963" spans="2:2" ht="17.25">
      <c r="B3963" s="209"/>
    </row>
    <row r="3964" spans="2:2" ht="17.25">
      <c r="B3964" s="209"/>
    </row>
    <row r="3965" spans="2:2" ht="17.25">
      <c r="B3965" s="209"/>
    </row>
    <row r="3966" spans="2:2" ht="17.25">
      <c r="B3966" s="209"/>
    </row>
    <row r="3967" spans="2:2" ht="17.25">
      <c r="B3967" s="209"/>
    </row>
    <row r="3968" spans="2:2" ht="17.25">
      <c r="B3968" s="209"/>
    </row>
    <row r="3969" spans="2:11" ht="17.25">
      <c r="B3969" s="209"/>
    </row>
    <row r="3970" spans="2:11" ht="17.25">
      <c r="B3970" s="209"/>
    </row>
    <row r="3971" spans="2:11" ht="17.25">
      <c r="B3971" s="209"/>
    </row>
    <row r="3972" spans="2:11" ht="17.25">
      <c r="B3972" s="209"/>
    </row>
    <row r="3973" spans="2:11" ht="17.25">
      <c r="B3973" s="209"/>
    </row>
    <row r="3974" spans="2:11" ht="17.25">
      <c r="B3974" s="209"/>
    </row>
    <row r="3975" spans="2:11" ht="17.25">
      <c r="B3975" s="209"/>
    </row>
    <row r="3976" spans="2:11" ht="17.25">
      <c r="B3976" s="209"/>
    </row>
    <row r="3977" spans="2:11" ht="17.25">
      <c r="B3977" s="209"/>
    </row>
    <row r="3978" spans="2:11" ht="17.25">
      <c r="B3978" s="209"/>
    </row>
    <row r="3979" spans="2:11" ht="17.25">
      <c r="B3979" s="209"/>
    </row>
    <row r="3980" spans="2:11" ht="17.25">
      <c r="B3980" s="209"/>
    </row>
    <row r="3981" spans="2:11" ht="17.25">
      <c r="B3981" s="209"/>
    </row>
    <row r="3983" spans="2:11" ht="15.75">
      <c r="K3983" s="213"/>
    </row>
    <row r="3984" spans="2:11" ht="15.75">
      <c r="B3984" s="214"/>
      <c r="C3984" s="215"/>
    </row>
    <row r="3985" spans="11:11" ht="15.75">
      <c r="K3985" s="213"/>
    </row>
    <row r="3986" spans="11:11" ht="15.75">
      <c r="K3986" s="213"/>
    </row>
    <row r="3987" spans="11:11" ht="15.75">
      <c r="K3987" s="213"/>
    </row>
  </sheetData>
  <mergeCells count="11">
    <mergeCell ref="C2:C4"/>
    <mergeCell ref="B2:B4"/>
    <mergeCell ref="A2:A4"/>
    <mergeCell ref="A1:K1"/>
    <mergeCell ref="M4:N4"/>
    <mergeCell ref="O4:P4"/>
    <mergeCell ref="F2:G2"/>
    <mergeCell ref="H2:I2"/>
    <mergeCell ref="J2:K2"/>
    <mergeCell ref="D2:D4"/>
    <mergeCell ref="E2:E4"/>
  </mergeCells>
  <pageMargins left="0.70866141732283472" right="0.70866141732283472" top="0.74803149606299213" bottom="0.55118110236220474" header="0.31496062992125984" footer="0.31496062992125984"/>
  <pageSetup paperSize="9" scale="38" orientation="portrait" r:id="rId1"/>
</worksheet>
</file>

<file path=xl/worksheets/sheet8.xml><?xml version="1.0" encoding="utf-8"?>
<worksheet xmlns="http://schemas.openxmlformats.org/spreadsheetml/2006/main" xmlns:r="http://schemas.openxmlformats.org/officeDocument/2006/relationships">
  <dimension ref="A1:W58"/>
  <sheetViews>
    <sheetView tabSelected="1" topLeftCell="A7" workbookViewId="0">
      <selection activeCell="L17" sqref="L17"/>
    </sheetView>
  </sheetViews>
  <sheetFormatPr defaultColWidth="9.140625" defaultRowHeight="12.75"/>
  <cols>
    <col min="1" max="4" width="9.140625" style="331"/>
    <col min="5" max="5" width="14.42578125" style="331" customWidth="1"/>
    <col min="6" max="6" width="9.140625" style="331"/>
    <col min="7" max="7" width="6.28515625" style="331" customWidth="1"/>
    <col min="8" max="8" width="10.28515625" style="331" customWidth="1"/>
    <col min="9" max="9" width="8.28515625" style="331" customWidth="1"/>
    <col min="10" max="10" width="5.42578125" style="331" customWidth="1"/>
    <col min="11" max="11" width="10.5703125" style="331" customWidth="1"/>
    <col min="12" max="12" width="7.5703125" style="331" customWidth="1"/>
    <col min="13" max="13" width="7.85546875" style="331" customWidth="1"/>
    <col min="14" max="260" width="9.140625" style="331"/>
    <col min="261" max="261" width="14.42578125" style="331" customWidth="1"/>
    <col min="262" max="262" width="9.140625" style="331"/>
    <col min="263" max="263" width="6.28515625" style="331" customWidth="1"/>
    <col min="264" max="264" width="10.28515625" style="331" customWidth="1"/>
    <col min="265" max="265" width="8.28515625" style="331" customWidth="1"/>
    <col min="266" max="266" width="5.42578125" style="331" customWidth="1"/>
    <col min="267" max="267" width="10.5703125" style="331" customWidth="1"/>
    <col min="268" max="268" width="7.5703125" style="331" customWidth="1"/>
    <col min="269" max="269" width="7.85546875" style="331" customWidth="1"/>
    <col min="270" max="516" width="9.140625" style="331"/>
    <col min="517" max="517" width="14.42578125" style="331" customWidth="1"/>
    <col min="518" max="518" width="9.140625" style="331"/>
    <col min="519" max="519" width="6.28515625" style="331" customWidth="1"/>
    <col min="520" max="520" width="10.28515625" style="331" customWidth="1"/>
    <col min="521" max="521" width="8.28515625" style="331" customWidth="1"/>
    <col min="522" max="522" width="5.42578125" style="331" customWidth="1"/>
    <col min="523" max="523" width="10.5703125" style="331" customWidth="1"/>
    <col min="524" max="524" width="7.5703125" style="331" customWidth="1"/>
    <col min="525" max="525" width="7.85546875" style="331" customWidth="1"/>
    <col min="526" max="772" width="9.140625" style="331"/>
    <col min="773" max="773" width="14.42578125" style="331" customWidth="1"/>
    <col min="774" max="774" width="9.140625" style="331"/>
    <col min="775" max="775" width="6.28515625" style="331" customWidth="1"/>
    <col min="776" max="776" width="10.28515625" style="331" customWidth="1"/>
    <col min="777" max="777" width="8.28515625" style="331" customWidth="1"/>
    <col min="778" max="778" width="5.42578125" style="331" customWidth="1"/>
    <col min="779" max="779" width="10.5703125" style="331" customWidth="1"/>
    <col min="780" max="780" width="7.5703125" style="331" customWidth="1"/>
    <col min="781" max="781" width="7.85546875" style="331" customWidth="1"/>
    <col min="782" max="1028" width="9.140625" style="331"/>
    <col min="1029" max="1029" width="14.42578125" style="331" customWidth="1"/>
    <col min="1030" max="1030" width="9.140625" style="331"/>
    <col min="1031" max="1031" width="6.28515625" style="331" customWidth="1"/>
    <col min="1032" max="1032" width="10.28515625" style="331" customWidth="1"/>
    <col min="1033" max="1033" width="8.28515625" style="331" customWidth="1"/>
    <col min="1034" max="1034" width="5.42578125" style="331" customWidth="1"/>
    <col min="1035" max="1035" width="10.5703125" style="331" customWidth="1"/>
    <col min="1036" max="1036" width="7.5703125" style="331" customWidth="1"/>
    <col min="1037" max="1037" width="7.85546875" style="331" customWidth="1"/>
    <col min="1038" max="1284" width="9.140625" style="331"/>
    <col min="1285" max="1285" width="14.42578125" style="331" customWidth="1"/>
    <col min="1286" max="1286" width="9.140625" style="331"/>
    <col min="1287" max="1287" width="6.28515625" style="331" customWidth="1"/>
    <col min="1288" max="1288" width="10.28515625" style="331" customWidth="1"/>
    <col min="1289" max="1289" width="8.28515625" style="331" customWidth="1"/>
    <col min="1290" max="1290" width="5.42578125" style="331" customWidth="1"/>
    <col min="1291" max="1291" width="10.5703125" style="331" customWidth="1"/>
    <col min="1292" max="1292" width="7.5703125" style="331" customWidth="1"/>
    <col min="1293" max="1293" width="7.85546875" style="331" customWidth="1"/>
    <col min="1294" max="1540" width="9.140625" style="331"/>
    <col min="1541" max="1541" width="14.42578125" style="331" customWidth="1"/>
    <col min="1542" max="1542" width="9.140625" style="331"/>
    <col min="1543" max="1543" width="6.28515625" style="331" customWidth="1"/>
    <col min="1544" max="1544" width="10.28515625" style="331" customWidth="1"/>
    <col min="1545" max="1545" width="8.28515625" style="331" customWidth="1"/>
    <col min="1546" max="1546" width="5.42578125" style="331" customWidth="1"/>
    <col min="1547" max="1547" width="10.5703125" style="331" customWidth="1"/>
    <col min="1548" max="1548" width="7.5703125" style="331" customWidth="1"/>
    <col min="1549" max="1549" width="7.85546875" style="331" customWidth="1"/>
    <col min="1550" max="1796" width="9.140625" style="331"/>
    <col min="1797" max="1797" width="14.42578125" style="331" customWidth="1"/>
    <col min="1798" max="1798" width="9.140625" style="331"/>
    <col min="1799" max="1799" width="6.28515625" style="331" customWidth="1"/>
    <col min="1800" max="1800" width="10.28515625" style="331" customWidth="1"/>
    <col min="1801" max="1801" width="8.28515625" style="331" customWidth="1"/>
    <col min="1802" max="1802" width="5.42578125" style="331" customWidth="1"/>
    <col min="1803" max="1803" width="10.5703125" style="331" customWidth="1"/>
    <col min="1804" max="1804" width="7.5703125" style="331" customWidth="1"/>
    <col min="1805" max="1805" width="7.85546875" style="331" customWidth="1"/>
    <col min="1806" max="2052" width="9.140625" style="331"/>
    <col min="2053" max="2053" width="14.42578125" style="331" customWidth="1"/>
    <col min="2054" max="2054" width="9.140625" style="331"/>
    <col min="2055" max="2055" width="6.28515625" style="331" customWidth="1"/>
    <col min="2056" max="2056" width="10.28515625" style="331" customWidth="1"/>
    <col min="2057" max="2057" width="8.28515625" style="331" customWidth="1"/>
    <col min="2058" max="2058" width="5.42578125" style="331" customWidth="1"/>
    <col min="2059" max="2059" width="10.5703125" style="331" customWidth="1"/>
    <col min="2060" max="2060" width="7.5703125" style="331" customWidth="1"/>
    <col min="2061" max="2061" width="7.85546875" style="331" customWidth="1"/>
    <col min="2062" max="2308" width="9.140625" style="331"/>
    <col min="2309" max="2309" width="14.42578125" style="331" customWidth="1"/>
    <col min="2310" max="2310" width="9.140625" style="331"/>
    <col min="2311" max="2311" width="6.28515625" style="331" customWidth="1"/>
    <col min="2312" max="2312" width="10.28515625" style="331" customWidth="1"/>
    <col min="2313" max="2313" width="8.28515625" style="331" customWidth="1"/>
    <col min="2314" max="2314" width="5.42578125" style="331" customWidth="1"/>
    <col min="2315" max="2315" width="10.5703125" style="331" customWidth="1"/>
    <col min="2316" max="2316" width="7.5703125" style="331" customWidth="1"/>
    <col min="2317" max="2317" width="7.85546875" style="331" customWidth="1"/>
    <col min="2318" max="2564" width="9.140625" style="331"/>
    <col min="2565" max="2565" width="14.42578125" style="331" customWidth="1"/>
    <col min="2566" max="2566" width="9.140625" style="331"/>
    <col min="2567" max="2567" width="6.28515625" style="331" customWidth="1"/>
    <col min="2568" max="2568" width="10.28515625" style="331" customWidth="1"/>
    <col min="2569" max="2569" width="8.28515625" style="331" customWidth="1"/>
    <col min="2570" max="2570" width="5.42578125" style="331" customWidth="1"/>
    <col min="2571" max="2571" width="10.5703125" style="331" customWidth="1"/>
    <col min="2572" max="2572" width="7.5703125" style="331" customWidth="1"/>
    <col min="2573" max="2573" width="7.85546875" style="331" customWidth="1"/>
    <col min="2574" max="2820" width="9.140625" style="331"/>
    <col min="2821" max="2821" width="14.42578125" style="331" customWidth="1"/>
    <col min="2822" max="2822" width="9.140625" style="331"/>
    <col min="2823" max="2823" width="6.28515625" style="331" customWidth="1"/>
    <col min="2824" max="2824" width="10.28515625" style="331" customWidth="1"/>
    <col min="2825" max="2825" width="8.28515625" style="331" customWidth="1"/>
    <col min="2826" max="2826" width="5.42578125" style="331" customWidth="1"/>
    <col min="2827" max="2827" width="10.5703125" style="331" customWidth="1"/>
    <col min="2828" max="2828" width="7.5703125" style="331" customWidth="1"/>
    <col min="2829" max="2829" width="7.85546875" style="331" customWidth="1"/>
    <col min="2830" max="3076" width="9.140625" style="331"/>
    <col min="3077" max="3077" width="14.42578125" style="331" customWidth="1"/>
    <col min="3078" max="3078" width="9.140625" style="331"/>
    <col min="3079" max="3079" width="6.28515625" style="331" customWidth="1"/>
    <col min="3080" max="3080" width="10.28515625" style="331" customWidth="1"/>
    <col min="3081" max="3081" width="8.28515625" style="331" customWidth="1"/>
    <col min="3082" max="3082" width="5.42578125" style="331" customWidth="1"/>
    <col min="3083" max="3083" width="10.5703125" style="331" customWidth="1"/>
    <col min="3084" max="3084" width="7.5703125" style="331" customWidth="1"/>
    <col min="3085" max="3085" width="7.85546875" style="331" customWidth="1"/>
    <col min="3086" max="3332" width="9.140625" style="331"/>
    <col min="3333" max="3333" width="14.42578125" style="331" customWidth="1"/>
    <col min="3334" max="3334" width="9.140625" style="331"/>
    <col min="3335" max="3335" width="6.28515625" style="331" customWidth="1"/>
    <col min="3336" max="3336" width="10.28515625" style="331" customWidth="1"/>
    <col min="3337" max="3337" width="8.28515625" style="331" customWidth="1"/>
    <col min="3338" max="3338" width="5.42578125" style="331" customWidth="1"/>
    <col min="3339" max="3339" width="10.5703125" style="331" customWidth="1"/>
    <col min="3340" max="3340" width="7.5703125" style="331" customWidth="1"/>
    <col min="3341" max="3341" width="7.85546875" style="331" customWidth="1"/>
    <col min="3342" max="3588" width="9.140625" style="331"/>
    <col min="3589" max="3589" width="14.42578125" style="331" customWidth="1"/>
    <col min="3590" max="3590" width="9.140625" style="331"/>
    <col min="3591" max="3591" width="6.28515625" style="331" customWidth="1"/>
    <col min="3592" max="3592" width="10.28515625" style="331" customWidth="1"/>
    <col min="3593" max="3593" width="8.28515625" style="331" customWidth="1"/>
    <col min="3594" max="3594" width="5.42578125" style="331" customWidth="1"/>
    <col min="3595" max="3595" width="10.5703125" style="331" customWidth="1"/>
    <col min="3596" max="3596" width="7.5703125" style="331" customWidth="1"/>
    <col min="3597" max="3597" width="7.85546875" style="331" customWidth="1"/>
    <col min="3598" max="3844" width="9.140625" style="331"/>
    <col min="3845" max="3845" width="14.42578125" style="331" customWidth="1"/>
    <col min="3846" max="3846" width="9.140625" style="331"/>
    <col min="3847" max="3847" width="6.28515625" style="331" customWidth="1"/>
    <col min="3848" max="3848" width="10.28515625" style="331" customWidth="1"/>
    <col min="3849" max="3849" width="8.28515625" style="331" customWidth="1"/>
    <col min="3850" max="3850" width="5.42578125" style="331" customWidth="1"/>
    <col min="3851" max="3851" width="10.5703125" style="331" customWidth="1"/>
    <col min="3852" max="3852" width="7.5703125" style="331" customWidth="1"/>
    <col min="3853" max="3853" width="7.85546875" style="331" customWidth="1"/>
    <col min="3854" max="4100" width="9.140625" style="331"/>
    <col min="4101" max="4101" width="14.42578125" style="331" customWidth="1"/>
    <col min="4102" max="4102" width="9.140625" style="331"/>
    <col min="4103" max="4103" width="6.28515625" style="331" customWidth="1"/>
    <col min="4104" max="4104" width="10.28515625" style="331" customWidth="1"/>
    <col min="4105" max="4105" width="8.28515625" style="331" customWidth="1"/>
    <col min="4106" max="4106" width="5.42578125" style="331" customWidth="1"/>
    <col min="4107" max="4107" width="10.5703125" style="331" customWidth="1"/>
    <col min="4108" max="4108" width="7.5703125" style="331" customWidth="1"/>
    <col min="4109" max="4109" width="7.85546875" style="331" customWidth="1"/>
    <col min="4110" max="4356" width="9.140625" style="331"/>
    <col min="4357" max="4357" width="14.42578125" style="331" customWidth="1"/>
    <col min="4358" max="4358" width="9.140625" style="331"/>
    <col min="4359" max="4359" width="6.28515625" style="331" customWidth="1"/>
    <col min="4360" max="4360" width="10.28515625" style="331" customWidth="1"/>
    <col min="4361" max="4361" width="8.28515625" style="331" customWidth="1"/>
    <col min="4362" max="4362" width="5.42578125" style="331" customWidth="1"/>
    <col min="4363" max="4363" width="10.5703125" style="331" customWidth="1"/>
    <col min="4364" max="4364" width="7.5703125" style="331" customWidth="1"/>
    <col min="4365" max="4365" width="7.85546875" style="331" customWidth="1"/>
    <col min="4366" max="4612" width="9.140625" style="331"/>
    <col min="4613" max="4613" width="14.42578125" style="331" customWidth="1"/>
    <col min="4614" max="4614" width="9.140625" style="331"/>
    <col min="4615" max="4615" width="6.28515625" style="331" customWidth="1"/>
    <col min="4616" max="4616" width="10.28515625" style="331" customWidth="1"/>
    <col min="4617" max="4617" width="8.28515625" style="331" customWidth="1"/>
    <col min="4618" max="4618" width="5.42578125" style="331" customWidth="1"/>
    <col min="4619" max="4619" width="10.5703125" style="331" customWidth="1"/>
    <col min="4620" max="4620" width="7.5703125" style="331" customWidth="1"/>
    <col min="4621" max="4621" width="7.85546875" style="331" customWidth="1"/>
    <col min="4622" max="4868" width="9.140625" style="331"/>
    <col min="4869" max="4869" width="14.42578125" style="331" customWidth="1"/>
    <col min="4870" max="4870" width="9.140625" style="331"/>
    <col min="4871" max="4871" width="6.28515625" style="331" customWidth="1"/>
    <col min="4872" max="4872" width="10.28515625" style="331" customWidth="1"/>
    <col min="4873" max="4873" width="8.28515625" style="331" customWidth="1"/>
    <col min="4874" max="4874" width="5.42578125" style="331" customWidth="1"/>
    <col min="4875" max="4875" width="10.5703125" style="331" customWidth="1"/>
    <col min="4876" max="4876" width="7.5703125" style="331" customWidth="1"/>
    <col min="4877" max="4877" width="7.85546875" style="331" customWidth="1"/>
    <col min="4878" max="5124" width="9.140625" style="331"/>
    <col min="5125" max="5125" width="14.42578125" style="331" customWidth="1"/>
    <col min="5126" max="5126" width="9.140625" style="331"/>
    <col min="5127" max="5127" width="6.28515625" style="331" customWidth="1"/>
    <col min="5128" max="5128" width="10.28515625" style="331" customWidth="1"/>
    <col min="5129" max="5129" width="8.28515625" style="331" customWidth="1"/>
    <col min="5130" max="5130" width="5.42578125" style="331" customWidth="1"/>
    <col min="5131" max="5131" width="10.5703125" style="331" customWidth="1"/>
    <col min="5132" max="5132" width="7.5703125" style="331" customWidth="1"/>
    <col min="5133" max="5133" width="7.85546875" style="331" customWidth="1"/>
    <col min="5134" max="5380" width="9.140625" style="331"/>
    <col min="5381" max="5381" width="14.42578125" style="331" customWidth="1"/>
    <col min="5382" max="5382" width="9.140625" style="331"/>
    <col min="5383" max="5383" width="6.28515625" style="331" customWidth="1"/>
    <col min="5384" max="5384" width="10.28515625" style="331" customWidth="1"/>
    <col min="5385" max="5385" width="8.28515625" style="331" customWidth="1"/>
    <col min="5386" max="5386" width="5.42578125" style="331" customWidth="1"/>
    <col min="5387" max="5387" width="10.5703125" style="331" customWidth="1"/>
    <col min="5388" max="5388" width="7.5703125" style="331" customWidth="1"/>
    <col min="5389" max="5389" width="7.85546875" style="331" customWidth="1"/>
    <col min="5390" max="5636" width="9.140625" style="331"/>
    <col min="5637" max="5637" width="14.42578125" style="331" customWidth="1"/>
    <col min="5638" max="5638" width="9.140625" style="331"/>
    <col min="5639" max="5639" width="6.28515625" style="331" customWidth="1"/>
    <col min="5640" max="5640" width="10.28515625" style="331" customWidth="1"/>
    <col min="5641" max="5641" width="8.28515625" style="331" customWidth="1"/>
    <col min="5642" max="5642" width="5.42578125" style="331" customWidth="1"/>
    <col min="5643" max="5643" width="10.5703125" style="331" customWidth="1"/>
    <col min="5644" max="5644" width="7.5703125" style="331" customWidth="1"/>
    <col min="5645" max="5645" width="7.85546875" style="331" customWidth="1"/>
    <col min="5646" max="5892" width="9.140625" style="331"/>
    <col min="5893" max="5893" width="14.42578125" style="331" customWidth="1"/>
    <col min="5894" max="5894" width="9.140625" style="331"/>
    <col min="5895" max="5895" width="6.28515625" style="331" customWidth="1"/>
    <col min="5896" max="5896" width="10.28515625" style="331" customWidth="1"/>
    <col min="5897" max="5897" width="8.28515625" style="331" customWidth="1"/>
    <col min="5898" max="5898" width="5.42578125" style="331" customWidth="1"/>
    <col min="5899" max="5899" width="10.5703125" style="331" customWidth="1"/>
    <col min="5900" max="5900" width="7.5703125" style="331" customWidth="1"/>
    <col min="5901" max="5901" width="7.85546875" style="331" customWidth="1"/>
    <col min="5902" max="6148" width="9.140625" style="331"/>
    <col min="6149" max="6149" width="14.42578125" style="331" customWidth="1"/>
    <col min="6150" max="6150" width="9.140625" style="331"/>
    <col min="6151" max="6151" width="6.28515625" style="331" customWidth="1"/>
    <col min="6152" max="6152" width="10.28515625" style="331" customWidth="1"/>
    <col min="6153" max="6153" width="8.28515625" style="331" customWidth="1"/>
    <col min="6154" max="6154" width="5.42578125" style="331" customWidth="1"/>
    <col min="6155" max="6155" width="10.5703125" style="331" customWidth="1"/>
    <col min="6156" max="6156" width="7.5703125" style="331" customWidth="1"/>
    <col min="6157" max="6157" width="7.85546875" style="331" customWidth="1"/>
    <col min="6158" max="6404" width="9.140625" style="331"/>
    <col min="6405" max="6405" width="14.42578125" style="331" customWidth="1"/>
    <col min="6406" max="6406" width="9.140625" style="331"/>
    <col min="6407" max="6407" width="6.28515625" style="331" customWidth="1"/>
    <col min="6408" max="6408" width="10.28515625" style="331" customWidth="1"/>
    <col min="6409" max="6409" width="8.28515625" style="331" customWidth="1"/>
    <col min="6410" max="6410" width="5.42578125" style="331" customWidth="1"/>
    <col min="6411" max="6411" width="10.5703125" style="331" customWidth="1"/>
    <col min="6412" max="6412" width="7.5703125" style="331" customWidth="1"/>
    <col min="6413" max="6413" width="7.85546875" style="331" customWidth="1"/>
    <col min="6414" max="6660" width="9.140625" style="331"/>
    <col min="6661" max="6661" width="14.42578125" style="331" customWidth="1"/>
    <col min="6662" max="6662" width="9.140625" style="331"/>
    <col min="6663" max="6663" width="6.28515625" style="331" customWidth="1"/>
    <col min="6664" max="6664" width="10.28515625" style="331" customWidth="1"/>
    <col min="6665" max="6665" width="8.28515625" style="331" customWidth="1"/>
    <col min="6666" max="6666" width="5.42578125" style="331" customWidth="1"/>
    <col min="6667" max="6667" width="10.5703125" style="331" customWidth="1"/>
    <col min="6668" max="6668" width="7.5703125" style="331" customWidth="1"/>
    <col min="6669" max="6669" width="7.85546875" style="331" customWidth="1"/>
    <col min="6670" max="6916" width="9.140625" style="331"/>
    <col min="6917" max="6917" width="14.42578125" style="331" customWidth="1"/>
    <col min="6918" max="6918" width="9.140625" style="331"/>
    <col min="6919" max="6919" width="6.28515625" style="331" customWidth="1"/>
    <col min="6920" max="6920" width="10.28515625" style="331" customWidth="1"/>
    <col min="6921" max="6921" width="8.28515625" style="331" customWidth="1"/>
    <col min="6922" max="6922" width="5.42578125" style="331" customWidth="1"/>
    <col min="6923" max="6923" width="10.5703125" style="331" customWidth="1"/>
    <col min="6924" max="6924" width="7.5703125" style="331" customWidth="1"/>
    <col min="6925" max="6925" width="7.85546875" style="331" customWidth="1"/>
    <col min="6926" max="7172" width="9.140625" style="331"/>
    <col min="7173" max="7173" width="14.42578125" style="331" customWidth="1"/>
    <col min="7174" max="7174" width="9.140625" style="331"/>
    <col min="7175" max="7175" width="6.28515625" style="331" customWidth="1"/>
    <col min="7176" max="7176" width="10.28515625" style="331" customWidth="1"/>
    <col min="7177" max="7177" width="8.28515625" style="331" customWidth="1"/>
    <col min="7178" max="7178" width="5.42578125" style="331" customWidth="1"/>
    <col min="7179" max="7179" width="10.5703125" style="331" customWidth="1"/>
    <col min="7180" max="7180" width="7.5703125" style="331" customWidth="1"/>
    <col min="7181" max="7181" width="7.85546875" style="331" customWidth="1"/>
    <col min="7182" max="7428" width="9.140625" style="331"/>
    <col min="7429" max="7429" width="14.42578125" style="331" customWidth="1"/>
    <col min="7430" max="7430" width="9.140625" style="331"/>
    <col min="7431" max="7431" width="6.28515625" style="331" customWidth="1"/>
    <col min="7432" max="7432" width="10.28515625" style="331" customWidth="1"/>
    <col min="7433" max="7433" width="8.28515625" style="331" customWidth="1"/>
    <col min="7434" max="7434" width="5.42578125" style="331" customWidth="1"/>
    <col min="7435" max="7435" width="10.5703125" style="331" customWidth="1"/>
    <col min="7436" max="7436" width="7.5703125" style="331" customWidth="1"/>
    <col min="7437" max="7437" width="7.85546875" style="331" customWidth="1"/>
    <col min="7438" max="7684" width="9.140625" style="331"/>
    <col min="7685" max="7685" width="14.42578125" style="331" customWidth="1"/>
    <col min="7686" max="7686" width="9.140625" style="331"/>
    <col min="7687" max="7687" width="6.28515625" style="331" customWidth="1"/>
    <col min="7688" max="7688" width="10.28515625" style="331" customWidth="1"/>
    <col min="7689" max="7689" width="8.28515625" style="331" customWidth="1"/>
    <col min="7690" max="7690" width="5.42578125" style="331" customWidth="1"/>
    <col min="7691" max="7691" width="10.5703125" style="331" customWidth="1"/>
    <col min="7692" max="7692" width="7.5703125" style="331" customWidth="1"/>
    <col min="7693" max="7693" width="7.85546875" style="331" customWidth="1"/>
    <col min="7694" max="7940" width="9.140625" style="331"/>
    <col min="7941" max="7941" width="14.42578125" style="331" customWidth="1"/>
    <col min="7942" max="7942" width="9.140625" style="331"/>
    <col min="7943" max="7943" width="6.28515625" style="331" customWidth="1"/>
    <col min="7944" max="7944" width="10.28515625" style="331" customWidth="1"/>
    <col min="7945" max="7945" width="8.28515625" style="331" customWidth="1"/>
    <col min="7946" max="7946" width="5.42578125" style="331" customWidth="1"/>
    <col min="7947" max="7947" width="10.5703125" style="331" customWidth="1"/>
    <col min="7948" max="7948" width="7.5703125" style="331" customWidth="1"/>
    <col min="7949" max="7949" width="7.85546875" style="331" customWidth="1"/>
    <col min="7950" max="8196" width="9.140625" style="331"/>
    <col min="8197" max="8197" width="14.42578125" style="331" customWidth="1"/>
    <col min="8198" max="8198" width="9.140625" style="331"/>
    <col min="8199" max="8199" width="6.28515625" style="331" customWidth="1"/>
    <col min="8200" max="8200" width="10.28515625" style="331" customWidth="1"/>
    <col min="8201" max="8201" width="8.28515625" style="331" customWidth="1"/>
    <col min="8202" max="8202" width="5.42578125" style="331" customWidth="1"/>
    <col min="8203" max="8203" width="10.5703125" style="331" customWidth="1"/>
    <col min="8204" max="8204" width="7.5703125" style="331" customWidth="1"/>
    <col min="8205" max="8205" width="7.85546875" style="331" customWidth="1"/>
    <col min="8206" max="8452" width="9.140625" style="331"/>
    <col min="8453" max="8453" width="14.42578125" style="331" customWidth="1"/>
    <col min="8454" max="8454" width="9.140625" style="331"/>
    <col min="8455" max="8455" width="6.28515625" style="331" customWidth="1"/>
    <col min="8456" max="8456" width="10.28515625" style="331" customWidth="1"/>
    <col min="8457" max="8457" width="8.28515625" style="331" customWidth="1"/>
    <col min="8458" max="8458" width="5.42578125" style="331" customWidth="1"/>
    <col min="8459" max="8459" width="10.5703125" style="331" customWidth="1"/>
    <col min="8460" max="8460" width="7.5703125" style="331" customWidth="1"/>
    <col min="8461" max="8461" width="7.85546875" style="331" customWidth="1"/>
    <col min="8462" max="8708" width="9.140625" style="331"/>
    <col min="8709" max="8709" width="14.42578125" style="331" customWidth="1"/>
    <col min="8710" max="8710" width="9.140625" style="331"/>
    <col min="8711" max="8711" width="6.28515625" style="331" customWidth="1"/>
    <col min="8712" max="8712" width="10.28515625" style="331" customWidth="1"/>
    <col min="8713" max="8713" width="8.28515625" style="331" customWidth="1"/>
    <col min="8714" max="8714" width="5.42578125" style="331" customWidth="1"/>
    <col min="8715" max="8715" width="10.5703125" style="331" customWidth="1"/>
    <col min="8716" max="8716" width="7.5703125" style="331" customWidth="1"/>
    <col min="8717" max="8717" width="7.85546875" style="331" customWidth="1"/>
    <col min="8718" max="8964" width="9.140625" style="331"/>
    <col min="8965" max="8965" width="14.42578125" style="331" customWidth="1"/>
    <col min="8966" max="8966" width="9.140625" style="331"/>
    <col min="8967" max="8967" width="6.28515625" style="331" customWidth="1"/>
    <col min="8968" max="8968" width="10.28515625" style="331" customWidth="1"/>
    <col min="8969" max="8969" width="8.28515625" style="331" customWidth="1"/>
    <col min="8970" max="8970" width="5.42578125" style="331" customWidth="1"/>
    <col min="8971" max="8971" width="10.5703125" style="331" customWidth="1"/>
    <col min="8972" max="8972" width="7.5703125" style="331" customWidth="1"/>
    <col min="8973" max="8973" width="7.85546875" style="331" customWidth="1"/>
    <col min="8974" max="9220" width="9.140625" style="331"/>
    <col min="9221" max="9221" width="14.42578125" style="331" customWidth="1"/>
    <col min="9222" max="9222" width="9.140625" style="331"/>
    <col min="9223" max="9223" width="6.28515625" style="331" customWidth="1"/>
    <col min="9224" max="9224" width="10.28515625" style="331" customWidth="1"/>
    <col min="9225" max="9225" width="8.28515625" style="331" customWidth="1"/>
    <col min="9226" max="9226" width="5.42578125" style="331" customWidth="1"/>
    <col min="9227" max="9227" width="10.5703125" style="331" customWidth="1"/>
    <col min="9228" max="9228" width="7.5703125" style="331" customWidth="1"/>
    <col min="9229" max="9229" width="7.85546875" style="331" customWidth="1"/>
    <col min="9230" max="9476" width="9.140625" style="331"/>
    <col min="9477" max="9477" width="14.42578125" style="331" customWidth="1"/>
    <col min="9478" max="9478" width="9.140625" style="331"/>
    <col min="9479" max="9479" width="6.28515625" style="331" customWidth="1"/>
    <col min="9480" max="9480" width="10.28515625" style="331" customWidth="1"/>
    <col min="9481" max="9481" width="8.28515625" style="331" customWidth="1"/>
    <col min="9482" max="9482" width="5.42578125" style="331" customWidth="1"/>
    <col min="9483" max="9483" width="10.5703125" style="331" customWidth="1"/>
    <col min="9484" max="9484" width="7.5703125" style="331" customWidth="1"/>
    <col min="9485" max="9485" width="7.85546875" style="331" customWidth="1"/>
    <col min="9486" max="9732" width="9.140625" style="331"/>
    <col min="9733" max="9733" width="14.42578125" style="331" customWidth="1"/>
    <col min="9734" max="9734" width="9.140625" style="331"/>
    <col min="9735" max="9735" width="6.28515625" style="331" customWidth="1"/>
    <col min="9736" max="9736" width="10.28515625" style="331" customWidth="1"/>
    <col min="9737" max="9737" width="8.28515625" style="331" customWidth="1"/>
    <col min="9738" max="9738" width="5.42578125" style="331" customWidth="1"/>
    <col min="9739" max="9739" width="10.5703125" style="331" customWidth="1"/>
    <col min="9740" max="9740" width="7.5703125" style="331" customWidth="1"/>
    <col min="9741" max="9741" width="7.85546875" style="331" customWidth="1"/>
    <col min="9742" max="9988" width="9.140625" style="331"/>
    <col min="9989" max="9989" width="14.42578125" style="331" customWidth="1"/>
    <col min="9990" max="9990" width="9.140625" style="331"/>
    <col min="9991" max="9991" width="6.28515625" style="331" customWidth="1"/>
    <col min="9992" max="9992" width="10.28515625" style="331" customWidth="1"/>
    <col min="9993" max="9993" width="8.28515625" style="331" customWidth="1"/>
    <col min="9994" max="9994" width="5.42578125" style="331" customWidth="1"/>
    <col min="9995" max="9995" width="10.5703125" style="331" customWidth="1"/>
    <col min="9996" max="9996" width="7.5703125" style="331" customWidth="1"/>
    <col min="9997" max="9997" width="7.85546875" style="331" customWidth="1"/>
    <col min="9998" max="10244" width="9.140625" style="331"/>
    <col min="10245" max="10245" width="14.42578125" style="331" customWidth="1"/>
    <col min="10246" max="10246" width="9.140625" style="331"/>
    <col min="10247" max="10247" width="6.28515625" style="331" customWidth="1"/>
    <col min="10248" max="10248" width="10.28515625" style="331" customWidth="1"/>
    <col min="10249" max="10249" width="8.28515625" style="331" customWidth="1"/>
    <col min="10250" max="10250" width="5.42578125" style="331" customWidth="1"/>
    <col min="10251" max="10251" width="10.5703125" style="331" customWidth="1"/>
    <col min="10252" max="10252" width="7.5703125" style="331" customWidth="1"/>
    <col min="10253" max="10253" width="7.85546875" style="331" customWidth="1"/>
    <col min="10254" max="10500" width="9.140625" style="331"/>
    <col min="10501" max="10501" width="14.42578125" style="331" customWidth="1"/>
    <col min="10502" max="10502" width="9.140625" style="331"/>
    <col min="10503" max="10503" width="6.28515625" style="331" customWidth="1"/>
    <col min="10504" max="10504" width="10.28515625" style="331" customWidth="1"/>
    <col min="10505" max="10505" width="8.28515625" style="331" customWidth="1"/>
    <col min="10506" max="10506" width="5.42578125" style="331" customWidth="1"/>
    <col min="10507" max="10507" width="10.5703125" style="331" customWidth="1"/>
    <col min="10508" max="10508" width="7.5703125" style="331" customWidth="1"/>
    <col min="10509" max="10509" width="7.85546875" style="331" customWidth="1"/>
    <col min="10510" max="10756" width="9.140625" style="331"/>
    <col min="10757" max="10757" width="14.42578125" style="331" customWidth="1"/>
    <col min="10758" max="10758" width="9.140625" style="331"/>
    <col min="10759" max="10759" width="6.28515625" style="331" customWidth="1"/>
    <col min="10760" max="10760" width="10.28515625" style="331" customWidth="1"/>
    <col min="10761" max="10761" width="8.28515625" style="331" customWidth="1"/>
    <col min="10762" max="10762" width="5.42578125" style="331" customWidth="1"/>
    <col min="10763" max="10763" width="10.5703125" style="331" customWidth="1"/>
    <col min="10764" max="10764" width="7.5703125" style="331" customWidth="1"/>
    <col min="10765" max="10765" width="7.85546875" style="331" customWidth="1"/>
    <col min="10766" max="11012" width="9.140625" style="331"/>
    <col min="11013" max="11013" width="14.42578125" style="331" customWidth="1"/>
    <col min="11014" max="11014" width="9.140625" style="331"/>
    <col min="11015" max="11015" width="6.28515625" style="331" customWidth="1"/>
    <col min="11016" max="11016" width="10.28515625" style="331" customWidth="1"/>
    <col min="11017" max="11017" width="8.28515625" style="331" customWidth="1"/>
    <col min="11018" max="11018" width="5.42578125" style="331" customWidth="1"/>
    <col min="11019" max="11019" width="10.5703125" style="331" customWidth="1"/>
    <col min="11020" max="11020" width="7.5703125" style="331" customWidth="1"/>
    <col min="11021" max="11021" width="7.85546875" style="331" customWidth="1"/>
    <col min="11022" max="11268" width="9.140625" style="331"/>
    <col min="11269" max="11269" width="14.42578125" style="331" customWidth="1"/>
    <col min="11270" max="11270" width="9.140625" style="331"/>
    <col min="11271" max="11271" width="6.28515625" style="331" customWidth="1"/>
    <col min="11272" max="11272" width="10.28515625" style="331" customWidth="1"/>
    <col min="11273" max="11273" width="8.28515625" style="331" customWidth="1"/>
    <col min="11274" max="11274" width="5.42578125" style="331" customWidth="1"/>
    <col min="11275" max="11275" width="10.5703125" style="331" customWidth="1"/>
    <col min="11276" max="11276" width="7.5703125" style="331" customWidth="1"/>
    <col min="11277" max="11277" width="7.85546875" style="331" customWidth="1"/>
    <col min="11278" max="11524" width="9.140625" style="331"/>
    <col min="11525" max="11525" width="14.42578125" style="331" customWidth="1"/>
    <col min="11526" max="11526" width="9.140625" style="331"/>
    <col min="11527" max="11527" width="6.28515625" style="331" customWidth="1"/>
    <col min="11528" max="11528" width="10.28515625" style="331" customWidth="1"/>
    <col min="11529" max="11529" width="8.28515625" style="331" customWidth="1"/>
    <col min="11530" max="11530" width="5.42578125" style="331" customWidth="1"/>
    <col min="11531" max="11531" width="10.5703125" style="331" customWidth="1"/>
    <col min="11532" max="11532" width="7.5703125" style="331" customWidth="1"/>
    <col min="11533" max="11533" width="7.85546875" style="331" customWidth="1"/>
    <col min="11534" max="11780" width="9.140625" style="331"/>
    <col min="11781" max="11781" width="14.42578125" style="331" customWidth="1"/>
    <col min="11782" max="11782" width="9.140625" style="331"/>
    <col min="11783" max="11783" width="6.28515625" style="331" customWidth="1"/>
    <col min="11784" max="11784" width="10.28515625" style="331" customWidth="1"/>
    <col min="11785" max="11785" width="8.28515625" style="331" customWidth="1"/>
    <col min="11786" max="11786" width="5.42578125" style="331" customWidth="1"/>
    <col min="11787" max="11787" width="10.5703125" style="331" customWidth="1"/>
    <col min="11788" max="11788" width="7.5703125" style="331" customWidth="1"/>
    <col min="11789" max="11789" width="7.85546875" style="331" customWidth="1"/>
    <col min="11790" max="12036" width="9.140625" style="331"/>
    <col min="12037" max="12037" width="14.42578125" style="331" customWidth="1"/>
    <col min="12038" max="12038" width="9.140625" style="331"/>
    <col min="12039" max="12039" width="6.28515625" style="331" customWidth="1"/>
    <col min="12040" max="12040" width="10.28515625" style="331" customWidth="1"/>
    <col min="12041" max="12041" width="8.28515625" style="331" customWidth="1"/>
    <col min="12042" max="12042" width="5.42578125" style="331" customWidth="1"/>
    <col min="12043" max="12043" width="10.5703125" style="331" customWidth="1"/>
    <col min="12044" max="12044" width="7.5703125" style="331" customWidth="1"/>
    <col min="12045" max="12045" width="7.85546875" style="331" customWidth="1"/>
    <col min="12046" max="12292" width="9.140625" style="331"/>
    <col min="12293" max="12293" width="14.42578125" style="331" customWidth="1"/>
    <col min="12294" max="12294" width="9.140625" style="331"/>
    <col min="12295" max="12295" width="6.28515625" style="331" customWidth="1"/>
    <col min="12296" max="12296" width="10.28515625" style="331" customWidth="1"/>
    <col min="12297" max="12297" width="8.28515625" style="331" customWidth="1"/>
    <col min="12298" max="12298" width="5.42578125" style="331" customWidth="1"/>
    <col min="12299" max="12299" width="10.5703125" style="331" customWidth="1"/>
    <col min="12300" max="12300" width="7.5703125" style="331" customWidth="1"/>
    <col min="12301" max="12301" width="7.85546875" style="331" customWidth="1"/>
    <col min="12302" max="12548" width="9.140625" style="331"/>
    <col min="12549" max="12549" width="14.42578125" style="331" customWidth="1"/>
    <col min="12550" max="12550" width="9.140625" style="331"/>
    <col min="12551" max="12551" width="6.28515625" style="331" customWidth="1"/>
    <col min="12552" max="12552" width="10.28515625" style="331" customWidth="1"/>
    <col min="12553" max="12553" width="8.28515625" style="331" customWidth="1"/>
    <col min="12554" max="12554" width="5.42578125" style="331" customWidth="1"/>
    <col min="12555" max="12555" width="10.5703125" style="331" customWidth="1"/>
    <col min="12556" max="12556" width="7.5703125" style="331" customWidth="1"/>
    <col min="12557" max="12557" width="7.85546875" style="331" customWidth="1"/>
    <col min="12558" max="12804" width="9.140625" style="331"/>
    <col min="12805" max="12805" width="14.42578125" style="331" customWidth="1"/>
    <col min="12806" max="12806" width="9.140625" style="331"/>
    <col min="12807" max="12807" width="6.28515625" style="331" customWidth="1"/>
    <col min="12808" max="12808" width="10.28515625" style="331" customWidth="1"/>
    <col min="12809" max="12809" width="8.28515625" style="331" customWidth="1"/>
    <col min="12810" max="12810" width="5.42578125" style="331" customWidth="1"/>
    <col min="12811" max="12811" width="10.5703125" style="331" customWidth="1"/>
    <col min="12812" max="12812" width="7.5703125" style="331" customWidth="1"/>
    <col min="12813" max="12813" width="7.85546875" style="331" customWidth="1"/>
    <col min="12814" max="13060" width="9.140625" style="331"/>
    <col min="13061" max="13061" width="14.42578125" style="331" customWidth="1"/>
    <col min="13062" max="13062" width="9.140625" style="331"/>
    <col min="13063" max="13063" width="6.28515625" style="331" customWidth="1"/>
    <col min="13064" max="13064" width="10.28515625" style="331" customWidth="1"/>
    <col min="13065" max="13065" width="8.28515625" style="331" customWidth="1"/>
    <col min="13066" max="13066" width="5.42578125" style="331" customWidth="1"/>
    <col min="13067" max="13067" width="10.5703125" style="331" customWidth="1"/>
    <col min="13068" max="13068" width="7.5703125" style="331" customWidth="1"/>
    <col min="13069" max="13069" width="7.85546875" style="331" customWidth="1"/>
    <col min="13070" max="13316" width="9.140625" style="331"/>
    <col min="13317" max="13317" width="14.42578125" style="331" customWidth="1"/>
    <col min="13318" max="13318" width="9.140625" style="331"/>
    <col min="13319" max="13319" width="6.28515625" style="331" customWidth="1"/>
    <col min="13320" max="13320" width="10.28515625" style="331" customWidth="1"/>
    <col min="13321" max="13321" width="8.28515625" style="331" customWidth="1"/>
    <col min="13322" max="13322" width="5.42578125" style="331" customWidth="1"/>
    <col min="13323" max="13323" width="10.5703125" style="331" customWidth="1"/>
    <col min="13324" max="13324" width="7.5703125" style="331" customWidth="1"/>
    <col min="13325" max="13325" width="7.85546875" style="331" customWidth="1"/>
    <col min="13326" max="13572" width="9.140625" style="331"/>
    <col min="13573" max="13573" width="14.42578125" style="331" customWidth="1"/>
    <col min="13574" max="13574" width="9.140625" style="331"/>
    <col min="13575" max="13575" width="6.28515625" style="331" customWidth="1"/>
    <col min="13576" max="13576" width="10.28515625" style="331" customWidth="1"/>
    <col min="13577" max="13577" width="8.28515625" style="331" customWidth="1"/>
    <col min="13578" max="13578" width="5.42578125" style="331" customWidth="1"/>
    <col min="13579" max="13579" width="10.5703125" style="331" customWidth="1"/>
    <col min="13580" max="13580" width="7.5703125" style="331" customWidth="1"/>
    <col min="13581" max="13581" width="7.85546875" style="331" customWidth="1"/>
    <col min="13582" max="13828" width="9.140625" style="331"/>
    <col min="13829" max="13829" width="14.42578125" style="331" customWidth="1"/>
    <col min="13830" max="13830" width="9.140625" style="331"/>
    <col min="13831" max="13831" width="6.28515625" style="331" customWidth="1"/>
    <col min="13832" max="13832" width="10.28515625" style="331" customWidth="1"/>
    <col min="13833" max="13833" width="8.28515625" style="331" customWidth="1"/>
    <col min="13834" max="13834" width="5.42578125" style="331" customWidth="1"/>
    <col min="13835" max="13835" width="10.5703125" style="331" customWidth="1"/>
    <col min="13836" max="13836" width="7.5703125" style="331" customWidth="1"/>
    <col min="13837" max="13837" width="7.85546875" style="331" customWidth="1"/>
    <col min="13838" max="14084" width="9.140625" style="331"/>
    <col min="14085" max="14085" width="14.42578125" style="331" customWidth="1"/>
    <col min="14086" max="14086" width="9.140625" style="331"/>
    <col min="14087" max="14087" width="6.28515625" style="331" customWidth="1"/>
    <col min="14088" max="14088" width="10.28515625" style="331" customWidth="1"/>
    <col min="14089" max="14089" width="8.28515625" style="331" customWidth="1"/>
    <col min="14090" max="14090" width="5.42578125" style="331" customWidth="1"/>
    <col min="14091" max="14091" width="10.5703125" style="331" customWidth="1"/>
    <col min="14092" max="14092" width="7.5703125" style="331" customWidth="1"/>
    <col min="14093" max="14093" width="7.85546875" style="331" customWidth="1"/>
    <col min="14094" max="14340" width="9.140625" style="331"/>
    <col min="14341" max="14341" width="14.42578125" style="331" customWidth="1"/>
    <col min="14342" max="14342" width="9.140625" style="331"/>
    <col min="14343" max="14343" width="6.28515625" style="331" customWidth="1"/>
    <col min="14344" max="14344" width="10.28515625" style="331" customWidth="1"/>
    <col min="14345" max="14345" width="8.28515625" style="331" customWidth="1"/>
    <col min="14346" max="14346" width="5.42578125" style="331" customWidth="1"/>
    <col min="14347" max="14347" width="10.5703125" style="331" customWidth="1"/>
    <col min="14348" max="14348" width="7.5703125" style="331" customWidth="1"/>
    <col min="14349" max="14349" width="7.85546875" style="331" customWidth="1"/>
    <col min="14350" max="14596" width="9.140625" style="331"/>
    <col min="14597" max="14597" width="14.42578125" style="331" customWidth="1"/>
    <col min="14598" max="14598" width="9.140625" style="331"/>
    <col min="14599" max="14599" width="6.28515625" style="331" customWidth="1"/>
    <col min="14600" max="14600" width="10.28515625" style="331" customWidth="1"/>
    <col min="14601" max="14601" width="8.28515625" style="331" customWidth="1"/>
    <col min="14602" max="14602" width="5.42578125" style="331" customWidth="1"/>
    <col min="14603" max="14603" width="10.5703125" style="331" customWidth="1"/>
    <col min="14604" max="14604" width="7.5703125" style="331" customWidth="1"/>
    <col min="14605" max="14605" width="7.85546875" style="331" customWidth="1"/>
    <col min="14606" max="14852" width="9.140625" style="331"/>
    <col min="14853" max="14853" width="14.42578125" style="331" customWidth="1"/>
    <col min="14854" max="14854" width="9.140625" style="331"/>
    <col min="14855" max="14855" width="6.28515625" style="331" customWidth="1"/>
    <col min="14856" max="14856" width="10.28515625" style="331" customWidth="1"/>
    <col min="14857" max="14857" width="8.28515625" style="331" customWidth="1"/>
    <col min="14858" max="14858" width="5.42578125" style="331" customWidth="1"/>
    <col min="14859" max="14859" width="10.5703125" style="331" customWidth="1"/>
    <col min="14860" max="14860" width="7.5703125" style="331" customWidth="1"/>
    <col min="14861" max="14861" width="7.85546875" style="331" customWidth="1"/>
    <col min="14862" max="15108" width="9.140625" style="331"/>
    <col min="15109" max="15109" width="14.42578125" style="331" customWidth="1"/>
    <col min="15110" max="15110" width="9.140625" style="331"/>
    <col min="15111" max="15111" width="6.28515625" style="331" customWidth="1"/>
    <col min="15112" max="15112" width="10.28515625" style="331" customWidth="1"/>
    <col min="15113" max="15113" width="8.28515625" style="331" customWidth="1"/>
    <col min="15114" max="15114" width="5.42578125" style="331" customWidth="1"/>
    <col min="15115" max="15115" width="10.5703125" style="331" customWidth="1"/>
    <col min="15116" max="15116" width="7.5703125" style="331" customWidth="1"/>
    <col min="15117" max="15117" width="7.85546875" style="331" customWidth="1"/>
    <col min="15118" max="15364" width="9.140625" style="331"/>
    <col min="15365" max="15365" width="14.42578125" style="331" customWidth="1"/>
    <col min="15366" max="15366" width="9.140625" style="331"/>
    <col min="15367" max="15367" width="6.28515625" style="331" customWidth="1"/>
    <col min="15368" max="15368" width="10.28515625" style="331" customWidth="1"/>
    <col min="15369" max="15369" width="8.28515625" style="331" customWidth="1"/>
    <col min="15370" max="15370" width="5.42578125" style="331" customWidth="1"/>
    <col min="15371" max="15371" width="10.5703125" style="331" customWidth="1"/>
    <col min="15372" max="15372" width="7.5703125" style="331" customWidth="1"/>
    <col min="15373" max="15373" width="7.85546875" style="331" customWidth="1"/>
    <col min="15374" max="15620" width="9.140625" style="331"/>
    <col min="15621" max="15621" width="14.42578125" style="331" customWidth="1"/>
    <col min="15622" max="15622" width="9.140625" style="331"/>
    <col min="15623" max="15623" width="6.28515625" style="331" customWidth="1"/>
    <col min="15624" max="15624" width="10.28515625" style="331" customWidth="1"/>
    <col min="15625" max="15625" width="8.28515625" style="331" customWidth="1"/>
    <col min="15626" max="15626" width="5.42578125" style="331" customWidth="1"/>
    <col min="15627" max="15627" width="10.5703125" style="331" customWidth="1"/>
    <col min="15628" max="15628" width="7.5703125" style="331" customWidth="1"/>
    <col min="15629" max="15629" width="7.85546875" style="331" customWidth="1"/>
    <col min="15630" max="15876" width="9.140625" style="331"/>
    <col min="15877" max="15877" width="14.42578125" style="331" customWidth="1"/>
    <col min="15878" max="15878" width="9.140625" style="331"/>
    <col min="15879" max="15879" width="6.28515625" style="331" customWidth="1"/>
    <col min="15880" max="15880" width="10.28515625" style="331" customWidth="1"/>
    <col min="15881" max="15881" width="8.28515625" style="331" customWidth="1"/>
    <col min="15882" max="15882" width="5.42578125" style="331" customWidth="1"/>
    <col min="15883" max="15883" width="10.5703125" style="331" customWidth="1"/>
    <col min="15884" max="15884" width="7.5703125" style="331" customWidth="1"/>
    <col min="15885" max="15885" width="7.85546875" style="331" customWidth="1"/>
    <col min="15886" max="16132" width="9.140625" style="331"/>
    <col min="16133" max="16133" width="14.42578125" style="331" customWidth="1"/>
    <col min="16134" max="16134" width="9.140625" style="331"/>
    <col min="16135" max="16135" width="6.28515625" style="331" customWidth="1"/>
    <col min="16136" max="16136" width="10.28515625" style="331" customWidth="1"/>
    <col min="16137" max="16137" width="8.28515625" style="331" customWidth="1"/>
    <col min="16138" max="16138" width="5.42578125" style="331" customWidth="1"/>
    <col min="16139" max="16139" width="10.5703125" style="331" customWidth="1"/>
    <col min="16140" max="16140" width="7.5703125" style="331" customWidth="1"/>
    <col min="16141" max="16141" width="7.85546875" style="331" customWidth="1"/>
    <col min="16142" max="16384" width="9.140625" style="331"/>
  </cols>
  <sheetData>
    <row r="1" spans="2:23" s="329" customFormat="1" ht="178.5">
      <c r="C1" s="330" t="s">
        <v>581</v>
      </c>
      <c r="D1" s="330"/>
      <c r="E1" s="330" t="s">
        <v>582</v>
      </c>
      <c r="F1" s="330"/>
      <c r="G1" s="330"/>
      <c r="H1" s="330" t="s">
        <v>583</v>
      </c>
      <c r="I1" s="330"/>
      <c r="J1" s="330"/>
      <c r="K1" s="330" t="s">
        <v>584</v>
      </c>
      <c r="L1" s="330"/>
      <c r="M1" s="330"/>
      <c r="N1" s="330" t="s">
        <v>585</v>
      </c>
      <c r="O1" s="330"/>
      <c r="P1" s="330"/>
      <c r="Q1" s="330" t="s">
        <v>586</v>
      </c>
      <c r="R1" s="330"/>
    </row>
    <row r="2" spans="2:23">
      <c r="C2" s="332" t="s">
        <v>587</v>
      </c>
      <c r="D2" s="332"/>
      <c r="E2" s="333" t="s">
        <v>588</v>
      </c>
      <c r="H2" s="334" t="s">
        <v>589</v>
      </c>
    </row>
    <row r="3" spans="2:23">
      <c r="B3" s="335" t="s">
        <v>590</v>
      </c>
      <c r="C3" s="336">
        <v>7.28</v>
      </c>
      <c r="D3" s="335">
        <f>10*C3</f>
        <v>72.8</v>
      </c>
      <c r="E3" s="336">
        <v>11.65</v>
      </c>
      <c r="F3" s="335">
        <f>10*E3</f>
        <v>116.5</v>
      </c>
      <c r="G3" s="335"/>
      <c r="H3" s="336">
        <v>9.82</v>
      </c>
      <c r="I3" s="335">
        <f>10*H3</f>
        <v>98.2</v>
      </c>
      <c r="J3" s="335"/>
      <c r="K3" s="336">
        <v>13.1</v>
      </c>
      <c r="L3" s="335">
        <f>10*K3</f>
        <v>131</v>
      </c>
      <c r="M3" s="335"/>
      <c r="N3" s="336">
        <v>16.37</v>
      </c>
      <c r="O3" s="335">
        <f>10*N3</f>
        <v>163.70000000000002</v>
      </c>
      <c r="P3" s="335"/>
      <c r="Q3" s="336">
        <v>7.99</v>
      </c>
      <c r="R3" s="337">
        <f>10*Q3</f>
        <v>79.900000000000006</v>
      </c>
      <c r="S3" s="335"/>
    </row>
    <row r="4" spans="2:23">
      <c r="B4" s="338" t="s">
        <v>591</v>
      </c>
      <c r="C4" s="336">
        <v>6.23</v>
      </c>
      <c r="D4" s="335">
        <f>+D3+10*C4</f>
        <v>135.1</v>
      </c>
      <c r="E4" s="336">
        <v>9.9600000000000009</v>
      </c>
      <c r="F4" s="335">
        <f>+F3+10*E4</f>
        <v>216.10000000000002</v>
      </c>
      <c r="G4" s="335"/>
      <c r="H4" s="339">
        <v>8.41</v>
      </c>
      <c r="I4" s="335">
        <f>+I3+10*H4</f>
        <v>182.3</v>
      </c>
      <c r="J4" s="335"/>
      <c r="K4" s="336">
        <v>11.22</v>
      </c>
      <c r="L4" s="335">
        <f>+L3+10*K4</f>
        <v>243.2</v>
      </c>
      <c r="M4" s="335"/>
      <c r="N4" s="340">
        <v>14.02</v>
      </c>
      <c r="O4" s="335">
        <f>+O3+10*N4</f>
        <v>303.89999999999998</v>
      </c>
      <c r="P4" s="335"/>
      <c r="Q4" s="336">
        <v>6.84</v>
      </c>
      <c r="R4" s="335">
        <f>+R3+10*Q4</f>
        <v>148.30000000000001</v>
      </c>
      <c r="S4" s="335"/>
    </row>
    <row r="5" spans="2:23">
      <c r="B5" s="335" t="s">
        <v>592</v>
      </c>
      <c r="C5" s="336">
        <v>5.36</v>
      </c>
      <c r="D5" s="335">
        <f>+D4+20*C5</f>
        <v>242.3</v>
      </c>
      <c r="E5" s="336">
        <v>8.57</v>
      </c>
      <c r="F5" s="335">
        <f>+F4+20*E5</f>
        <v>387.5</v>
      </c>
      <c r="G5" s="335"/>
      <c r="H5" s="336">
        <v>7.22</v>
      </c>
      <c r="I5" s="335">
        <f>+I4+20*H5</f>
        <v>326.70000000000005</v>
      </c>
      <c r="J5" s="335"/>
      <c r="K5" s="336">
        <v>9.65</v>
      </c>
      <c r="L5" s="335">
        <f>+L4+20*K5</f>
        <v>436.2</v>
      </c>
      <c r="M5" s="335"/>
      <c r="N5" s="336">
        <v>12.05</v>
      </c>
      <c r="O5" s="335">
        <f>+O4+20*N5</f>
        <v>544.9</v>
      </c>
      <c r="P5" s="335"/>
      <c r="Q5" s="336">
        <v>5.9</v>
      </c>
      <c r="R5" s="335">
        <f>+R4+20*Q5</f>
        <v>266.3</v>
      </c>
      <c r="S5" s="335"/>
    </row>
    <row r="6" spans="2:23">
      <c r="B6" s="335" t="s">
        <v>593</v>
      </c>
      <c r="C6" s="336">
        <v>4.6100000000000003</v>
      </c>
      <c r="D6" s="335">
        <f>+D5+40*C6</f>
        <v>426.70000000000005</v>
      </c>
      <c r="E6" s="336">
        <v>8.0399999999999991</v>
      </c>
      <c r="F6" s="335">
        <f>+F5+40*E6</f>
        <v>709.09999999999991</v>
      </c>
      <c r="G6" s="335"/>
      <c r="H6" s="336">
        <v>6.23</v>
      </c>
      <c r="I6" s="335">
        <f>+I5+40*H6</f>
        <v>575.90000000000009</v>
      </c>
      <c r="J6" s="335"/>
      <c r="K6" s="336">
        <v>8.31</v>
      </c>
      <c r="L6" s="335">
        <f>+L5+40*K6</f>
        <v>768.6</v>
      </c>
      <c r="M6" s="335"/>
      <c r="N6" s="336">
        <v>10.4</v>
      </c>
      <c r="O6" s="335">
        <f>+O5+40*N6</f>
        <v>960.9</v>
      </c>
      <c r="P6" s="335"/>
      <c r="Q6" s="336">
        <v>5.09</v>
      </c>
      <c r="R6" s="335">
        <f>+R5+40*Q6</f>
        <v>469.9</v>
      </c>
      <c r="S6" s="335"/>
    </row>
    <row r="7" spans="2:23">
      <c r="B7" s="335" t="s">
        <v>594</v>
      </c>
      <c r="C7" s="336">
        <v>4.21</v>
      </c>
      <c r="D7" s="335"/>
      <c r="E7" s="336">
        <v>6.74</v>
      </c>
      <c r="F7" s="335"/>
      <c r="G7" s="335"/>
      <c r="H7" s="336">
        <v>5.7</v>
      </c>
      <c r="I7" s="335"/>
      <c r="J7" s="335"/>
      <c r="K7" s="336">
        <v>7.59</v>
      </c>
      <c r="L7" s="335"/>
      <c r="M7" s="335"/>
      <c r="N7" s="336">
        <v>9.49</v>
      </c>
      <c r="O7" s="335"/>
      <c r="P7" s="335"/>
      <c r="Q7" s="336">
        <v>4.6399999999999997</v>
      </c>
      <c r="R7" s="335"/>
      <c r="S7" s="335"/>
    </row>
    <row r="8" spans="2:23">
      <c r="B8" s="335"/>
      <c r="C8" s="335"/>
      <c r="D8" s="335"/>
      <c r="E8" s="335"/>
      <c r="F8" s="335"/>
      <c r="G8" s="335"/>
      <c r="H8" s="335"/>
      <c r="I8" s="335"/>
      <c r="J8" s="335"/>
      <c r="K8" s="335"/>
      <c r="L8" s="335"/>
      <c r="M8" s="335"/>
      <c r="N8" s="335"/>
      <c r="O8" s="335"/>
      <c r="P8" s="335"/>
      <c r="Q8" s="335"/>
      <c r="R8" s="335"/>
      <c r="S8" s="335"/>
    </row>
    <row r="9" spans="2:23">
      <c r="B9" s="335"/>
      <c r="C9" s="341"/>
      <c r="D9" s="341"/>
      <c r="E9" s="335"/>
      <c r="F9" s="335"/>
      <c r="G9" s="335"/>
      <c r="H9" s="335"/>
      <c r="I9" s="335"/>
      <c r="J9" s="335"/>
      <c r="K9" s="335"/>
      <c r="L9" s="335"/>
      <c r="M9" s="335"/>
      <c r="N9" s="335"/>
      <c r="O9" s="335"/>
      <c r="P9" s="335"/>
      <c r="Q9" s="335"/>
      <c r="R9" s="335"/>
      <c r="S9" s="335"/>
    </row>
    <row r="10" spans="2:23">
      <c r="B10" s="335"/>
      <c r="C10" s="335" t="s">
        <v>595</v>
      </c>
      <c r="D10" s="335"/>
      <c r="E10" s="335">
        <v>18</v>
      </c>
      <c r="F10" s="337">
        <f>IF(E10&lt;11,E10*$E$3,IF(E10&lt;21,($F$3+(E10-10)*$E$4),IF(E10&lt;41,$F$4+(E10-20)*$E$5,IF(E10&lt;81,($F$5+(E10-40)*$E$6),$F$6+(E10-80)*$E$7))))</f>
        <v>196.18</v>
      </c>
      <c r="G10" s="335"/>
      <c r="H10" s="335">
        <v>37</v>
      </c>
      <c r="I10" s="335">
        <f>IF(H10&lt;11,H10*$H$3,IF(H10&lt;21,($I$3+(H10-10)*$H$4),IF(H10&lt;41,$I$4+(H10-20)*$H$5,IF(H10&lt;81,($I$5+(H10-40)*$H$6),$I$6+(H10-80)*$H$7))))</f>
        <v>305.04000000000002</v>
      </c>
      <c r="J10" s="335"/>
      <c r="K10" s="335"/>
      <c r="L10" s="335"/>
      <c r="M10" s="342" t="s">
        <v>596</v>
      </c>
      <c r="N10" s="335">
        <f>H10</f>
        <v>37</v>
      </c>
      <c r="O10" s="335">
        <f>IF(N10&lt;11,N10*$N$3,IF(N10&lt;21,($O$3+(N10-10)*$N$4),IF(N10&lt;41,$O$4+(N10-20)*$N$5,IF(N10&lt;81,($O$5+(N10-40)*$N$6),$O$6+(N10-80)*$N$7))))</f>
        <v>508.75</v>
      </c>
      <c r="P10" s="335"/>
      <c r="Q10" s="335">
        <f>N10</f>
        <v>37</v>
      </c>
      <c r="R10" s="335">
        <f>IF(Q10&lt;11,Q10*$Q$3,IF(Q10&lt;21,($R$3+(Q10-10)*$Q$4),IF(Q10&lt;41,$R$4+(Q10-20)*$Q$5,IF(Q10&lt;81,($R$5+(Q10-40)*$Q$6),$R$6+(Q10-80)*$Q$7))))</f>
        <v>248.60000000000002</v>
      </c>
      <c r="S10" s="335" t="s">
        <v>597</v>
      </c>
    </row>
    <row r="11" spans="2:23">
      <c r="B11" s="335"/>
      <c r="C11" s="335" t="s">
        <v>598</v>
      </c>
      <c r="D11" s="335"/>
      <c r="E11" s="335">
        <v>25</v>
      </c>
      <c r="F11" s="337">
        <f>IF(E11&lt;11,E11*$E$3,(IF(E11&lt;21,($F$3+(E11-10)*$E$4),(IF(E11&lt;41,$F$4+(E11-20)*$E$5,IF(E11&lt;81,($F$5+(E11-40)*$E$6),$F$6+(E11-80)*$E$7))))))</f>
        <v>258.95000000000005</v>
      </c>
      <c r="G11" s="335"/>
      <c r="H11" s="335"/>
      <c r="I11" s="335">
        <f>IF(H11&lt;11,H11*$H$3,IF(H11&lt;21,($I$3+(H11-10)*$H$4),IF(H11&lt;41,$I$4+(H11-20)*$H$5,IF(H11&lt;81,($I$5+(H11-40)*$H$6),$I$6+(H11-80)*$H$7))))</f>
        <v>0</v>
      </c>
      <c r="J11" s="335"/>
      <c r="K11" s="335">
        <v>37</v>
      </c>
      <c r="L11" s="335">
        <f>IF(K11&lt;11,K11*$K$3,IF(K11&lt;21,($L$3+(K11-10)*$K$4),IF(K11&lt;41,$L$4+(K11-20)*$K$5,IF(K11&lt;81,($L$5+(K11-40)*$K$6),$L$6+(K11-80)*$K$7))))/2</f>
        <v>203.625</v>
      </c>
      <c r="M11" s="343" t="s">
        <v>599</v>
      </c>
      <c r="N11" s="335"/>
      <c r="O11" s="335"/>
      <c r="P11" s="335"/>
      <c r="Q11" s="335">
        <v>0</v>
      </c>
      <c r="R11" s="335">
        <f>IF(Q11&lt;11,Q11*$Q$3,IF(Q11&lt;21,($R$3+(Q11-10)*$Q$4),IF(Q11&lt;41,$R$4+(Q11-20)*$Q$5,IF(Q11&lt;81,($R$5+(Q11-40)*$Q$6),$R$6+(Q11-80)*$Q$7))))</f>
        <v>0</v>
      </c>
      <c r="S11" s="335" t="s">
        <v>600</v>
      </c>
      <c r="U11" s="335" t="s">
        <v>601</v>
      </c>
    </row>
    <row r="12" spans="2:23" ht="22.5">
      <c r="B12" s="335"/>
      <c r="C12" s="342" t="s">
        <v>602</v>
      </c>
      <c r="D12" s="342"/>
      <c r="E12" s="335">
        <v>18</v>
      </c>
      <c r="F12" s="335">
        <f>IF(E12&lt;11,E12*$E$3,(IF(E12&lt;21,($F$3+(E12-10)*$E$4),(IF(E12&lt;41,$F$4+(E12-20)*$E$5,IF(E12&lt;81,($F$5+(E12-40)*$E$6),$F$6+(E12-80)*$E$7))))))</f>
        <v>196.18</v>
      </c>
      <c r="G12" s="335"/>
      <c r="H12" s="335"/>
      <c r="I12" s="335"/>
      <c r="J12" s="335"/>
      <c r="K12" s="335">
        <v>0</v>
      </c>
      <c r="L12" s="335">
        <f>IF(K12&lt;11,K12*$K$3,IF(K12&lt;21,($L$3+(K12-10)*$K$4),IF(K12&lt;41,$L$4+(K12-20)*$K$5,IF(K12&lt;81,($L$5+(K12-40)*$K$6),$L$6+(K12-80)*$K$7))))/2</f>
        <v>0</v>
      </c>
      <c r="M12" s="335"/>
      <c r="N12" s="335"/>
      <c r="O12" s="335">
        <f>90+77.5+6.85*20+5.7*23</f>
        <v>435.6</v>
      </c>
      <c r="P12" s="335"/>
      <c r="Q12" s="335">
        <v>37</v>
      </c>
      <c r="R12" s="335">
        <f>IF(Q12&lt;11,Q12*$Q$3,IF(Q12&lt;21,($R$3+(Q12-10)*$Q$4),IF(Q12&lt;41,$R$4+(Q12-20)*$Q$5,IF(Q12&lt;81,($R$5+(Q12-40)*$Q$6),$R$6+(Q12-80)*$Q$7))))</f>
        <v>248.60000000000002</v>
      </c>
      <c r="S12" s="335" t="s">
        <v>603</v>
      </c>
      <c r="U12" s="331">
        <f>8.69*6</f>
        <v>52.14</v>
      </c>
      <c r="V12" s="334" t="s">
        <v>604</v>
      </c>
    </row>
    <row r="13" spans="2:23">
      <c r="B13" s="335"/>
      <c r="C13" s="335" t="s">
        <v>605</v>
      </c>
      <c r="D13" s="335"/>
      <c r="E13" s="335">
        <v>37</v>
      </c>
      <c r="F13" s="337">
        <f>IF(E13&lt;11,E13*$E$3,(IF(E13&lt;21,($F$3+(E13-10)*$E$4),(IF(E13&lt;41,$F$4+(E13-20)*$E$5,IF(E13&lt;81,($F$5+(E13-40)*$E$6),$F$6+(E13-80)*$E$7))))))</f>
        <v>361.79</v>
      </c>
      <c r="G13" s="335"/>
      <c r="H13" s="335"/>
      <c r="I13" s="335"/>
      <c r="J13" s="335"/>
      <c r="K13" s="335"/>
      <c r="L13" s="335"/>
      <c r="M13" s="335"/>
      <c r="N13" s="335"/>
      <c r="O13" s="335"/>
      <c r="P13" s="335"/>
      <c r="Q13" s="335">
        <v>18</v>
      </c>
      <c r="R13" s="335">
        <f>IF(Q13&lt;11,Q13*$Q$3,IF(Q13&lt;21,($R$3+(Q13-10)*$Q$4),IF(Q13&lt;41,$R$4+(Q13-20)*$Q$5,IF(Q13&lt;81,($R$5+(Q13-40)*$Q$6),$R$6+(Q13-80)*$Q$7))))</f>
        <v>134.62</v>
      </c>
      <c r="S13" s="335" t="s">
        <v>606</v>
      </c>
    </row>
    <row r="14" spans="2:23">
      <c r="B14" s="335"/>
      <c r="C14" s="335" t="s">
        <v>306</v>
      </c>
      <c r="D14" s="335"/>
      <c r="E14" s="335">
        <v>37</v>
      </c>
      <c r="F14" s="335">
        <f>IF(E14&lt;11,E14*$C$3,(IF(E14&lt;21,($D$3+(E14-10)*$C$4),(IF(E14&lt;41,$D$4+(E14-20)*$C$5,IF(E14&lt;81,($D$5+(E14-40)*$C$6),$D$6+(E14-80)*$C$7))))))</f>
        <v>226.22</v>
      </c>
      <c r="G14" s="335"/>
      <c r="H14" s="335"/>
      <c r="I14" s="335"/>
      <c r="J14" s="335"/>
      <c r="K14" s="335"/>
      <c r="L14" s="335"/>
      <c r="M14" s="335"/>
      <c r="N14" s="335"/>
      <c r="O14" s="335"/>
      <c r="P14" s="335"/>
      <c r="Q14" s="335"/>
      <c r="R14" s="335"/>
      <c r="S14" s="335"/>
      <c r="U14" s="335" t="s">
        <v>114</v>
      </c>
      <c r="V14" s="331">
        <f>8.69+7.44+6.4+6</f>
        <v>28.53</v>
      </c>
      <c r="W14" s="331">
        <f>V14*44</f>
        <v>1255.3200000000002</v>
      </c>
    </row>
    <row r="15" spans="2:23">
      <c r="B15" s="335"/>
      <c r="C15" s="335" t="s">
        <v>607</v>
      </c>
      <c r="D15" s="335"/>
      <c r="E15" s="335">
        <v>37</v>
      </c>
      <c r="F15" s="335">
        <f>IF(E15&lt;11,E15*$C$3,(IF(E15&lt;21,($D$3+(E15-10)*$C$4),(IF(E15&lt;41,$D$4+(E15-20)*$C$5,IF(E15&lt;81,($D$5+(E15-40)*$C$6),$D$6+(E15-80)*$C$7))))))</f>
        <v>226.22</v>
      </c>
      <c r="G15" s="335"/>
      <c r="H15" s="335"/>
      <c r="I15" s="335"/>
      <c r="J15" s="335"/>
      <c r="K15" s="335"/>
      <c r="L15" s="335"/>
      <c r="M15" s="335"/>
      <c r="N15" s="335"/>
      <c r="O15" s="335"/>
      <c r="P15" s="335"/>
      <c r="Q15" s="335"/>
      <c r="R15" s="335"/>
      <c r="S15" s="335"/>
    </row>
    <row r="16" spans="2:23">
      <c r="B16" s="335"/>
      <c r="C16" s="335" t="s">
        <v>608</v>
      </c>
      <c r="D16" s="335"/>
      <c r="E16" s="335">
        <v>37</v>
      </c>
      <c r="F16" s="337">
        <f t="shared" ref="F16:F21" si="0">IF(E16&lt;11,E16*$E$3,(IF(E16&lt;21,($F$3+(E16-10)*$E$4),(IF(E16&lt;41,$F$4+(E16-20)*$E$5,IF(E16&lt;81,($F$5+(E16-40)*$E$6),$F$6+(E16-80)*$E$7))))))</f>
        <v>361.79</v>
      </c>
      <c r="G16" s="335"/>
      <c r="H16" s="335"/>
      <c r="I16" s="335"/>
      <c r="J16" s="335"/>
      <c r="K16" s="335"/>
      <c r="L16" s="335"/>
      <c r="M16" s="335"/>
      <c r="N16" s="335"/>
      <c r="O16" s="335"/>
      <c r="P16" s="335"/>
      <c r="Q16" s="335"/>
      <c r="R16" s="335"/>
      <c r="S16" s="335"/>
      <c r="V16" s="331">
        <f>8.69*10</f>
        <v>86.899999999999991</v>
      </c>
    </row>
    <row r="17" spans="1:22">
      <c r="B17" s="335"/>
      <c r="C17" s="335"/>
      <c r="D17" s="335"/>
      <c r="E17" s="335">
        <v>0</v>
      </c>
      <c r="F17" s="335">
        <f t="shared" si="0"/>
        <v>0</v>
      </c>
      <c r="G17" s="335"/>
      <c r="H17" s="335"/>
      <c r="I17" s="335"/>
      <c r="J17" s="335"/>
      <c r="K17" s="335"/>
      <c r="L17" s="335"/>
      <c r="M17" s="335"/>
      <c r="N17" s="335"/>
      <c r="O17" s="335"/>
      <c r="P17" s="335"/>
      <c r="Q17" s="335"/>
      <c r="R17" s="335"/>
      <c r="S17" s="335"/>
      <c r="V17" s="331">
        <f>7.44*10</f>
        <v>74.400000000000006</v>
      </c>
    </row>
    <row r="18" spans="1:22">
      <c r="B18" s="335"/>
      <c r="C18" s="335"/>
      <c r="D18" s="335"/>
      <c r="E18" s="335">
        <v>0</v>
      </c>
      <c r="F18" s="335">
        <f t="shared" si="0"/>
        <v>0</v>
      </c>
      <c r="G18" s="335"/>
      <c r="H18" s="337"/>
      <c r="I18" s="337">
        <f>(H18+H19)/2</f>
        <v>0</v>
      </c>
      <c r="J18" s="335"/>
      <c r="K18" s="335"/>
      <c r="L18" s="335"/>
      <c r="M18" s="335"/>
      <c r="N18" s="335"/>
      <c r="O18" s="335"/>
      <c r="P18" s="335"/>
      <c r="Q18" s="335"/>
      <c r="R18" s="335"/>
      <c r="S18" s="335"/>
      <c r="V18" s="331">
        <f>6.4*20</f>
        <v>128</v>
      </c>
    </row>
    <row r="19" spans="1:22">
      <c r="B19" s="335"/>
      <c r="C19" s="335"/>
      <c r="D19" s="335"/>
      <c r="E19" s="335">
        <v>0</v>
      </c>
      <c r="F19" s="335">
        <f t="shared" si="0"/>
        <v>0</v>
      </c>
      <c r="G19" s="335"/>
      <c r="H19" s="337"/>
      <c r="I19" s="335">
        <f>15+20+25+0.2</f>
        <v>60.2</v>
      </c>
      <c r="J19" s="335"/>
      <c r="K19" s="335"/>
      <c r="L19" s="335"/>
      <c r="M19" s="335"/>
      <c r="N19" s="335"/>
      <c r="O19" s="335"/>
      <c r="P19" s="335"/>
      <c r="Q19" s="335"/>
      <c r="R19" s="335"/>
      <c r="S19" s="335"/>
      <c r="V19" s="331">
        <f>6*4</f>
        <v>24</v>
      </c>
    </row>
    <row r="20" spans="1:22">
      <c r="B20" s="335"/>
      <c r="C20" s="335"/>
      <c r="D20" s="335"/>
      <c r="E20" s="335">
        <v>0</v>
      </c>
      <c r="F20" s="335">
        <f t="shared" si="0"/>
        <v>0</v>
      </c>
      <c r="G20" s="335"/>
      <c r="H20" s="337"/>
      <c r="I20" s="335"/>
      <c r="J20" s="335"/>
      <c r="K20" s="335"/>
      <c r="L20" s="335"/>
      <c r="M20" s="335"/>
      <c r="N20" s="335"/>
      <c r="O20" s="335"/>
      <c r="P20" s="335"/>
      <c r="Q20" s="335"/>
      <c r="R20" s="335"/>
      <c r="S20" s="335"/>
      <c r="V20" s="334">
        <f>SUM(V16:V19)</f>
        <v>313.3</v>
      </c>
    </row>
    <row r="21" spans="1:22">
      <c r="E21" s="335">
        <v>0</v>
      </c>
      <c r="F21" s="331">
        <f t="shared" si="0"/>
        <v>0</v>
      </c>
      <c r="H21" s="344"/>
    </row>
    <row r="22" spans="1:22">
      <c r="H22" s="344"/>
    </row>
    <row r="23" spans="1:22">
      <c r="B23" s="345" t="s">
        <v>609</v>
      </c>
      <c r="C23" s="345"/>
      <c r="D23" s="345"/>
      <c r="E23" s="345"/>
      <c r="F23" s="345"/>
      <c r="G23" s="346"/>
      <c r="H23" s="345"/>
      <c r="I23" s="345"/>
      <c r="J23" s="345"/>
      <c r="K23" s="345"/>
      <c r="L23" s="345"/>
      <c r="M23" s="345"/>
      <c r="N23" s="345"/>
      <c r="O23" s="345"/>
      <c r="P23" s="345"/>
      <c r="Q23" s="345"/>
    </row>
    <row r="24" spans="1:22">
      <c r="B24" s="347">
        <v>14.56</v>
      </c>
      <c r="C24" s="345">
        <f>10*B24</f>
        <v>145.6</v>
      </c>
      <c r="D24" s="347">
        <v>23.3</v>
      </c>
      <c r="E24" s="345">
        <f>10*D24</f>
        <v>233</v>
      </c>
      <c r="F24" s="345"/>
      <c r="G24" s="347">
        <v>19.64</v>
      </c>
      <c r="H24" s="345">
        <f>10*G24</f>
        <v>196.4</v>
      </c>
      <c r="I24" s="345"/>
      <c r="J24" s="347">
        <v>26.2</v>
      </c>
      <c r="K24" s="345">
        <f>10*J24</f>
        <v>262</v>
      </c>
      <c r="L24" s="345"/>
      <c r="M24" s="347">
        <v>32.74</v>
      </c>
      <c r="N24" s="345">
        <f>10*M24</f>
        <v>327.40000000000003</v>
      </c>
      <c r="O24" s="345"/>
      <c r="P24" s="347">
        <v>15.98</v>
      </c>
      <c r="Q24" s="346">
        <f>10*P24</f>
        <v>159.80000000000001</v>
      </c>
    </row>
    <row r="25" spans="1:22">
      <c r="B25" s="347">
        <v>12.46</v>
      </c>
      <c r="C25" s="345">
        <f>+C24+10*B25</f>
        <v>270.2</v>
      </c>
      <c r="D25" s="347">
        <v>19.920000000000002</v>
      </c>
      <c r="E25" s="345">
        <f>+E24+10*D25</f>
        <v>432.20000000000005</v>
      </c>
      <c r="F25" s="345"/>
      <c r="G25" s="347">
        <v>16.82</v>
      </c>
      <c r="H25" s="345">
        <f>+H24+10*G25</f>
        <v>364.6</v>
      </c>
      <c r="I25" s="345"/>
      <c r="J25" s="347">
        <v>22.44</v>
      </c>
      <c r="K25" s="345">
        <f>+K24+10*J25</f>
        <v>486.4</v>
      </c>
      <c r="L25" s="345"/>
      <c r="M25" s="348">
        <v>28.04</v>
      </c>
      <c r="N25" s="345">
        <f>+N24+10*M25</f>
        <v>607.79999999999995</v>
      </c>
      <c r="O25" s="345"/>
      <c r="P25" s="347">
        <v>13.68</v>
      </c>
      <c r="Q25" s="345">
        <f>+Q24+10*P25</f>
        <v>296.60000000000002</v>
      </c>
    </row>
    <row r="26" spans="1:22">
      <c r="B26" s="347">
        <v>10.72</v>
      </c>
      <c r="C26" s="345">
        <f>+C25+20*B26</f>
        <v>484.6</v>
      </c>
      <c r="D26" s="347">
        <v>17.14</v>
      </c>
      <c r="E26" s="345">
        <f>+E25+20*D26</f>
        <v>775</v>
      </c>
      <c r="F26" s="345"/>
      <c r="G26" s="347">
        <v>14.44</v>
      </c>
      <c r="H26" s="345">
        <f>+H25+20*G26</f>
        <v>653.40000000000009</v>
      </c>
      <c r="I26" s="345"/>
      <c r="J26" s="347">
        <v>19.3</v>
      </c>
      <c r="K26" s="345">
        <f>+K25+20*J26</f>
        <v>872.4</v>
      </c>
      <c r="L26" s="345"/>
      <c r="M26" s="347">
        <v>24.1</v>
      </c>
      <c r="N26" s="345">
        <f>+N25+20*M26</f>
        <v>1089.8</v>
      </c>
      <c r="O26" s="345"/>
      <c r="P26" s="347">
        <v>11.8</v>
      </c>
      <c r="Q26" s="345">
        <f>+Q25+20*P26</f>
        <v>532.6</v>
      </c>
    </row>
    <row r="27" spans="1:22">
      <c r="B27" s="347">
        <v>9.2200000000000006</v>
      </c>
      <c r="C27" s="345">
        <f>+C26+40*B27</f>
        <v>853.40000000000009</v>
      </c>
      <c r="D27" s="347">
        <v>16.079999999999998</v>
      </c>
      <c r="E27" s="345">
        <f>+E26+40*D27</f>
        <v>1418.1999999999998</v>
      </c>
      <c r="F27" s="345"/>
      <c r="G27" s="347">
        <v>12.46</v>
      </c>
      <c r="H27" s="345">
        <f>+H26+40*G27</f>
        <v>1151.8000000000002</v>
      </c>
      <c r="I27" s="345"/>
      <c r="J27" s="347">
        <v>16.62</v>
      </c>
      <c r="K27" s="345">
        <f>+K26+40*J27</f>
        <v>1537.2</v>
      </c>
      <c r="L27" s="345"/>
      <c r="M27" s="347">
        <v>20.8</v>
      </c>
      <c r="N27" s="345">
        <f>+N26+40*M27</f>
        <v>1921.8</v>
      </c>
      <c r="O27" s="345"/>
      <c r="P27" s="347">
        <v>10.18</v>
      </c>
      <c r="Q27" s="345">
        <f>+Q26+40*P27</f>
        <v>939.8</v>
      </c>
    </row>
    <row r="28" spans="1:22">
      <c r="B28" s="347">
        <v>8.42</v>
      </c>
      <c r="C28" s="345">
        <f>+C27+40*B28</f>
        <v>1190.2</v>
      </c>
      <c r="D28" s="347">
        <v>13.48</v>
      </c>
      <c r="E28" s="345">
        <f>+E27+40*D28</f>
        <v>1957.3999999999999</v>
      </c>
      <c r="F28" s="345"/>
      <c r="G28" s="347">
        <v>11.4</v>
      </c>
      <c r="H28" s="345">
        <f>+H27+40*G28</f>
        <v>1607.8000000000002</v>
      </c>
      <c r="I28" s="345"/>
      <c r="J28" s="347">
        <v>15.18</v>
      </c>
      <c r="K28" s="345">
        <f>+K27+40*J28</f>
        <v>2144.4</v>
      </c>
      <c r="L28" s="345"/>
      <c r="M28" s="347">
        <v>18.98</v>
      </c>
      <c r="N28" s="345">
        <f>+N27+40*M28</f>
        <v>2681</v>
      </c>
      <c r="O28" s="345"/>
      <c r="P28" s="347">
        <v>9.2799999999999994</v>
      </c>
      <c r="Q28" s="345">
        <f>+Q27+40*P28</f>
        <v>1311</v>
      </c>
    </row>
    <row r="29" spans="1:22">
      <c r="B29" s="345"/>
      <c r="C29" s="345"/>
      <c r="D29" s="345"/>
      <c r="E29" s="345"/>
      <c r="F29" s="345"/>
      <c r="G29" s="345"/>
      <c r="H29" s="345"/>
      <c r="I29" s="345"/>
      <c r="J29" s="345"/>
      <c r="K29" s="345"/>
      <c r="L29" s="345"/>
      <c r="M29" s="345"/>
      <c r="N29" s="345"/>
      <c r="O29" s="345"/>
      <c r="P29" s="345"/>
      <c r="Q29" s="345"/>
    </row>
    <row r="30" spans="1:22">
      <c r="C30" s="349" t="s">
        <v>306</v>
      </c>
      <c r="D30" s="350" t="s">
        <v>610</v>
      </c>
      <c r="E30" s="350"/>
      <c r="F30" s="351"/>
      <c r="G30" s="352" t="s">
        <v>611</v>
      </c>
      <c r="H30" s="352"/>
      <c r="I30" s="345"/>
      <c r="J30" s="350" t="s">
        <v>612</v>
      </c>
      <c r="K30" s="350"/>
      <c r="L30" s="345"/>
      <c r="M30" s="345"/>
      <c r="N30" s="345"/>
      <c r="O30" s="345"/>
      <c r="P30" s="345"/>
      <c r="Q30" s="345"/>
    </row>
    <row r="31" spans="1:22">
      <c r="A31" s="335" t="s">
        <v>590</v>
      </c>
      <c r="B31" s="345">
        <v>0</v>
      </c>
      <c r="C31" s="346">
        <f>B31*B24</f>
        <v>0</v>
      </c>
      <c r="D31" s="345">
        <v>0</v>
      </c>
      <c r="E31" s="346">
        <f>D31*D24</f>
        <v>0</v>
      </c>
      <c r="F31" s="345"/>
      <c r="G31" s="345">
        <v>0</v>
      </c>
      <c r="H31" s="346">
        <f>G31*G24</f>
        <v>0</v>
      </c>
      <c r="I31" s="346"/>
      <c r="J31" s="345">
        <v>0</v>
      </c>
      <c r="K31" s="346">
        <f>J31*J24</f>
        <v>0</v>
      </c>
      <c r="L31" s="345"/>
      <c r="M31" s="345">
        <v>0</v>
      </c>
      <c r="N31" s="346">
        <f>M31*M24</f>
        <v>0</v>
      </c>
      <c r="O31" s="345"/>
      <c r="P31" s="345">
        <v>0</v>
      </c>
      <c r="Q31" s="346">
        <f>P31*P24</f>
        <v>0</v>
      </c>
    </row>
    <row r="32" spans="1:22">
      <c r="A32" s="338" t="s">
        <v>591</v>
      </c>
      <c r="B32" s="345">
        <v>0</v>
      </c>
      <c r="C32" s="346">
        <f>B32*B25</f>
        <v>0</v>
      </c>
      <c r="D32" s="345">
        <v>2</v>
      </c>
      <c r="E32" s="346">
        <f>D32*D25</f>
        <v>39.840000000000003</v>
      </c>
      <c r="F32" s="345"/>
      <c r="G32" s="345">
        <v>0</v>
      </c>
      <c r="H32" s="346">
        <f>G32*G25</f>
        <v>0</v>
      </c>
      <c r="I32" s="346"/>
      <c r="J32" s="345">
        <v>0</v>
      </c>
      <c r="K32" s="346">
        <f>J32*J25</f>
        <v>0</v>
      </c>
      <c r="L32" s="345"/>
      <c r="M32" s="345">
        <v>0</v>
      </c>
      <c r="N32" s="346">
        <f>M32*M25</f>
        <v>0</v>
      </c>
      <c r="O32" s="345"/>
      <c r="P32" s="345">
        <v>0</v>
      </c>
      <c r="Q32" s="346">
        <f>P32*P25</f>
        <v>0</v>
      </c>
    </row>
    <row r="33" spans="1:17">
      <c r="A33" s="335" t="s">
        <v>592</v>
      </c>
      <c r="B33" s="345">
        <v>3</v>
      </c>
      <c r="C33" s="346">
        <f>B33*B26</f>
        <v>32.160000000000004</v>
      </c>
      <c r="D33" s="345">
        <v>9</v>
      </c>
      <c r="E33" s="346">
        <f>D33*D26</f>
        <v>154.26</v>
      </c>
      <c r="F33" s="353"/>
      <c r="G33" s="345">
        <v>3</v>
      </c>
      <c r="H33" s="346">
        <f>G33*G26</f>
        <v>43.32</v>
      </c>
      <c r="I33" s="345"/>
      <c r="J33" s="345">
        <v>3</v>
      </c>
      <c r="K33" s="346">
        <f>J33*J26</f>
        <v>57.900000000000006</v>
      </c>
      <c r="L33" s="345"/>
      <c r="M33" s="345">
        <f>G33</f>
        <v>3</v>
      </c>
      <c r="N33" s="346">
        <f>M33*M26</f>
        <v>72.300000000000011</v>
      </c>
      <c r="O33" s="345"/>
      <c r="P33" s="345">
        <f>M33</f>
        <v>3</v>
      </c>
      <c r="Q33" s="346">
        <f>P33*P26</f>
        <v>35.400000000000006</v>
      </c>
    </row>
    <row r="34" spans="1:17">
      <c r="A34" s="335" t="s">
        <v>593</v>
      </c>
      <c r="B34" s="345">
        <v>8</v>
      </c>
      <c r="C34" s="354">
        <f>B34*B27</f>
        <v>73.760000000000005</v>
      </c>
      <c r="D34" s="345">
        <v>0</v>
      </c>
      <c r="E34" s="346">
        <f>D34*D27</f>
        <v>0</v>
      </c>
      <c r="F34" s="345"/>
      <c r="G34" s="345">
        <v>8</v>
      </c>
      <c r="H34" s="346">
        <f>G34*G27</f>
        <v>99.68</v>
      </c>
      <c r="I34" s="346"/>
      <c r="J34" s="345">
        <v>8</v>
      </c>
      <c r="K34" s="346">
        <f>J34*J27</f>
        <v>132.96</v>
      </c>
      <c r="L34" s="345"/>
      <c r="M34" s="345">
        <f>G34</f>
        <v>8</v>
      </c>
      <c r="N34" s="346">
        <f>M34*M27</f>
        <v>166.4</v>
      </c>
      <c r="O34" s="345"/>
      <c r="P34" s="345">
        <f>M34</f>
        <v>8</v>
      </c>
      <c r="Q34" s="346">
        <f>P34*P27</f>
        <v>81.44</v>
      </c>
    </row>
    <row r="35" spans="1:17">
      <c r="A35" s="335" t="s">
        <v>594</v>
      </c>
      <c r="B35" s="345">
        <v>0</v>
      </c>
      <c r="C35" s="346">
        <f>B35*B28</f>
        <v>0</v>
      </c>
      <c r="D35" s="345"/>
      <c r="E35" s="346">
        <f>D35*D28</f>
        <v>0</v>
      </c>
      <c r="F35" s="345"/>
      <c r="G35" s="345">
        <v>0</v>
      </c>
      <c r="H35" s="346">
        <f>G35*G28</f>
        <v>0</v>
      </c>
      <c r="I35" s="345"/>
      <c r="J35" s="345">
        <v>0</v>
      </c>
      <c r="K35" s="346">
        <f>J35*J28</f>
        <v>0</v>
      </c>
      <c r="L35" s="345"/>
      <c r="M35" s="345">
        <f>G35</f>
        <v>0</v>
      </c>
      <c r="N35" s="346">
        <f>M35*M28</f>
        <v>0</v>
      </c>
      <c r="O35" s="345"/>
      <c r="P35" s="345">
        <f>M35</f>
        <v>0</v>
      </c>
      <c r="Q35" s="346">
        <f>P35*P28</f>
        <v>0</v>
      </c>
    </row>
    <row r="36" spans="1:17">
      <c r="B36" s="345">
        <f>SUM(B31:B35)</f>
        <v>11</v>
      </c>
      <c r="C36" s="354">
        <f>SUM(C31:C35)</f>
        <v>105.92000000000002</v>
      </c>
      <c r="D36" s="345">
        <f>SUM(D31:D35)</f>
        <v>11</v>
      </c>
      <c r="E36" s="354">
        <f>SUM(E31:E35)</f>
        <v>194.1</v>
      </c>
      <c r="F36" s="345"/>
      <c r="G36" s="345">
        <f>SUM(G31:G35)</f>
        <v>11</v>
      </c>
      <c r="H36" s="354">
        <f>SUM(H31:H35)</f>
        <v>143</v>
      </c>
      <c r="I36" s="345"/>
      <c r="J36" s="345">
        <f>SUM(J31:J35)</f>
        <v>11</v>
      </c>
      <c r="K36" s="354">
        <f>SUM(K31:K35)</f>
        <v>190.86</v>
      </c>
      <c r="L36" s="345"/>
      <c r="M36" s="345">
        <f>SUM(M31:M35)</f>
        <v>11</v>
      </c>
      <c r="N36" s="354">
        <f>SUM(N31:N35)</f>
        <v>238.70000000000002</v>
      </c>
      <c r="O36" s="345"/>
      <c r="P36" s="345">
        <f>SUM(P31:P35)</f>
        <v>11</v>
      </c>
      <c r="Q36" s="354">
        <f>SUM(Q31:Q35)</f>
        <v>116.84</v>
      </c>
    </row>
    <row r="37" spans="1:17">
      <c r="B37" s="345"/>
      <c r="C37" s="345"/>
      <c r="D37" s="350" t="s">
        <v>613</v>
      </c>
      <c r="E37" s="350"/>
      <c r="F37" s="345"/>
      <c r="G37" s="345"/>
      <c r="H37" s="345"/>
      <c r="I37" s="346"/>
      <c r="J37" s="345"/>
      <c r="K37" s="345"/>
      <c r="L37" s="345"/>
      <c r="M37" s="345"/>
      <c r="N37" s="345"/>
      <c r="O37" s="345"/>
      <c r="P37" s="345" t="s">
        <v>614</v>
      </c>
      <c r="Q37" s="345"/>
    </row>
    <row r="38" spans="1:17">
      <c r="B38" s="345"/>
      <c r="C38" s="345"/>
      <c r="D38" s="345">
        <v>0</v>
      </c>
      <c r="E38" s="346">
        <f>D38*D24</f>
        <v>0</v>
      </c>
      <c r="F38" s="345"/>
      <c r="G38" s="345"/>
      <c r="H38" s="345"/>
      <c r="I38" s="345"/>
      <c r="J38" s="345"/>
      <c r="K38" s="345"/>
      <c r="L38" s="345"/>
      <c r="M38" s="345"/>
      <c r="N38" s="345"/>
      <c r="O38" s="345"/>
      <c r="P38" s="345">
        <v>0</v>
      </c>
      <c r="Q38" s="346">
        <f>P38*P24</f>
        <v>0</v>
      </c>
    </row>
    <row r="39" spans="1:17">
      <c r="B39" s="345"/>
      <c r="C39" s="345"/>
      <c r="D39" s="345">
        <v>0</v>
      </c>
      <c r="E39" s="346">
        <f>D39*D25</f>
        <v>0</v>
      </c>
      <c r="F39" s="345"/>
      <c r="G39" s="345">
        <f>124-G36</f>
        <v>113</v>
      </c>
      <c r="H39" s="345"/>
      <c r="I39" s="345"/>
      <c r="J39" s="345"/>
      <c r="K39" s="346"/>
      <c r="L39" s="346"/>
      <c r="M39" s="345"/>
      <c r="N39" s="345"/>
      <c r="O39" s="345"/>
      <c r="P39" s="345">
        <v>0</v>
      </c>
      <c r="Q39" s="346">
        <f>P39*P25</f>
        <v>0</v>
      </c>
    </row>
    <row r="40" spans="1:17">
      <c r="B40" s="345"/>
      <c r="C40" s="345"/>
      <c r="D40" s="345">
        <v>0</v>
      </c>
      <c r="E40" s="346">
        <f>D40*D26</f>
        <v>0</v>
      </c>
      <c r="F40" s="345"/>
      <c r="G40" s="345"/>
      <c r="H40" s="345"/>
      <c r="I40" s="345"/>
      <c r="J40" s="345"/>
      <c r="K40" s="346"/>
      <c r="L40" s="345"/>
      <c r="M40" s="345"/>
      <c r="N40" s="345"/>
      <c r="O40" s="345"/>
      <c r="P40" s="345">
        <v>3</v>
      </c>
      <c r="Q40" s="346">
        <f>P40*P26</f>
        <v>35.400000000000006</v>
      </c>
    </row>
    <row r="41" spans="1:17">
      <c r="B41" s="345"/>
      <c r="C41" s="345"/>
      <c r="D41" s="345">
        <v>0</v>
      </c>
      <c r="E41" s="346">
        <f>D41*D27</f>
        <v>0</v>
      </c>
      <c r="F41" s="345"/>
      <c r="G41" s="345"/>
      <c r="H41" s="345"/>
      <c r="I41" s="345"/>
      <c r="J41" s="345"/>
      <c r="K41" s="346"/>
      <c r="L41" s="345"/>
      <c r="M41" s="345"/>
      <c r="N41" s="345"/>
      <c r="O41" s="345"/>
      <c r="P41" s="345">
        <v>8</v>
      </c>
      <c r="Q41" s="346">
        <f>P41*P27</f>
        <v>81.44</v>
      </c>
    </row>
    <row r="42" spans="1:17">
      <c r="B42" s="345"/>
      <c r="C42" s="345"/>
      <c r="D42" s="345">
        <v>0</v>
      </c>
      <c r="E42" s="346">
        <f>D42*D28</f>
        <v>0</v>
      </c>
      <c r="F42" s="345"/>
      <c r="G42" s="345"/>
      <c r="H42" s="345"/>
      <c r="I42" s="345"/>
      <c r="J42" s="345"/>
      <c r="K42" s="346"/>
      <c r="L42" s="345"/>
      <c r="M42" s="345"/>
      <c r="N42" s="345"/>
      <c r="O42" s="345"/>
      <c r="P42" s="345">
        <v>0</v>
      </c>
      <c r="Q42" s="346">
        <f>P42*P28</f>
        <v>0</v>
      </c>
    </row>
    <row r="43" spans="1:17">
      <c r="B43" s="345"/>
      <c r="C43" s="345"/>
      <c r="D43" s="345">
        <f>SUM(D39:D42)</f>
        <v>0</v>
      </c>
      <c r="E43" s="354">
        <f>SUM(E38:E42)</f>
        <v>0</v>
      </c>
      <c r="F43" s="345"/>
      <c r="G43" s="345"/>
      <c r="H43" s="345"/>
      <c r="I43" s="345"/>
      <c r="J43" s="345"/>
      <c r="K43" s="346"/>
      <c r="L43" s="345"/>
      <c r="M43" s="345"/>
      <c r="N43" s="345"/>
      <c r="O43" s="345"/>
      <c r="P43" s="345">
        <f>SUM(P38:P42)</f>
        <v>11</v>
      </c>
      <c r="Q43" s="354">
        <f>SUM(Q38:Q42)</f>
        <v>116.84</v>
      </c>
    </row>
    <row r="44" spans="1:17">
      <c r="B44" s="345"/>
      <c r="C44" s="345"/>
      <c r="D44" s="355" t="s">
        <v>615</v>
      </c>
      <c r="E44" s="345"/>
      <c r="F44" s="345"/>
      <c r="G44" s="345"/>
      <c r="H44" s="345"/>
      <c r="I44" s="345"/>
      <c r="J44" s="345"/>
      <c r="K44" s="346"/>
      <c r="L44" s="345"/>
      <c r="M44" s="345"/>
      <c r="N44" s="345"/>
      <c r="O44" s="345"/>
      <c r="P44" s="345"/>
      <c r="Q44" s="345"/>
    </row>
    <row r="45" spans="1:17">
      <c r="B45" s="345"/>
      <c r="C45" s="345"/>
      <c r="D45" s="345">
        <v>0</v>
      </c>
      <c r="E45" s="346">
        <f>D45*D24</f>
        <v>0</v>
      </c>
      <c r="F45" s="345"/>
      <c r="G45" s="345"/>
      <c r="H45" s="345"/>
      <c r="I45" s="345"/>
      <c r="J45" s="345"/>
      <c r="K45" s="346"/>
      <c r="L45" s="345"/>
      <c r="M45" s="345"/>
      <c r="N45" s="345"/>
      <c r="O45" s="345"/>
      <c r="P45" s="345"/>
      <c r="Q45" s="345"/>
    </row>
    <row r="46" spans="1:17">
      <c r="B46" s="345"/>
      <c r="C46" s="345"/>
      <c r="D46" s="345">
        <v>0</v>
      </c>
      <c r="E46" s="346">
        <f>D46*D25</f>
        <v>0</v>
      </c>
      <c r="F46" s="345"/>
      <c r="G46" s="345"/>
      <c r="H46" s="345"/>
      <c r="I46" s="345"/>
      <c r="J46" s="345"/>
      <c r="K46" s="346"/>
      <c r="L46" s="345"/>
      <c r="M46" s="345"/>
      <c r="N46" s="345"/>
      <c r="O46" s="345"/>
      <c r="P46" s="345"/>
      <c r="Q46" s="345"/>
    </row>
    <row r="47" spans="1:17">
      <c r="B47" s="345"/>
      <c r="C47" s="345"/>
      <c r="D47" s="345">
        <v>5</v>
      </c>
      <c r="E47" s="346">
        <f>D47*D26</f>
        <v>85.7</v>
      </c>
      <c r="F47" s="345"/>
      <c r="G47" s="345"/>
      <c r="H47" s="345"/>
      <c r="I47" s="345"/>
      <c r="J47" s="345"/>
      <c r="K47" s="345"/>
      <c r="L47" s="345"/>
      <c r="M47" s="345"/>
      <c r="N47" s="345"/>
      <c r="O47" s="345"/>
      <c r="P47" s="345"/>
      <c r="Q47" s="345"/>
    </row>
    <row r="48" spans="1:17">
      <c r="B48" s="345"/>
      <c r="C48" s="345"/>
      <c r="D48" s="345">
        <v>6</v>
      </c>
      <c r="E48" s="346">
        <f>D48*D27</f>
        <v>96.47999999999999</v>
      </c>
      <c r="F48" s="345"/>
      <c r="G48" s="345"/>
      <c r="H48" s="345"/>
      <c r="I48" s="345"/>
      <c r="J48" s="345"/>
      <c r="K48" s="345"/>
      <c r="L48" s="345"/>
      <c r="M48" s="345"/>
      <c r="N48" s="345"/>
      <c r="O48" s="345"/>
      <c r="P48" s="345"/>
      <c r="Q48" s="345"/>
    </row>
    <row r="49" spans="2:17">
      <c r="B49" s="345"/>
      <c r="C49" s="345"/>
      <c r="D49" s="345"/>
      <c r="E49" s="346">
        <f>D49*D28</f>
        <v>0</v>
      </c>
      <c r="F49" s="345"/>
      <c r="G49" s="345"/>
      <c r="H49" s="345"/>
      <c r="I49" s="345"/>
      <c r="J49" s="345"/>
      <c r="K49" s="345"/>
      <c r="L49" s="345"/>
      <c r="M49" s="345"/>
      <c r="N49" s="345"/>
      <c r="O49" s="345"/>
      <c r="P49" s="345"/>
      <c r="Q49" s="345"/>
    </row>
    <row r="50" spans="2:17">
      <c r="B50" s="345"/>
      <c r="C50" s="345"/>
      <c r="D50" s="345">
        <f>SUM(D45:D49)</f>
        <v>11</v>
      </c>
      <c r="E50" s="354">
        <f>SUM(E45:E49)</f>
        <v>182.18</v>
      </c>
      <c r="F50" s="345"/>
      <c r="G50" s="345"/>
      <c r="H50" s="345"/>
      <c r="I50" s="345"/>
      <c r="J50" s="345"/>
      <c r="K50" s="345"/>
      <c r="L50" s="345"/>
      <c r="M50" s="345"/>
      <c r="N50" s="345"/>
      <c r="O50" s="345"/>
      <c r="P50" s="345"/>
      <c r="Q50" s="345"/>
    </row>
    <row r="51" spans="2:17">
      <c r="B51" s="345"/>
      <c r="C51" s="345"/>
      <c r="D51" s="345"/>
      <c r="E51" s="345"/>
      <c r="F51" s="345"/>
      <c r="G51" s="345"/>
      <c r="H51" s="345"/>
      <c r="I51" s="345"/>
      <c r="J51" s="345"/>
      <c r="K51" s="345"/>
      <c r="L51" s="345"/>
      <c r="M51" s="345"/>
      <c r="N51" s="345"/>
      <c r="O51" s="345"/>
      <c r="P51" s="345"/>
      <c r="Q51" s="345"/>
    </row>
    <row r="52" spans="2:17">
      <c r="B52" s="345"/>
      <c r="C52" s="345"/>
      <c r="D52" s="355" t="s">
        <v>608</v>
      </c>
      <c r="E52" s="345"/>
      <c r="F52" s="345"/>
      <c r="G52" s="345"/>
      <c r="H52" s="345"/>
      <c r="I52" s="345"/>
      <c r="J52" s="345"/>
      <c r="K52" s="345"/>
      <c r="L52" s="345"/>
      <c r="M52" s="345"/>
      <c r="N52" s="345"/>
      <c r="O52" s="345"/>
      <c r="P52" s="345"/>
      <c r="Q52" s="345"/>
    </row>
    <row r="53" spans="2:17">
      <c r="B53" s="345"/>
      <c r="C53" s="345"/>
      <c r="D53" s="345">
        <v>0</v>
      </c>
      <c r="E53" s="346">
        <f>D53*D24</f>
        <v>0</v>
      </c>
      <c r="F53" s="345"/>
      <c r="G53" s="345"/>
      <c r="H53" s="345"/>
      <c r="I53" s="345"/>
      <c r="J53" s="345"/>
      <c r="K53" s="345"/>
      <c r="L53" s="345"/>
      <c r="M53" s="345"/>
      <c r="N53" s="345"/>
      <c r="O53" s="345"/>
      <c r="P53" s="345"/>
      <c r="Q53" s="345"/>
    </row>
    <row r="54" spans="2:17">
      <c r="B54" s="345"/>
      <c r="C54" s="345"/>
      <c r="D54" s="345">
        <v>0</v>
      </c>
      <c r="E54" s="346">
        <f>D54*D25</f>
        <v>0</v>
      </c>
      <c r="F54" s="345"/>
      <c r="G54" s="345"/>
      <c r="H54" s="345"/>
      <c r="I54" s="345"/>
      <c r="J54" s="345"/>
      <c r="K54" s="345"/>
      <c r="L54" s="345"/>
      <c r="M54" s="345"/>
      <c r="N54" s="345"/>
      <c r="O54" s="345"/>
      <c r="P54" s="345"/>
      <c r="Q54" s="345"/>
    </row>
    <row r="55" spans="2:17">
      <c r="B55" s="345"/>
      <c r="C55" s="345"/>
      <c r="D55" s="345">
        <v>3</v>
      </c>
      <c r="E55" s="346">
        <f>D55*D26</f>
        <v>51.42</v>
      </c>
      <c r="F55" s="345"/>
      <c r="G55" s="345"/>
      <c r="H55" s="345"/>
      <c r="I55" s="345"/>
      <c r="J55" s="345"/>
      <c r="K55" s="345"/>
      <c r="L55" s="345"/>
      <c r="M55" s="345"/>
      <c r="N55" s="345"/>
      <c r="O55" s="345"/>
      <c r="P55" s="345"/>
      <c r="Q55" s="345"/>
    </row>
    <row r="56" spans="2:17">
      <c r="B56" s="345"/>
      <c r="C56" s="345"/>
      <c r="D56" s="345">
        <v>8</v>
      </c>
      <c r="E56" s="346">
        <f>D56*D27</f>
        <v>128.63999999999999</v>
      </c>
      <c r="F56" s="345"/>
      <c r="G56" s="345"/>
      <c r="H56" s="345"/>
      <c r="I56" s="345"/>
      <c r="J56" s="345"/>
      <c r="K56" s="345"/>
      <c r="L56" s="345"/>
      <c r="M56" s="345"/>
      <c r="N56" s="345"/>
      <c r="O56" s="345"/>
      <c r="P56" s="345"/>
      <c r="Q56" s="345"/>
    </row>
    <row r="57" spans="2:17">
      <c r="B57" s="345"/>
      <c r="C57" s="345"/>
      <c r="D57" s="345"/>
      <c r="E57" s="346">
        <f>D57*D28</f>
        <v>0</v>
      </c>
      <c r="F57" s="345"/>
      <c r="G57" s="345"/>
      <c r="H57" s="345"/>
      <c r="I57" s="345"/>
      <c r="J57" s="345"/>
      <c r="K57" s="345"/>
      <c r="L57" s="345"/>
      <c r="M57" s="345"/>
      <c r="N57" s="345"/>
      <c r="O57" s="345"/>
      <c r="P57" s="345"/>
      <c r="Q57" s="345"/>
    </row>
    <row r="58" spans="2:17">
      <c r="B58" s="345"/>
      <c r="C58" s="345"/>
      <c r="D58" s="345">
        <f>SUM(D53:D57)</f>
        <v>11</v>
      </c>
      <c r="E58" s="354">
        <f>SUM(E53:E57)</f>
        <v>180.06</v>
      </c>
      <c r="F58" s="345"/>
      <c r="G58" s="345"/>
      <c r="H58" s="345"/>
      <c r="I58" s="345"/>
      <c r="J58" s="345"/>
      <c r="K58" s="345"/>
      <c r="L58" s="345"/>
      <c r="M58" s="345"/>
      <c r="N58" s="345"/>
      <c r="O58" s="345"/>
      <c r="P58" s="345"/>
      <c r="Q58" s="345"/>
    </row>
  </sheetData>
  <mergeCells count="4">
    <mergeCell ref="D30:E30"/>
    <mergeCell ref="G30:H30"/>
    <mergeCell ref="J30:K30"/>
    <mergeCell ref="D37:E3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U8560"/>
  <sheetViews>
    <sheetView topLeftCell="AF1" workbookViewId="0">
      <selection activeCell="AG19" sqref="AG19"/>
    </sheetView>
  </sheetViews>
  <sheetFormatPr defaultColWidth="9.5703125" defaultRowHeight="24" customHeight="1"/>
  <cols>
    <col min="1" max="1" width="10" style="35" customWidth="1"/>
    <col min="2" max="2" width="82.28515625" style="35" customWidth="1"/>
    <col min="3" max="3" width="20.85546875" style="35" customWidth="1"/>
    <col min="4" max="4" width="17.7109375" style="35" customWidth="1"/>
    <col min="5" max="5" width="11" style="35" customWidth="1"/>
    <col min="6" max="6" width="14.7109375" style="35" customWidth="1"/>
    <col min="7" max="7" width="18.28515625" style="358" customWidth="1"/>
    <col min="8" max="8" width="55.7109375" style="35" customWidth="1"/>
    <col min="9" max="9" width="18.42578125" style="35" customWidth="1"/>
    <col min="10" max="10" width="14.7109375" style="360" customWidth="1"/>
    <col min="11" max="11" width="16.5703125" style="35" customWidth="1"/>
    <col min="12" max="12" width="12.5703125" style="35" customWidth="1"/>
    <col min="13" max="13" width="13.85546875" style="35" customWidth="1"/>
    <col min="14" max="14" width="8.85546875" style="35" customWidth="1"/>
    <col min="15" max="15" width="61.7109375" style="35" customWidth="1"/>
    <col min="16" max="16" width="17.140625" style="35" customWidth="1"/>
    <col min="17" max="17" width="11" style="35" customWidth="1"/>
    <col min="18" max="18" width="15.140625" style="35" customWidth="1"/>
    <col min="19" max="19" width="14" style="36" customWidth="1"/>
    <col min="20" max="20" width="11.85546875" style="35" customWidth="1"/>
    <col min="21" max="21" width="60" style="35" customWidth="1"/>
    <col min="22" max="22" width="15.5703125" style="35" customWidth="1"/>
    <col min="23" max="23" width="16.5703125" style="35" customWidth="1"/>
    <col min="24" max="25" width="16.28515625" style="35" customWidth="1"/>
    <col min="26" max="26" width="13" style="35" customWidth="1"/>
    <col min="27" max="28" width="16.28515625" style="35" customWidth="1"/>
    <col min="29" max="29" width="27.85546875" style="35" customWidth="1"/>
    <col min="30" max="30" width="20" style="35" customWidth="1"/>
    <col min="31" max="31" width="17.140625" style="35" customWidth="1"/>
    <col min="32" max="32" width="44.7109375" style="35" customWidth="1"/>
    <col min="33" max="33" width="18.5703125" style="35" customWidth="1"/>
    <col min="34" max="34" width="15.140625" style="35" customWidth="1"/>
    <col min="35" max="35" width="14.85546875" style="35" customWidth="1"/>
    <col min="36" max="36" width="20.28515625" style="35" customWidth="1"/>
    <col min="37" max="37" width="27.7109375" style="35" customWidth="1"/>
    <col min="38" max="38" width="16.42578125" style="35" customWidth="1"/>
    <col min="39" max="39" width="11.42578125" style="35" customWidth="1"/>
    <col min="40" max="40" width="13.140625" style="35" customWidth="1"/>
    <col min="41" max="41" width="9.5703125" style="35" customWidth="1"/>
    <col min="42" max="42" width="14" style="35" customWidth="1"/>
    <col min="43" max="43" width="9.5703125" style="35"/>
    <col min="44" max="44" width="28.28515625" style="35" customWidth="1"/>
    <col min="45" max="45" width="14.5703125" style="35" customWidth="1"/>
    <col min="46" max="46" width="11.140625" style="35" customWidth="1"/>
    <col min="47" max="47" width="14.140625" style="35" customWidth="1"/>
    <col min="48" max="48" width="9.7109375" style="35" bestFit="1" customWidth="1"/>
    <col min="49" max="49" width="10.28515625" style="35" bestFit="1" customWidth="1"/>
    <col min="50" max="50" width="12" style="35" customWidth="1"/>
    <col min="51" max="254" width="9.5703125" style="35"/>
    <col min="255" max="255" width="9.7109375" style="35" bestFit="1" customWidth="1"/>
    <col min="256" max="16384" width="9.5703125" style="35"/>
  </cols>
  <sheetData>
    <row r="1" spans="1:39" ht="19.5">
      <c r="A1" s="356"/>
      <c r="B1" s="357" t="s">
        <v>616</v>
      </c>
      <c r="E1" s="356" t="s">
        <v>114</v>
      </c>
      <c r="H1" s="359" t="s">
        <v>111</v>
      </c>
      <c r="O1" s="356" t="s">
        <v>111</v>
      </c>
      <c r="T1" s="361"/>
      <c r="U1" s="362" t="s">
        <v>617</v>
      </c>
      <c r="V1" s="362"/>
      <c r="W1" s="357" t="s">
        <v>114</v>
      </c>
      <c r="X1" s="361"/>
      <c r="Y1" s="361"/>
      <c r="Z1" s="361"/>
      <c r="AA1" s="361"/>
      <c r="AB1" s="361"/>
      <c r="AC1" s="361"/>
      <c r="AD1" s="361"/>
      <c r="AE1" s="361"/>
      <c r="AF1" s="361"/>
      <c r="AG1" s="361"/>
    </row>
    <row r="2" spans="1:39" ht="15">
      <c r="B2" s="363" t="s">
        <v>156</v>
      </c>
      <c r="E2" s="356" t="s">
        <v>114</v>
      </c>
      <c r="H2" s="357" t="s">
        <v>112</v>
      </c>
      <c r="O2" s="357" t="s">
        <v>112</v>
      </c>
      <c r="U2" s="364" t="s">
        <v>618</v>
      </c>
      <c r="V2" s="365"/>
      <c r="W2" s="365"/>
      <c r="X2" s="365"/>
      <c r="Y2" s="357"/>
    </row>
    <row r="3" spans="1:39" ht="15.75">
      <c r="A3" s="356" t="s">
        <v>113</v>
      </c>
      <c r="B3" s="366" t="s">
        <v>619</v>
      </c>
      <c r="C3" s="356" t="s">
        <v>500</v>
      </c>
      <c r="E3" s="356" t="s">
        <v>114</v>
      </c>
      <c r="F3" s="367" t="s">
        <v>113</v>
      </c>
      <c r="G3" s="368" t="s">
        <v>114</v>
      </c>
      <c r="H3" s="369" t="str">
        <f>B3</f>
        <v>ATHIKADAVU - COIMBATORE</v>
      </c>
      <c r="J3" s="359" t="str">
        <f>C3</f>
        <v>2023-2024</v>
      </c>
      <c r="M3" s="356" t="s">
        <v>113</v>
      </c>
      <c r="N3" s="356" t="s">
        <v>114</v>
      </c>
      <c r="O3" s="370" t="str">
        <f>B3</f>
        <v>ATHIKADAVU - COIMBATORE</v>
      </c>
      <c r="Q3" s="370" t="str">
        <f>C3</f>
        <v>2023-2024</v>
      </c>
      <c r="T3" s="356" t="s">
        <v>113</v>
      </c>
      <c r="U3" s="370" t="str">
        <f>O3</f>
        <v>ATHIKADAVU - COIMBATORE</v>
      </c>
      <c r="W3" s="371" t="str">
        <f>C3</f>
        <v>2023-2024</v>
      </c>
      <c r="AC3" s="356"/>
    </row>
    <row r="4" spans="1:39" ht="15">
      <c r="F4" s="363" t="s">
        <v>117</v>
      </c>
      <c r="G4" s="363" t="s">
        <v>117</v>
      </c>
      <c r="H4" s="363" t="s">
        <v>117</v>
      </c>
      <c r="I4" s="363" t="s">
        <v>117</v>
      </c>
      <c r="J4" s="363" t="s">
        <v>117</v>
      </c>
      <c r="K4" s="363" t="s">
        <v>117</v>
      </c>
      <c r="M4" s="363" t="s">
        <v>117</v>
      </c>
      <c r="N4" s="363" t="s">
        <v>117</v>
      </c>
      <c r="O4" s="363" t="s">
        <v>117</v>
      </c>
      <c r="P4" s="363" t="s">
        <v>117</v>
      </c>
      <c r="Q4" s="363" t="s">
        <v>117</v>
      </c>
      <c r="R4" s="363" t="s">
        <v>117</v>
      </c>
      <c r="U4" s="356" t="s">
        <v>114</v>
      </c>
      <c r="W4" s="357" t="s">
        <v>114</v>
      </c>
      <c r="X4" s="356" t="s">
        <v>620</v>
      </c>
      <c r="Y4" s="356"/>
      <c r="Z4" s="356"/>
      <c r="AE4" s="356" t="s">
        <v>114</v>
      </c>
      <c r="AI4" s="356" t="s">
        <v>621</v>
      </c>
    </row>
    <row r="5" spans="1:39" ht="15.75">
      <c r="A5" s="363" t="s">
        <v>117</v>
      </c>
      <c r="B5" s="363" t="s">
        <v>117</v>
      </c>
      <c r="C5" s="363" t="s">
        <v>117</v>
      </c>
      <c r="D5" s="363" t="s">
        <v>117</v>
      </c>
      <c r="E5" s="356" t="s">
        <v>114</v>
      </c>
      <c r="F5" s="367" t="s">
        <v>7</v>
      </c>
      <c r="G5" s="368" t="s">
        <v>114</v>
      </c>
      <c r="H5" s="372" t="s">
        <v>118</v>
      </c>
      <c r="I5" s="372" t="s">
        <v>119</v>
      </c>
      <c r="J5" s="372" t="s">
        <v>120</v>
      </c>
      <c r="K5" s="372" t="s">
        <v>121</v>
      </c>
      <c r="M5" s="357" t="s">
        <v>7</v>
      </c>
      <c r="N5" s="356" t="s">
        <v>114</v>
      </c>
      <c r="O5" s="357" t="s">
        <v>118</v>
      </c>
      <c r="P5" s="357" t="s">
        <v>119</v>
      </c>
      <c r="Q5" s="357" t="s">
        <v>120</v>
      </c>
      <c r="R5" s="357" t="s">
        <v>121</v>
      </c>
      <c r="T5" s="363"/>
      <c r="U5" s="363" t="s">
        <v>117</v>
      </c>
      <c r="V5" s="363" t="s">
        <v>117</v>
      </c>
      <c r="W5" s="357" t="s">
        <v>117</v>
      </c>
      <c r="X5" s="363" t="s">
        <v>117</v>
      </c>
      <c r="Y5" s="363"/>
      <c r="Z5" s="363" t="s">
        <v>117</v>
      </c>
      <c r="AA5" s="363" t="s">
        <v>117</v>
      </c>
      <c r="AB5" s="363"/>
      <c r="AC5" s="363" t="s">
        <v>117</v>
      </c>
      <c r="AD5" s="363" t="s">
        <v>117</v>
      </c>
      <c r="AE5" s="363" t="s">
        <v>117</v>
      </c>
      <c r="AF5" s="363" t="s">
        <v>117</v>
      </c>
      <c r="AG5" s="363" t="s">
        <v>117</v>
      </c>
    </row>
    <row r="6" spans="1:39" ht="15.75">
      <c r="A6" s="356" t="s">
        <v>560</v>
      </c>
      <c r="B6" s="356" t="s">
        <v>118</v>
      </c>
      <c r="C6" s="356" t="s">
        <v>119</v>
      </c>
      <c r="D6" s="356" t="s">
        <v>120</v>
      </c>
      <c r="F6" s="363" t="s">
        <v>117</v>
      </c>
      <c r="G6" s="363" t="s">
        <v>117</v>
      </c>
      <c r="H6" s="363" t="s">
        <v>117</v>
      </c>
      <c r="I6" s="363" t="s">
        <v>117</v>
      </c>
      <c r="J6" s="363" t="s">
        <v>117</v>
      </c>
      <c r="K6" s="363" t="s">
        <v>117</v>
      </c>
      <c r="M6" s="363" t="s">
        <v>117</v>
      </c>
      <c r="N6" s="363" t="s">
        <v>117</v>
      </c>
      <c r="O6" s="363" t="s">
        <v>117</v>
      </c>
      <c r="P6" s="363" t="s">
        <v>117</v>
      </c>
      <c r="Q6" s="363" t="s">
        <v>117</v>
      </c>
      <c r="R6" s="363" t="s">
        <v>117</v>
      </c>
      <c r="T6" s="357" t="s">
        <v>560</v>
      </c>
      <c r="U6" s="357" t="s">
        <v>622</v>
      </c>
      <c r="V6" s="357" t="s">
        <v>562</v>
      </c>
      <c r="W6" s="357" t="s">
        <v>623</v>
      </c>
      <c r="X6" s="365" t="s">
        <v>624</v>
      </c>
      <c r="Y6" s="365"/>
      <c r="Z6" s="357" t="s">
        <v>625</v>
      </c>
      <c r="AA6" s="365" t="s">
        <v>626</v>
      </c>
      <c r="AB6" s="365"/>
      <c r="AC6" s="373" t="s">
        <v>627</v>
      </c>
      <c r="AD6" s="356" t="s">
        <v>628</v>
      </c>
      <c r="AE6" s="356" t="s">
        <v>629</v>
      </c>
      <c r="AF6" s="357" t="s">
        <v>630</v>
      </c>
    </row>
    <row r="7" spans="1:39" ht="15.75">
      <c r="A7" s="363" t="s">
        <v>117</v>
      </c>
      <c r="B7" s="363" t="s">
        <v>117</v>
      </c>
      <c r="C7" s="363" t="s">
        <v>117</v>
      </c>
      <c r="D7" s="363" t="s">
        <v>117</v>
      </c>
      <c r="G7" s="368" t="s">
        <v>122</v>
      </c>
      <c r="H7" s="356" t="s">
        <v>123</v>
      </c>
      <c r="O7" s="356" t="s">
        <v>631</v>
      </c>
      <c r="W7" s="361"/>
      <c r="X7" s="357" t="s">
        <v>632</v>
      </c>
      <c r="Y7" s="357" t="s">
        <v>633</v>
      </c>
      <c r="Z7" s="357" t="s">
        <v>629</v>
      </c>
      <c r="AA7" s="357" t="s">
        <v>634</v>
      </c>
      <c r="AB7" s="357" t="s">
        <v>633</v>
      </c>
      <c r="AC7" s="373" t="s">
        <v>635</v>
      </c>
      <c r="AD7" s="356" t="s">
        <v>636</v>
      </c>
      <c r="AE7" s="356" t="s">
        <v>637</v>
      </c>
      <c r="AG7" s="374"/>
    </row>
    <row r="8" spans="1:39" ht="15.75">
      <c r="B8" s="356" t="s">
        <v>638</v>
      </c>
      <c r="H8" s="363" t="s">
        <v>117</v>
      </c>
      <c r="O8" s="363" t="s">
        <v>117</v>
      </c>
      <c r="T8" s="363" t="s">
        <v>117</v>
      </c>
      <c r="U8" s="363" t="s">
        <v>117</v>
      </c>
      <c r="V8" s="363" t="s">
        <v>117</v>
      </c>
      <c r="W8" s="357" t="s">
        <v>117</v>
      </c>
      <c r="X8" s="363" t="s">
        <v>117</v>
      </c>
      <c r="Y8" s="363"/>
      <c r="Z8" s="363" t="s">
        <v>117</v>
      </c>
      <c r="AA8" s="363" t="s">
        <v>117</v>
      </c>
      <c r="AB8" s="363"/>
      <c r="AC8" s="375" t="s">
        <v>639</v>
      </c>
      <c r="AD8" s="363" t="s">
        <v>117</v>
      </c>
      <c r="AE8" s="363" t="s">
        <v>117</v>
      </c>
      <c r="AF8" s="363" t="s">
        <v>117</v>
      </c>
      <c r="AG8" s="363" t="s">
        <v>117</v>
      </c>
      <c r="AI8" s="376" t="s">
        <v>640</v>
      </c>
      <c r="AJ8" s="376" t="s">
        <v>641</v>
      </c>
      <c r="AK8" s="377" t="s">
        <v>642</v>
      </c>
      <c r="AL8" s="377" t="s">
        <v>643</v>
      </c>
      <c r="AM8" s="377" t="s">
        <v>644</v>
      </c>
    </row>
    <row r="9" spans="1:39" ht="15.75">
      <c r="B9" s="356" t="s">
        <v>645</v>
      </c>
      <c r="F9" s="370">
        <v>0.96</v>
      </c>
      <c r="G9" s="368" t="s">
        <v>124</v>
      </c>
      <c r="H9" s="356" t="s">
        <v>125</v>
      </c>
      <c r="I9" s="370">
        <f>(C67)</f>
        <v>6372.14</v>
      </c>
      <c r="J9" s="356" t="s">
        <v>124</v>
      </c>
      <c r="K9" s="370">
        <f>(F9*I9)</f>
        <v>6117.2543999999998</v>
      </c>
      <c r="M9" s="370">
        <v>0.5</v>
      </c>
      <c r="N9" s="356" t="s">
        <v>124</v>
      </c>
      <c r="O9" s="356" t="s">
        <v>646</v>
      </c>
      <c r="P9" s="370">
        <f>(C85)</f>
        <v>1109.8399999999999</v>
      </c>
      <c r="Q9" s="356" t="s">
        <v>124</v>
      </c>
      <c r="R9" s="370">
        <f>(M9*P9)</f>
        <v>554.91999999999996</v>
      </c>
      <c r="T9" s="357" t="s">
        <v>647</v>
      </c>
      <c r="U9" s="356" t="s">
        <v>648</v>
      </c>
      <c r="V9" s="356" t="s">
        <v>649</v>
      </c>
      <c r="W9" s="378" t="s">
        <v>650</v>
      </c>
      <c r="X9" s="370">
        <f>'[6]lead  charge'!E12</f>
        <v>18</v>
      </c>
      <c r="Y9" s="370">
        <f>+'[6]lead  charge'!D36</f>
        <v>11</v>
      </c>
      <c r="Z9" s="379">
        <v>449.4</v>
      </c>
      <c r="AA9" s="380">
        <f>'[6]lead  charge'!F12</f>
        <v>196.18</v>
      </c>
      <c r="AB9" s="380">
        <f>+'[6]lead  charge'!E36</f>
        <v>194.1</v>
      </c>
      <c r="AC9" s="357"/>
      <c r="AD9" s="356">
        <v>0</v>
      </c>
      <c r="AE9" s="356">
        <f>SUM(Z9+AA9+AC9+AD9+AB9)</f>
        <v>839.68</v>
      </c>
      <c r="AF9" s="356" t="s">
        <v>651</v>
      </c>
      <c r="AG9" s="381">
        <f>+AJ9</f>
        <v>1198.8</v>
      </c>
      <c r="AH9" s="379">
        <v>999</v>
      </c>
      <c r="AI9" s="370">
        <f>AH9*1.1</f>
        <v>1098.9000000000001</v>
      </c>
      <c r="AJ9" s="35">
        <f>AH9*1.2</f>
        <v>1198.8</v>
      </c>
      <c r="AK9" s="35">
        <f>AH9*1.5</f>
        <v>1498.5</v>
      </c>
      <c r="AL9" s="35">
        <f>AH9*1.05</f>
        <v>1048.95</v>
      </c>
      <c r="AM9" s="35">
        <f>AH9*1.25</f>
        <v>1248.75</v>
      </c>
    </row>
    <row r="10" spans="1:39" ht="15.75">
      <c r="A10" s="382">
        <v>1</v>
      </c>
      <c r="B10" s="383" t="s">
        <v>652</v>
      </c>
      <c r="C10" s="384">
        <f>AG9</f>
        <v>1198.8</v>
      </c>
      <c r="D10" s="385" t="s">
        <v>151</v>
      </c>
      <c r="F10" s="370">
        <v>1</v>
      </c>
      <c r="G10" s="368" t="s">
        <v>108</v>
      </c>
      <c r="H10" s="356" t="s">
        <v>126</v>
      </c>
      <c r="I10" s="370">
        <f>(C78)</f>
        <v>1779.13</v>
      </c>
      <c r="J10" s="356" t="s">
        <v>108</v>
      </c>
      <c r="K10" s="370">
        <f>(F10*I10)</f>
        <v>1779.13</v>
      </c>
      <c r="M10" s="370">
        <v>1</v>
      </c>
      <c r="N10" s="356" t="s">
        <v>108</v>
      </c>
      <c r="O10" s="356" t="s">
        <v>126</v>
      </c>
      <c r="P10" s="370">
        <f>(C78)</f>
        <v>1779.13</v>
      </c>
      <c r="Q10" s="356" t="s">
        <v>108</v>
      </c>
      <c r="R10" s="370">
        <f>(M10*P10)</f>
        <v>1779.13</v>
      </c>
      <c r="T10" s="357" t="s">
        <v>653</v>
      </c>
      <c r="U10" s="356" t="s">
        <v>654</v>
      </c>
      <c r="V10" s="356" t="s">
        <v>649</v>
      </c>
      <c r="W10" s="378" t="str">
        <f>W9</f>
        <v>Kurunthamalai</v>
      </c>
      <c r="X10" s="370">
        <f>'[6]lead  charge'!E12</f>
        <v>18</v>
      </c>
      <c r="Y10" s="370">
        <f>+'[6]lead  charge'!D36</f>
        <v>11</v>
      </c>
      <c r="Z10" s="379">
        <v>648.4</v>
      </c>
      <c r="AA10" s="380">
        <f>AA9</f>
        <v>196.18</v>
      </c>
      <c r="AB10" s="380">
        <f>+'[6]lead  charge'!E36</f>
        <v>194.1</v>
      </c>
      <c r="AC10" s="357"/>
      <c r="AD10" s="360">
        <v>0</v>
      </c>
      <c r="AE10" s="356">
        <f t="shared" ref="AE10:AE47" si="0">SUM(Z10+AA10+AC10+AD10+AB10)</f>
        <v>1038.6799999999998</v>
      </c>
      <c r="AF10" s="356" t="s">
        <v>655</v>
      </c>
      <c r="AG10" s="381">
        <f t="shared" ref="AG10:AG73" si="1">+AJ10</f>
        <v>1118.3999999999999</v>
      </c>
      <c r="AH10" s="379">
        <v>932</v>
      </c>
      <c r="AI10" s="370">
        <f t="shared" ref="AI10:AI73" si="2">AH10*1.1</f>
        <v>1025.2</v>
      </c>
      <c r="AJ10" s="35">
        <f t="shared" ref="AJ10:AJ73" si="3">AH10*1.2</f>
        <v>1118.3999999999999</v>
      </c>
      <c r="AK10" s="35">
        <f t="shared" ref="AK10:AK73" si="4">AH10*1.5</f>
        <v>1398</v>
      </c>
      <c r="AL10" s="35">
        <f t="shared" ref="AL10:AL73" si="5">AH10*1.05</f>
        <v>978.6</v>
      </c>
      <c r="AM10" s="35">
        <f t="shared" ref="AM10:AM73" si="6">AH10*1.25</f>
        <v>1165</v>
      </c>
    </row>
    <row r="11" spans="1:39" ht="15.75">
      <c r="A11" s="382">
        <f t="shared" ref="A11:A35" si="7">(A10+1)</f>
        <v>2</v>
      </c>
      <c r="B11" s="383" t="s">
        <v>656</v>
      </c>
      <c r="C11" s="384">
        <f>AG10</f>
        <v>1118.3999999999999</v>
      </c>
      <c r="D11" s="385">
        <f>AG9</f>
        <v>1198.8</v>
      </c>
      <c r="F11" s="370">
        <v>1</v>
      </c>
      <c r="G11" s="368" t="s">
        <v>108</v>
      </c>
      <c r="H11" s="356" t="s">
        <v>127</v>
      </c>
      <c r="I11" s="370">
        <f>(C18)</f>
        <v>139.19999999999999</v>
      </c>
      <c r="J11" s="356" t="s">
        <v>108</v>
      </c>
      <c r="K11" s="370">
        <f>(F11*I11)</f>
        <v>139.19999999999999</v>
      </c>
      <c r="M11" s="370">
        <v>1</v>
      </c>
      <c r="N11" s="356" t="s">
        <v>108</v>
      </c>
      <c r="O11" s="356" t="s">
        <v>657</v>
      </c>
      <c r="P11" s="370">
        <f>(C64)</f>
        <v>280.60000000000002</v>
      </c>
      <c r="Q11" s="356" t="s">
        <v>108</v>
      </c>
      <c r="R11" s="370">
        <f>(M11*P11)</f>
        <v>280.60000000000002</v>
      </c>
      <c r="T11" s="357" t="s">
        <v>658</v>
      </c>
      <c r="U11" s="356" t="s">
        <v>659</v>
      </c>
      <c r="V11" s="356" t="s">
        <v>649</v>
      </c>
      <c r="W11" s="378" t="str">
        <f t="shared" ref="W11:W15" si="8">W10</f>
        <v>Kurunthamalai</v>
      </c>
      <c r="X11" s="370">
        <f>'[6]lead  charge'!E10:E10</f>
        <v>18</v>
      </c>
      <c r="Y11" s="370">
        <f>+'[6]lead  charge'!D36</f>
        <v>11</v>
      </c>
      <c r="Z11" s="379">
        <f>ROUND((618+687+1016)/3,2)</f>
        <v>773.67</v>
      </c>
      <c r="AA11" s="380">
        <f>'[6]lead  charge'!F10</f>
        <v>196.18</v>
      </c>
      <c r="AB11" s="380">
        <f>+'[6]lead  charge'!E36</f>
        <v>194.1</v>
      </c>
      <c r="AC11" s="357"/>
      <c r="AD11" s="360">
        <v>0</v>
      </c>
      <c r="AE11" s="356">
        <f t="shared" si="0"/>
        <v>1163.9499999999998</v>
      </c>
      <c r="AF11" s="356" t="s">
        <v>660</v>
      </c>
      <c r="AG11" s="381">
        <f t="shared" si="1"/>
        <v>781.19999999999993</v>
      </c>
      <c r="AH11" s="379">
        <v>651</v>
      </c>
      <c r="AI11" s="370">
        <f t="shared" si="2"/>
        <v>716.1</v>
      </c>
      <c r="AJ11" s="35">
        <f t="shared" si="3"/>
        <v>781.19999999999993</v>
      </c>
      <c r="AK11" s="35">
        <f t="shared" si="4"/>
        <v>976.5</v>
      </c>
      <c r="AL11" s="35">
        <f t="shared" si="5"/>
        <v>683.55000000000007</v>
      </c>
      <c r="AM11" s="35">
        <f t="shared" si="6"/>
        <v>813.75</v>
      </c>
    </row>
    <row r="12" spans="1:39" ht="15.75">
      <c r="A12" s="382">
        <f t="shared" si="7"/>
        <v>3</v>
      </c>
      <c r="B12" s="383" t="s">
        <v>661</v>
      </c>
      <c r="C12" s="384">
        <f>AG11</f>
        <v>781.19999999999993</v>
      </c>
      <c r="D12" s="385" t="s">
        <v>151</v>
      </c>
      <c r="G12" s="368" t="s">
        <v>128</v>
      </c>
      <c r="H12" s="356" t="s">
        <v>129</v>
      </c>
      <c r="I12" s="356" t="s">
        <v>114</v>
      </c>
      <c r="J12" s="356" t="s">
        <v>128</v>
      </c>
      <c r="K12" s="370">
        <v>0</v>
      </c>
      <c r="N12" s="356" t="s">
        <v>128</v>
      </c>
      <c r="O12" s="356" t="s">
        <v>129</v>
      </c>
      <c r="P12" s="356" t="s">
        <v>114</v>
      </c>
      <c r="Q12" s="356" t="s">
        <v>128</v>
      </c>
      <c r="R12" s="370">
        <v>0</v>
      </c>
      <c r="T12" s="357" t="s">
        <v>662</v>
      </c>
      <c r="U12" s="356" t="s">
        <v>663</v>
      </c>
      <c r="V12" s="356" t="s">
        <v>649</v>
      </c>
      <c r="W12" s="378" t="str">
        <f t="shared" si="8"/>
        <v>Kurunthamalai</v>
      </c>
      <c r="X12" s="370">
        <f>X11</f>
        <v>18</v>
      </c>
      <c r="Y12" s="370">
        <f>+'[6]lead  charge'!D36</f>
        <v>11</v>
      </c>
      <c r="Z12" s="379">
        <v>1016</v>
      </c>
      <c r="AA12" s="380">
        <f>AA11</f>
        <v>196.18</v>
      </c>
      <c r="AB12" s="380">
        <f>+'[6]lead  charge'!E36</f>
        <v>194.1</v>
      </c>
      <c r="AC12" s="357"/>
      <c r="AD12" s="360">
        <v>0</v>
      </c>
      <c r="AE12" s="356">
        <f t="shared" si="0"/>
        <v>1406.28</v>
      </c>
      <c r="AF12" s="356" t="s">
        <v>664</v>
      </c>
      <c r="AG12" s="381">
        <f t="shared" si="1"/>
        <v>640.79999999999995</v>
      </c>
      <c r="AH12" s="379">
        <v>534</v>
      </c>
      <c r="AI12" s="370">
        <f t="shared" si="2"/>
        <v>587.40000000000009</v>
      </c>
      <c r="AJ12" s="35">
        <f t="shared" si="3"/>
        <v>640.79999999999995</v>
      </c>
      <c r="AK12" s="35">
        <f t="shared" si="4"/>
        <v>801</v>
      </c>
      <c r="AL12" s="35">
        <f t="shared" si="5"/>
        <v>560.70000000000005</v>
      </c>
      <c r="AM12" s="35">
        <f t="shared" si="6"/>
        <v>667.5</v>
      </c>
    </row>
    <row r="13" spans="1:39" ht="15.75">
      <c r="A13" s="382">
        <f t="shared" si="7"/>
        <v>4</v>
      </c>
      <c r="B13" s="383" t="s">
        <v>665</v>
      </c>
      <c r="C13" s="384">
        <f>AG12</f>
        <v>640.79999999999995</v>
      </c>
      <c r="D13" s="385" t="s">
        <v>151</v>
      </c>
      <c r="K13" s="363" t="s">
        <v>117</v>
      </c>
      <c r="R13" s="363" t="s">
        <v>117</v>
      </c>
      <c r="T13" s="357" t="s">
        <v>666</v>
      </c>
      <c r="U13" s="356" t="s">
        <v>667</v>
      </c>
      <c r="V13" s="356" t="s">
        <v>649</v>
      </c>
      <c r="W13" s="378" t="str">
        <f t="shared" si="8"/>
        <v>Kurunthamalai</v>
      </c>
      <c r="X13" s="370">
        <f>X11</f>
        <v>18</v>
      </c>
      <c r="Y13" s="370">
        <f>+'[6]lead  charge'!D36</f>
        <v>11</v>
      </c>
      <c r="Z13" s="379">
        <v>1382</v>
      </c>
      <c r="AA13" s="380">
        <f>AA12</f>
        <v>196.18</v>
      </c>
      <c r="AB13" s="380">
        <f>+'[6]lead  charge'!E36</f>
        <v>194.1</v>
      </c>
      <c r="AC13" s="357"/>
      <c r="AD13" s="360">
        <v>0</v>
      </c>
      <c r="AE13" s="356">
        <f t="shared" si="0"/>
        <v>1772.28</v>
      </c>
      <c r="AF13" s="356" t="s">
        <v>668</v>
      </c>
      <c r="AG13" s="381">
        <f t="shared" si="1"/>
        <v>956.4</v>
      </c>
      <c r="AH13" s="379">
        <v>797</v>
      </c>
      <c r="AI13" s="370">
        <f t="shared" si="2"/>
        <v>876.7</v>
      </c>
      <c r="AJ13" s="35">
        <f t="shared" si="3"/>
        <v>956.4</v>
      </c>
      <c r="AK13" s="35">
        <f t="shared" si="4"/>
        <v>1195.5</v>
      </c>
      <c r="AL13" s="35">
        <f t="shared" si="5"/>
        <v>836.85</v>
      </c>
      <c r="AM13" s="35">
        <f t="shared" si="6"/>
        <v>996.25</v>
      </c>
    </row>
    <row r="14" spans="1:39" ht="15.75">
      <c r="A14" s="382">
        <f t="shared" si="7"/>
        <v>5</v>
      </c>
      <c r="B14" s="383" t="s">
        <v>669</v>
      </c>
      <c r="C14" s="384">
        <f>AG13</f>
        <v>956.4</v>
      </c>
      <c r="D14" s="384">
        <f>AG14</f>
        <v>926.4</v>
      </c>
      <c r="H14" s="356" t="s">
        <v>130</v>
      </c>
      <c r="K14" s="369">
        <f>SUM(K9:K12)</f>
        <v>8035.5843999999997</v>
      </c>
      <c r="N14" s="370">
        <f>SUM(K9:K12)</f>
        <v>8035.5843999999997</v>
      </c>
      <c r="O14" s="356" t="s">
        <v>130</v>
      </c>
      <c r="R14" s="370">
        <f>SUM(R9:R12)</f>
        <v>2614.65</v>
      </c>
      <c r="T14" s="357" t="s">
        <v>670</v>
      </c>
      <c r="U14" s="356" t="s">
        <v>671</v>
      </c>
      <c r="V14" s="356" t="s">
        <v>649</v>
      </c>
      <c r="W14" s="378" t="str">
        <f t="shared" si="8"/>
        <v>Kurunthamalai</v>
      </c>
      <c r="X14" s="370">
        <f>X11</f>
        <v>18</v>
      </c>
      <c r="Y14" s="370">
        <f>+'[6]lead  charge'!D36</f>
        <v>11</v>
      </c>
      <c r="Z14" s="379">
        <v>1489</v>
      </c>
      <c r="AA14" s="380">
        <f>AA13</f>
        <v>196.18</v>
      </c>
      <c r="AB14" s="380">
        <f>+'[6]lead  charge'!E36</f>
        <v>194.1</v>
      </c>
      <c r="AC14" s="357"/>
      <c r="AD14" s="360">
        <v>0</v>
      </c>
      <c r="AE14" s="356">
        <f t="shared" si="0"/>
        <v>1879.28</v>
      </c>
      <c r="AF14" s="356" t="s">
        <v>672</v>
      </c>
      <c r="AG14" s="381">
        <f t="shared" si="1"/>
        <v>926.4</v>
      </c>
      <c r="AH14" s="379">
        <v>772</v>
      </c>
      <c r="AI14" s="370">
        <f t="shared" si="2"/>
        <v>849.2</v>
      </c>
      <c r="AJ14" s="35">
        <f t="shared" si="3"/>
        <v>926.4</v>
      </c>
      <c r="AK14" s="35">
        <f t="shared" si="4"/>
        <v>1158</v>
      </c>
      <c r="AL14" s="35">
        <f t="shared" si="5"/>
        <v>810.6</v>
      </c>
      <c r="AM14" s="35">
        <f t="shared" si="6"/>
        <v>965</v>
      </c>
    </row>
    <row r="15" spans="1:39" ht="15.75">
      <c r="A15" s="382">
        <f t="shared" si="7"/>
        <v>6</v>
      </c>
      <c r="B15" s="383" t="s">
        <v>673</v>
      </c>
      <c r="C15" s="384">
        <f>AG15</f>
        <v>1039.2</v>
      </c>
      <c r="D15" s="385" t="s">
        <v>151</v>
      </c>
      <c r="K15" s="363" t="s">
        <v>117</v>
      </c>
      <c r="R15" s="363" t="s">
        <v>117</v>
      </c>
      <c r="T15" s="357" t="s">
        <v>674</v>
      </c>
      <c r="U15" s="356" t="s">
        <v>675</v>
      </c>
      <c r="V15" s="356" t="s">
        <v>649</v>
      </c>
      <c r="W15" s="378" t="str">
        <f t="shared" si="8"/>
        <v>Kurunthamalai</v>
      </c>
      <c r="X15" s="370">
        <f>X11</f>
        <v>18</v>
      </c>
      <c r="Y15" s="370">
        <f>+'[6]lead  charge'!D36</f>
        <v>11</v>
      </c>
      <c r="Z15" s="379">
        <v>1069.8</v>
      </c>
      <c r="AA15" s="380">
        <f>AA14</f>
        <v>196.18</v>
      </c>
      <c r="AB15" s="380">
        <f>+'[6]lead  charge'!E36</f>
        <v>194.1</v>
      </c>
      <c r="AC15" s="357"/>
      <c r="AD15" s="360">
        <v>0</v>
      </c>
      <c r="AE15" s="356">
        <f t="shared" si="0"/>
        <v>1460.08</v>
      </c>
      <c r="AF15" s="356" t="s">
        <v>676</v>
      </c>
      <c r="AG15" s="381">
        <f t="shared" si="1"/>
        <v>1039.2</v>
      </c>
      <c r="AH15" s="379">
        <v>866</v>
      </c>
      <c r="AI15" s="370">
        <f t="shared" si="2"/>
        <v>952.6</v>
      </c>
      <c r="AJ15" s="35">
        <f t="shared" si="3"/>
        <v>1039.2</v>
      </c>
      <c r="AK15" s="35">
        <f t="shared" si="4"/>
        <v>1299</v>
      </c>
      <c r="AL15" s="35">
        <f t="shared" si="5"/>
        <v>909.30000000000007</v>
      </c>
      <c r="AM15" s="35">
        <f t="shared" si="6"/>
        <v>1082.5</v>
      </c>
    </row>
    <row r="16" spans="1:39" ht="15.75">
      <c r="A16" s="382">
        <f t="shared" si="7"/>
        <v>7</v>
      </c>
      <c r="B16" s="383" t="s">
        <v>677</v>
      </c>
      <c r="C16" s="384">
        <f>AG19</f>
        <v>1171.2</v>
      </c>
      <c r="D16" s="384">
        <f>AG20</f>
        <v>1118.3999999999999</v>
      </c>
      <c r="G16" s="368" t="s">
        <v>122</v>
      </c>
      <c r="H16" s="356" t="s">
        <v>131</v>
      </c>
      <c r="N16" s="356" t="s">
        <v>122</v>
      </c>
      <c r="O16" s="356" t="s">
        <v>678</v>
      </c>
      <c r="T16" s="357" t="s">
        <v>679</v>
      </c>
      <c r="U16" s="356" t="s">
        <v>680</v>
      </c>
      <c r="V16" s="356" t="s">
        <v>649</v>
      </c>
      <c r="W16" s="378" t="s">
        <v>681</v>
      </c>
      <c r="X16" s="370">
        <f>'[6]lead  charge'!E11</f>
        <v>25</v>
      </c>
      <c r="Y16" s="370">
        <f>+'[6]lead  charge'!D50</f>
        <v>11</v>
      </c>
      <c r="Z16" s="386">
        <v>1338</v>
      </c>
      <c r="AA16" s="380">
        <f>'[6]lead  charge'!F11</f>
        <v>258.95</v>
      </c>
      <c r="AB16" s="380">
        <f>+'[6]lead  charge'!E50</f>
        <v>182.18</v>
      </c>
      <c r="AC16" s="357"/>
      <c r="AD16" s="360">
        <v>0</v>
      </c>
      <c r="AE16" s="356">
        <f t="shared" si="0"/>
        <v>1779.13</v>
      </c>
      <c r="AF16" s="356" t="s">
        <v>682</v>
      </c>
      <c r="AG16" s="381">
        <f t="shared" si="1"/>
        <v>1006.8</v>
      </c>
      <c r="AH16" s="379">
        <v>839</v>
      </c>
      <c r="AI16" s="370">
        <f t="shared" si="2"/>
        <v>922.90000000000009</v>
      </c>
      <c r="AJ16" s="35">
        <f t="shared" si="3"/>
        <v>1006.8</v>
      </c>
      <c r="AK16" s="35">
        <f t="shared" si="4"/>
        <v>1258.5</v>
      </c>
      <c r="AL16" s="35">
        <f t="shared" si="5"/>
        <v>880.95</v>
      </c>
      <c r="AM16" s="35">
        <f t="shared" si="6"/>
        <v>1048.75</v>
      </c>
    </row>
    <row r="17" spans="1:39" ht="15.75">
      <c r="A17" s="382">
        <f t="shared" si="7"/>
        <v>8</v>
      </c>
      <c r="B17" s="383" t="s">
        <v>683</v>
      </c>
      <c r="C17" s="384">
        <f>AG17</f>
        <v>1057.2</v>
      </c>
      <c r="D17" s="384">
        <f>AG18</f>
        <v>1027.2</v>
      </c>
      <c r="H17" s="363" t="s">
        <v>117</v>
      </c>
      <c r="O17" s="356" t="s">
        <v>684</v>
      </c>
      <c r="T17" s="357" t="s">
        <v>685</v>
      </c>
      <c r="U17" s="356" t="s">
        <v>686</v>
      </c>
      <c r="V17" s="356" t="s">
        <v>649</v>
      </c>
      <c r="W17" s="378" t="s">
        <v>681</v>
      </c>
      <c r="X17" s="370">
        <f>X16</f>
        <v>25</v>
      </c>
      <c r="Y17" s="370">
        <f>+'[6]lead  charge'!D50</f>
        <v>11</v>
      </c>
      <c r="Z17" s="386">
        <f>Z16</f>
        <v>1338</v>
      </c>
      <c r="AA17" s="380">
        <f>AA16</f>
        <v>258.95</v>
      </c>
      <c r="AB17" s="380">
        <f>+'[6]lead  charge'!E50</f>
        <v>182.18</v>
      </c>
      <c r="AC17" s="357"/>
      <c r="AD17" s="360">
        <v>0</v>
      </c>
      <c r="AE17" s="356">
        <f t="shared" si="0"/>
        <v>1779.13</v>
      </c>
      <c r="AF17" s="356" t="s">
        <v>687</v>
      </c>
      <c r="AG17" s="381">
        <f t="shared" si="1"/>
        <v>1057.2</v>
      </c>
      <c r="AH17" s="379">
        <v>881</v>
      </c>
      <c r="AI17" s="370">
        <f t="shared" si="2"/>
        <v>969.1</v>
      </c>
      <c r="AJ17" s="35">
        <f t="shared" si="3"/>
        <v>1057.2</v>
      </c>
      <c r="AK17" s="35">
        <f t="shared" si="4"/>
        <v>1321.5</v>
      </c>
      <c r="AL17" s="35">
        <f t="shared" si="5"/>
        <v>925.05000000000007</v>
      </c>
      <c r="AM17" s="35">
        <f t="shared" si="6"/>
        <v>1101.25</v>
      </c>
    </row>
    <row r="18" spans="1:39" ht="15.75">
      <c r="A18" s="382">
        <f t="shared" si="7"/>
        <v>9</v>
      </c>
      <c r="B18" s="383" t="s">
        <v>688</v>
      </c>
      <c r="C18" s="384">
        <f>AG24</f>
        <v>139.19999999999999</v>
      </c>
      <c r="D18" s="385" t="s">
        <v>689</v>
      </c>
      <c r="F18" s="370">
        <v>0.72</v>
      </c>
      <c r="G18" s="368" t="s">
        <v>124</v>
      </c>
      <c r="H18" s="356" t="s">
        <v>125</v>
      </c>
      <c r="I18" s="370">
        <f>(C67)</f>
        <v>6372.14</v>
      </c>
      <c r="J18" s="356" t="s">
        <v>124</v>
      </c>
      <c r="K18" s="370">
        <f>(F18*I18)</f>
        <v>4587.9408000000003</v>
      </c>
      <c r="O18" s="356" t="s">
        <v>690</v>
      </c>
      <c r="T18" s="357" t="s">
        <v>691</v>
      </c>
      <c r="U18" s="356" t="s">
        <v>692</v>
      </c>
      <c r="V18" s="356" t="s">
        <v>693</v>
      </c>
      <c r="W18" s="378" t="s">
        <v>694</v>
      </c>
      <c r="X18" s="370">
        <f>'[6]lead  charge'!H10</f>
        <v>37</v>
      </c>
      <c r="Y18" s="370">
        <f>+'[6]lead  charge'!G36</f>
        <v>11</v>
      </c>
      <c r="Z18" s="379">
        <v>5709</v>
      </c>
      <c r="AA18" s="380">
        <f>'[6]lead  charge'!I10</f>
        <v>305.04000000000002</v>
      </c>
      <c r="AB18" s="380">
        <f>+'[6]lead  charge'!H36</f>
        <v>143</v>
      </c>
      <c r="AC18" s="357"/>
      <c r="AD18" s="360">
        <v>0</v>
      </c>
      <c r="AE18" s="356">
        <f t="shared" si="0"/>
        <v>6157.04</v>
      </c>
      <c r="AF18" s="356" t="s">
        <v>695</v>
      </c>
      <c r="AG18" s="381">
        <f t="shared" si="1"/>
        <v>1027.2</v>
      </c>
      <c r="AH18" s="379">
        <v>856</v>
      </c>
      <c r="AI18" s="370">
        <f t="shared" si="2"/>
        <v>941.6</v>
      </c>
      <c r="AJ18" s="35">
        <f t="shared" si="3"/>
        <v>1027.2</v>
      </c>
      <c r="AK18" s="35">
        <f t="shared" si="4"/>
        <v>1284</v>
      </c>
      <c r="AL18" s="35">
        <f t="shared" si="5"/>
        <v>898.80000000000007</v>
      </c>
      <c r="AM18" s="35">
        <f t="shared" si="6"/>
        <v>1070</v>
      </c>
    </row>
    <row r="19" spans="1:39" ht="15.75">
      <c r="A19" s="382">
        <f t="shared" si="7"/>
        <v>10</v>
      </c>
      <c r="B19" s="383" t="s">
        <v>696</v>
      </c>
      <c r="C19" s="381">
        <f t="shared" ref="C19:C24" si="9">AG41</f>
        <v>94.68</v>
      </c>
      <c r="D19" s="385" t="s">
        <v>108</v>
      </c>
      <c r="F19" s="370">
        <v>1</v>
      </c>
      <c r="G19" s="368" t="s">
        <v>108</v>
      </c>
      <c r="H19" s="356" t="s">
        <v>126</v>
      </c>
      <c r="I19" s="370">
        <f>I36</f>
        <v>1779.13</v>
      </c>
      <c r="J19" s="356" t="s">
        <v>108</v>
      </c>
      <c r="K19" s="370">
        <f>(F19*I19)</f>
        <v>1779.13</v>
      </c>
      <c r="O19" s="356" t="s">
        <v>697</v>
      </c>
      <c r="T19" s="357" t="s">
        <v>698</v>
      </c>
      <c r="U19" s="356" t="s">
        <v>699</v>
      </c>
      <c r="V19" s="356" t="s">
        <v>108</v>
      </c>
      <c r="W19" s="378" t="str">
        <f>W18</f>
        <v>Chinnathadagam</v>
      </c>
      <c r="X19" s="370">
        <f>'[6]lead  charge'!Q10</f>
        <v>37</v>
      </c>
      <c r="Y19" s="370">
        <f>+'[6]lead  charge'!P36</f>
        <v>11</v>
      </c>
      <c r="Z19" s="379">
        <v>705</v>
      </c>
      <c r="AA19" s="387">
        <f>'[6]lead  charge'!R10</f>
        <v>248.6</v>
      </c>
      <c r="AB19" s="387">
        <f>+'[6]lead  charge'!Q36</f>
        <v>116.84</v>
      </c>
      <c r="AC19" s="357"/>
      <c r="AD19" s="360">
        <v>0</v>
      </c>
      <c r="AE19" s="356">
        <f t="shared" si="0"/>
        <v>1070.44</v>
      </c>
      <c r="AF19" s="356" t="s">
        <v>700</v>
      </c>
      <c r="AG19" s="381">
        <f t="shared" si="1"/>
        <v>1171.2</v>
      </c>
      <c r="AH19" s="379">
        <v>976</v>
      </c>
      <c r="AI19" s="370">
        <f t="shared" si="2"/>
        <v>1073.6000000000001</v>
      </c>
      <c r="AJ19" s="35">
        <f t="shared" si="3"/>
        <v>1171.2</v>
      </c>
      <c r="AK19" s="35">
        <f t="shared" si="4"/>
        <v>1464</v>
      </c>
      <c r="AL19" s="35">
        <f t="shared" si="5"/>
        <v>1024.8</v>
      </c>
      <c r="AM19" s="35">
        <f t="shared" si="6"/>
        <v>1220</v>
      </c>
    </row>
    <row r="20" spans="1:39" ht="15.75">
      <c r="A20" s="382">
        <f t="shared" si="7"/>
        <v>11</v>
      </c>
      <c r="B20" s="383" t="s">
        <v>701</v>
      </c>
      <c r="C20" s="381">
        <f t="shared" si="9"/>
        <v>191.04</v>
      </c>
      <c r="D20" s="385" t="s">
        <v>108</v>
      </c>
      <c r="F20" s="370">
        <v>1</v>
      </c>
      <c r="G20" s="368" t="s">
        <v>108</v>
      </c>
      <c r="H20" s="356" t="s">
        <v>127</v>
      </c>
      <c r="I20" s="370">
        <f>(C18)</f>
        <v>139.19999999999999</v>
      </c>
      <c r="J20" s="356" t="s">
        <v>108</v>
      </c>
      <c r="K20" s="370">
        <f>(F20*I20)</f>
        <v>139.19999999999999</v>
      </c>
      <c r="O20" s="356" t="s">
        <v>702</v>
      </c>
      <c r="T20" s="357" t="s">
        <v>703</v>
      </c>
      <c r="U20" s="356" t="s">
        <v>704</v>
      </c>
      <c r="V20" s="356" t="s">
        <v>108</v>
      </c>
      <c r="W20" s="378" t="str">
        <f>W18</f>
        <v>Chinnathadagam</v>
      </c>
      <c r="X20" s="370">
        <f>X19</f>
        <v>37</v>
      </c>
      <c r="Y20" s="370">
        <f>+'[6]lead  charge'!P36</f>
        <v>11</v>
      </c>
      <c r="Z20" s="379">
        <v>786</v>
      </c>
      <c r="AA20" s="380">
        <f>AA19</f>
        <v>248.6</v>
      </c>
      <c r="AB20" s="380">
        <f>+'[6]lead  charge'!Q36</f>
        <v>116.84</v>
      </c>
      <c r="AC20" s="357"/>
      <c r="AD20" s="360">
        <v>0</v>
      </c>
      <c r="AE20" s="356">
        <f t="shared" si="0"/>
        <v>1151.4399999999998</v>
      </c>
      <c r="AF20" s="356" t="s">
        <v>705</v>
      </c>
      <c r="AG20" s="381">
        <f t="shared" si="1"/>
        <v>1118.3999999999999</v>
      </c>
      <c r="AH20" s="379">
        <v>932</v>
      </c>
      <c r="AI20" s="370">
        <f t="shared" si="2"/>
        <v>1025.2</v>
      </c>
      <c r="AJ20" s="35">
        <f t="shared" si="3"/>
        <v>1118.3999999999999</v>
      </c>
      <c r="AK20" s="35">
        <f t="shared" si="4"/>
        <v>1398</v>
      </c>
      <c r="AL20" s="35">
        <f t="shared" si="5"/>
        <v>978.6</v>
      </c>
      <c r="AM20" s="35">
        <f t="shared" si="6"/>
        <v>1165</v>
      </c>
    </row>
    <row r="21" spans="1:39" ht="15.75">
      <c r="A21" s="382">
        <f t="shared" si="7"/>
        <v>12</v>
      </c>
      <c r="B21" s="383" t="s">
        <v>706</v>
      </c>
      <c r="C21" s="381">
        <f t="shared" si="9"/>
        <v>191.04</v>
      </c>
      <c r="D21" s="385" t="s">
        <v>108</v>
      </c>
      <c r="G21" s="368" t="s">
        <v>128</v>
      </c>
      <c r="H21" s="356" t="s">
        <v>129</v>
      </c>
      <c r="I21" s="356" t="s">
        <v>114</v>
      </c>
      <c r="J21" s="356" t="s">
        <v>128</v>
      </c>
      <c r="K21" s="370">
        <v>0</v>
      </c>
      <c r="O21" s="363" t="s">
        <v>117</v>
      </c>
      <c r="T21" s="357" t="s">
        <v>707</v>
      </c>
      <c r="U21" s="356" t="s">
        <v>708</v>
      </c>
      <c r="V21" s="356" t="s">
        <v>693</v>
      </c>
      <c r="W21" s="378" t="str">
        <f t="shared" ref="W21:W33" si="10">W19</f>
        <v>Chinnathadagam</v>
      </c>
      <c r="X21" s="370">
        <f>X20</f>
        <v>37</v>
      </c>
      <c r="Y21" s="370">
        <f>+'[6]lead  charge'!J36</f>
        <v>11</v>
      </c>
      <c r="Z21" s="379">
        <v>16106</v>
      </c>
      <c r="AA21" s="380">
        <f>'[6]lead  charge'!L11</f>
        <v>203.625</v>
      </c>
      <c r="AB21" s="380">
        <f>+'[6]lead  charge'!K36</f>
        <v>190.86</v>
      </c>
      <c r="AC21" s="357"/>
      <c r="AD21" s="360">
        <v>0</v>
      </c>
      <c r="AE21" s="356">
        <f t="shared" si="0"/>
        <v>16500.485000000001</v>
      </c>
      <c r="AF21" s="356" t="s">
        <v>709</v>
      </c>
      <c r="AG21" s="381">
        <f t="shared" si="1"/>
        <v>919.19999999999993</v>
      </c>
      <c r="AH21" s="379">
        <v>766</v>
      </c>
      <c r="AI21" s="370">
        <f t="shared" si="2"/>
        <v>842.6</v>
      </c>
      <c r="AJ21" s="35">
        <f t="shared" si="3"/>
        <v>919.19999999999993</v>
      </c>
      <c r="AK21" s="35">
        <f t="shared" si="4"/>
        <v>1149</v>
      </c>
      <c r="AL21" s="35">
        <f t="shared" si="5"/>
        <v>804.30000000000007</v>
      </c>
      <c r="AM21" s="35">
        <f t="shared" si="6"/>
        <v>957.5</v>
      </c>
    </row>
    <row r="22" spans="1:39" ht="15.75">
      <c r="A22" s="382">
        <f t="shared" si="7"/>
        <v>13</v>
      </c>
      <c r="B22" s="383" t="s">
        <v>710</v>
      </c>
      <c r="C22" s="381">
        <f t="shared" si="9"/>
        <v>143.82</v>
      </c>
      <c r="D22" s="385" t="s">
        <v>108</v>
      </c>
      <c r="K22" s="363" t="s">
        <v>117</v>
      </c>
      <c r="M22" s="370">
        <v>1</v>
      </c>
      <c r="N22" s="356" t="s">
        <v>108</v>
      </c>
      <c r="O22" s="356" t="s">
        <v>711</v>
      </c>
      <c r="P22" s="370">
        <f>C79</f>
        <v>1779.13</v>
      </c>
      <c r="Q22" s="356" t="s">
        <v>108</v>
      </c>
      <c r="R22" s="370">
        <f>(M22*P22)</f>
        <v>1779.13</v>
      </c>
      <c r="T22" s="357" t="s">
        <v>712</v>
      </c>
      <c r="U22" s="356" t="s">
        <v>713</v>
      </c>
      <c r="V22" s="356" t="s">
        <v>649</v>
      </c>
      <c r="W22" s="378" t="str">
        <f t="shared" si="10"/>
        <v>Chinnathadagam</v>
      </c>
      <c r="X22" s="370">
        <f t="shared" ref="X22:X23" si="11">X21</f>
        <v>37</v>
      </c>
      <c r="Y22" s="370">
        <f>+'[6]lead  charge'!P36</f>
        <v>11</v>
      </c>
      <c r="Z22" s="379">
        <v>1348</v>
      </c>
      <c r="AA22" s="380"/>
      <c r="AB22" s="380">
        <f>+'[6]lead  charge'!Q36</f>
        <v>116.84</v>
      </c>
      <c r="AC22" s="357"/>
      <c r="AD22" s="360">
        <v>0</v>
      </c>
      <c r="AE22" s="356">
        <f t="shared" si="0"/>
        <v>1464.84</v>
      </c>
      <c r="AF22" s="356" t="s">
        <v>714</v>
      </c>
      <c r="AG22" s="381">
        <f t="shared" si="1"/>
        <v>885.6</v>
      </c>
      <c r="AH22" s="379">
        <v>738</v>
      </c>
      <c r="AI22" s="370">
        <f t="shared" si="2"/>
        <v>811.80000000000007</v>
      </c>
      <c r="AJ22" s="35">
        <f t="shared" si="3"/>
        <v>885.6</v>
      </c>
      <c r="AK22" s="35">
        <f t="shared" si="4"/>
        <v>1107</v>
      </c>
      <c r="AL22" s="35">
        <f t="shared" si="5"/>
        <v>774.9</v>
      </c>
      <c r="AM22" s="35">
        <f t="shared" si="6"/>
        <v>922.5</v>
      </c>
    </row>
    <row r="23" spans="1:39" ht="15.75">
      <c r="A23" s="382">
        <f t="shared" si="7"/>
        <v>14</v>
      </c>
      <c r="B23" s="383" t="s">
        <v>715</v>
      </c>
      <c r="C23" s="381">
        <f t="shared" si="9"/>
        <v>283.32</v>
      </c>
      <c r="D23" s="385" t="s">
        <v>108</v>
      </c>
      <c r="H23" s="356" t="s">
        <v>130</v>
      </c>
      <c r="K23" s="369">
        <f>SUM(K18:K21)</f>
        <v>6506.2708000000002</v>
      </c>
      <c r="M23" s="370">
        <v>1</v>
      </c>
      <c r="N23" s="356" t="s">
        <v>108</v>
      </c>
      <c r="O23" s="356" t="s">
        <v>716</v>
      </c>
      <c r="P23" s="370">
        <f>C85</f>
        <v>1109.8399999999999</v>
      </c>
      <c r="Q23" s="356" t="s">
        <v>108</v>
      </c>
      <c r="R23" s="370">
        <f>(M23*P23)</f>
        <v>1109.8399999999999</v>
      </c>
      <c r="T23" s="357" t="s">
        <v>717</v>
      </c>
      <c r="U23" s="356" t="s">
        <v>718</v>
      </c>
      <c r="V23" s="356" t="s">
        <v>649</v>
      </c>
      <c r="W23" s="378" t="str">
        <f t="shared" si="10"/>
        <v>Chinnathadagam</v>
      </c>
      <c r="X23" s="370">
        <f t="shared" si="11"/>
        <v>37</v>
      </c>
      <c r="Y23" s="370">
        <f>+'[6]lead  charge'!P36</f>
        <v>11</v>
      </c>
      <c r="Z23" s="379">
        <v>993</v>
      </c>
      <c r="AA23" s="380">
        <f>'[6]lead  charge'!R11</f>
        <v>0</v>
      </c>
      <c r="AB23" s="380">
        <f>+'[6]lead  charge'!Q36</f>
        <v>116.84</v>
      </c>
      <c r="AC23" s="357"/>
      <c r="AD23" s="360">
        <v>0</v>
      </c>
      <c r="AE23" s="356">
        <f t="shared" si="0"/>
        <v>1109.8399999999999</v>
      </c>
      <c r="AF23" s="356" t="s">
        <v>719</v>
      </c>
      <c r="AG23" s="381">
        <f t="shared" si="1"/>
        <v>922.8</v>
      </c>
      <c r="AH23" s="379">
        <v>769</v>
      </c>
      <c r="AI23" s="370">
        <f t="shared" si="2"/>
        <v>845.90000000000009</v>
      </c>
      <c r="AJ23" s="35">
        <f t="shared" si="3"/>
        <v>922.8</v>
      </c>
      <c r="AK23" s="35">
        <f t="shared" si="4"/>
        <v>1153.5</v>
      </c>
      <c r="AL23" s="35">
        <f t="shared" si="5"/>
        <v>807.45</v>
      </c>
      <c r="AM23" s="35">
        <f t="shared" si="6"/>
        <v>961.25</v>
      </c>
    </row>
    <row r="24" spans="1:39" ht="15.75">
      <c r="A24" s="382">
        <f t="shared" si="7"/>
        <v>15</v>
      </c>
      <c r="B24" s="383" t="s">
        <v>720</v>
      </c>
      <c r="C24" s="381">
        <f t="shared" si="9"/>
        <v>283.32</v>
      </c>
      <c r="D24" s="385" t="s">
        <v>108</v>
      </c>
      <c r="K24" s="363" t="s">
        <v>117</v>
      </c>
      <c r="M24" s="370">
        <v>1.5</v>
      </c>
      <c r="N24" s="356" t="s">
        <v>108</v>
      </c>
      <c r="O24" s="356" t="s">
        <v>721</v>
      </c>
      <c r="P24" s="370">
        <f>C18</f>
        <v>139.19999999999999</v>
      </c>
      <c r="Q24" s="356" t="s">
        <v>108</v>
      </c>
      <c r="R24" s="370">
        <f>(M24*P24)</f>
        <v>208.79999999999998</v>
      </c>
      <c r="T24" s="357" t="s">
        <v>722</v>
      </c>
      <c r="U24" s="356" t="s">
        <v>723</v>
      </c>
      <c r="V24" s="356" t="s">
        <v>649</v>
      </c>
      <c r="W24" s="378" t="str">
        <f t="shared" si="10"/>
        <v>Chinnathadagam</v>
      </c>
      <c r="X24" s="35">
        <f>X25</f>
        <v>37</v>
      </c>
      <c r="Y24" s="35">
        <f>+'[6]lead  charge'!P36</f>
        <v>11</v>
      </c>
      <c r="Z24" s="379">
        <v>34300</v>
      </c>
      <c r="AA24" s="388">
        <f>AA25</f>
        <v>248.6</v>
      </c>
      <c r="AB24" s="388">
        <f>+'[6]lead  charge'!Q36</f>
        <v>116.84</v>
      </c>
      <c r="AC24" s="361"/>
      <c r="AD24" s="360">
        <v>0</v>
      </c>
      <c r="AE24" s="356">
        <f t="shared" si="0"/>
        <v>34665.439999999995</v>
      </c>
      <c r="AF24" s="356" t="s">
        <v>724</v>
      </c>
      <c r="AG24" s="381">
        <f t="shared" si="1"/>
        <v>139.19999999999999</v>
      </c>
      <c r="AH24" s="379">
        <v>116</v>
      </c>
      <c r="AI24" s="370">
        <f t="shared" si="2"/>
        <v>127.60000000000001</v>
      </c>
      <c r="AJ24" s="35">
        <f t="shared" si="3"/>
        <v>139.19999999999999</v>
      </c>
      <c r="AK24" s="35">
        <f t="shared" si="4"/>
        <v>174</v>
      </c>
      <c r="AL24" s="35">
        <f t="shared" si="5"/>
        <v>121.80000000000001</v>
      </c>
      <c r="AM24" s="35">
        <f t="shared" si="6"/>
        <v>145</v>
      </c>
    </row>
    <row r="25" spans="1:39" ht="15.75">
      <c r="A25" s="382">
        <f t="shared" si="7"/>
        <v>16</v>
      </c>
      <c r="B25" s="383" t="s">
        <v>725</v>
      </c>
      <c r="C25" s="384">
        <f>AG25</f>
        <v>113.04</v>
      </c>
      <c r="D25" s="385" t="s">
        <v>108</v>
      </c>
      <c r="G25" s="368" t="s">
        <v>122</v>
      </c>
      <c r="H25" s="356" t="s">
        <v>132</v>
      </c>
      <c r="M25" s="370">
        <v>1.5</v>
      </c>
      <c r="N25" s="356" t="s">
        <v>108</v>
      </c>
      <c r="O25" s="356" t="s">
        <v>169</v>
      </c>
      <c r="P25" s="370">
        <f>C27</f>
        <v>41.04</v>
      </c>
      <c r="Q25" s="356" t="s">
        <v>108</v>
      </c>
      <c r="R25" s="370">
        <f>(M25*P25)</f>
        <v>61.56</v>
      </c>
      <c r="T25" s="357" t="s">
        <v>726</v>
      </c>
      <c r="U25" s="389" t="s">
        <v>727</v>
      </c>
      <c r="V25" s="356" t="s">
        <v>649</v>
      </c>
      <c r="W25" s="378" t="str">
        <f t="shared" si="10"/>
        <v>Chinnathadagam</v>
      </c>
      <c r="X25" s="35">
        <f>'[6]lead  charge'!Q12</f>
        <v>37</v>
      </c>
      <c r="Y25" s="35">
        <f>+'[6]lead  charge'!P36</f>
        <v>11</v>
      </c>
      <c r="Z25" s="379">
        <v>39400</v>
      </c>
      <c r="AA25" s="388">
        <f>'[6]lead  charge'!R12</f>
        <v>248.6</v>
      </c>
      <c r="AB25" s="388">
        <f>+'[6]lead  charge'!Q36</f>
        <v>116.84</v>
      </c>
      <c r="AC25" s="361"/>
      <c r="AD25" s="360">
        <v>0</v>
      </c>
      <c r="AE25" s="356">
        <f t="shared" si="0"/>
        <v>39765.439999999995</v>
      </c>
      <c r="AF25" s="356" t="s">
        <v>728</v>
      </c>
      <c r="AG25" s="381">
        <f t="shared" si="1"/>
        <v>113.04</v>
      </c>
      <c r="AH25" s="379">
        <v>94.2</v>
      </c>
      <c r="AI25" s="370">
        <f t="shared" si="2"/>
        <v>103.62</v>
      </c>
      <c r="AJ25" s="35">
        <f t="shared" si="3"/>
        <v>113.04</v>
      </c>
      <c r="AK25" s="35">
        <f t="shared" si="4"/>
        <v>141.30000000000001</v>
      </c>
      <c r="AL25" s="35">
        <f t="shared" si="5"/>
        <v>98.910000000000011</v>
      </c>
      <c r="AM25" s="35">
        <f t="shared" si="6"/>
        <v>117.75</v>
      </c>
    </row>
    <row r="26" spans="1:39" ht="15.75">
      <c r="A26" s="382">
        <f t="shared" si="7"/>
        <v>17</v>
      </c>
      <c r="B26" s="383" t="s">
        <v>729</v>
      </c>
      <c r="C26" s="384">
        <f>AG28</f>
        <v>46.74</v>
      </c>
      <c r="D26" s="385" t="s">
        <v>730</v>
      </c>
      <c r="H26" s="363" t="s">
        <v>117</v>
      </c>
      <c r="N26" s="356" t="s">
        <v>128</v>
      </c>
      <c r="O26" s="356" t="s">
        <v>129</v>
      </c>
      <c r="P26" s="356" t="s">
        <v>114</v>
      </c>
      <c r="Q26" s="356" t="s">
        <v>128</v>
      </c>
      <c r="R26" s="370">
        <v>0</v>
      </c>
      <c r="T26" s="357" t="s">
        <v>731</v>
      </c>
      <c r="U26" s="356" t="s">
        <v>732</v>
      </c>
      <c r="V26" s="356" t="s">
        <v>649</v>
      </c>
      <c r="W26" s="378" t="str">
        <f t="shared" si="10"/>
        <v>Chinnathadagam</v>
      </c>
      <c r="X26" s="35">
        <f>X25</f>
        <v>37</v>
      </c>
      <c r="Y26" s="35">
        <f>+'[6]lead  charge'!P36</f>
        <v>11</v>
      </c>
      <c r="Z26" s="379">
        <v>111600</v>
      </c>
      <c r="AA26" s="388">
        <f>'[6]lead  charge'!R12</f>
        <v>248.6</v>
      </c>
      <c r="AB26" s="388">
        <f>+'[6]lead  charge'!Q36</f>
        <v>116.84</v>
      </c>
      <c r="AC26" s="361"/>
      <c r="AD26" s="360">
        <v>0</v>
      </c>
      <c r="AE26" s="356">
        <f t="shared" si="0"/>
        <v>111965.44</v>
      </c>
      <c r="AF26" s="356" t="s">
        <v>733</v>
      </c>
      <c r="AG26" s="381">
        <f t="shared" si="1"/>
        <v>83.759999999999991</v>
      </c>
      <c r="AH26" s="379">
        <v>69.8</v>
      </c>
      <c r="AI26" s="370">
        <f t="shared" si="2"/>
        <v>76.78</v>
      </c>
      <c r="AJ26" s="35">
        <f t="shared" si="3"/>
        <v>83.759999999999991</v>
      </c>
      <c r="AK26" s="35">
        <f t="shared" si="4"/>
        <v>104.69999999999999</v>
      </c>
      <c r="AL26" s="35">
        <f t="shared" si="5"/>
        <v>73.290000000000006</v>
      </c>
      <c r="AM26" s="35">
        <f t="shared" si="6"/>
        <v>87.25</v>
      </c>
    </row>
    <row r="27" spans="1:39" ht="15.75">
      <c r="A27" s="382">
        <f t="shared" si="7"/>
        <v>18</v>
      </c>
      <c r="B27" s="383" t="s">
        <v>734</v>
      </c>
      <c r="C27" s="384">
        <f>AG27</f>
        <v>41.04</v>
      </c>
      <c r="D27" s="385" t="s">
        <v>730</v>
      </c>
      <c r="E27" s="390">
        <f>(67+89.5+102.7)/3</f>
        <v>86.399999999999991</v>
      </c>
      <c r="F27" s="370">
        <v>0.48</v>
      </c>
      <c r="G27" s="368" t="s">
        <v>124</v>
      </c>
      <c r="H27" s="356" t="s">
        <v>125</v>
      </c>
      <c r="I27" s="370">
        <f>(C67)</f>
        <v>6372.14</v>
      </c>
      <c r="J27" s="356" t="s">
        <v>124</v>
      </c>
      <c r="K27" s="370">
        <f>(F27*I27)</f>
        <v>3058.6271999999999</v>
      </c>
      <c r="R27" s="363" t="s">
        <v>117</v>
      </c>
      <c r="T27" s="357" t="s">
        <v>735</v>
      </c>
      <c r="U27" s="356" t="s">
        <v>736</v>
      </c>
      <c r="V27" s="356" t="s">
        <v>649</v>
      </c>
      <c r="W27" s="378" t="str">
        <f t="shared" si="10"/>
        <v>Chinnathadagam</v>
      </c>
      <c r="X27" s="35">
        <f>X26</f>
        <v>37</v>
      </c>
      <c r="Y27" s="35">
        <f>+'[6]lead  charge'!P36</f>
        <v>11</v>
      </c>
      <c r="Z27" s="379">
        <v>99400</v>
      </c>
      <c r="AA27" s="388">
        <f>AA26</f>
        <v>248.6</v>
      </c>
      <c r="AB27" s="388">
        <f>+'[6]lead  charge'!Q36</f>
        <v>116.84</v>
      </c>
      <c r="AC27" s="361"/>
      <c r="AD27" s="360">
        <v>0</v>
      </c>
      <c r="AE27" s="356">
        <f t="shared" si="0"/>
        <v>99765.440000000002</v>
      </c>
      <c r="AF27" s="356" t="s">
        <v>737</v>
      </c>
      <c r="AG27" s="381">
        <f t="shared" si="1"/>
        <v>41.04</v>
      </c>
      <c r="AH27" s="379">
        <v>34.200000000000003</v>
      </c>
      <c r="AI27" s="370">
        <f t="shared" si="2"/>
        <v>37.620000000000005</v>
      </c>
      <c r="AJ27" s="35">
        <f t="shared" si="3"/>
        <v>41.04</v>
      </c>
      <c r="AK27" s="35">
        <f t="shared" si="4"/>
        <v>51.300000000000004</v>
      </c>
      <c r="AL27" s="35">
        <f t="shared" si="5"/>
        <v>35.910000000000004</v>
      </c>
      <c r="AM27" s="35">
        <f t="shared" si="6"/>
        <v>42.75</v>
      </c>
    </row>
    <row r="28" spans="1:39" ht="15.75">
      <c r="A28" s="382">
        <f t="shared" si="7"/>
        <v>19</v>
      </c>
      <c r="B28" s="356" t="s">
        <v>738</v>
      </c>
      <c r="C28" s="390">
        <f>E27</f>
        <v>86.399999999999991</v>
      </c>
      <c r="D28" s="385" t="s">
        <v>128</v>
      </c>
      <c r="E28" s="35">
        <v>254.4</v>
      </c>
      <c r="F28" s="370">
        <v>1</v>
      </c>
      <c r="G28" s="368" t="s">
        <v>108</v>
      </c>
      <c r="H28" s="356" t="s">
        <v>126</v>
      </c>
      <c r="I28" s="370">
        <f>(C78)</f>
        <v>1779.13</v>
      </c>
      <c r="J28" s="356" t="s">
        <v>108</v>
      </c>
      <c r="K28" s="370">
        <f>(F28*I28)</f>
        <v>1779.13</v>
      </c>
      <c r="O28" s="356" t="s">
        <v>739</v>
      </c>
      <c r="R28" s="370">
        <f>SUM(R22:R26)</f>
        <v>3159.3300000000004</v>
      </c>
      <c r="T28" s="357" t="s">
        <v>740</v>
      </c>
      <c r="U28" s="356" t="s">
        <v>741</v>
      </c>
      <c r="V28" s="356" t="s">
        <v>649</v>
      </c>
      <c r="W28" s="378" t="str">
        <f t="shared" si="10"/>
        <v>Chinnathadagam</v>
      </c>
      <c r="X28" s="35">
        <f>X27</f>
        <v>37</v>
      </c>
      <c r="Y28" s="35">
        <f>+'[6]lead  charge'!P36</f>
        <v>11</v>
      </c>
      <c r="Z28" s="379">
        <v>95000</v>
      </c>
      <c r="AA28" s="388">
        <f>AA27</f>
        <v>248.6</v>
      </c>
      <c r="AB28" s="388">
        <f>+'[6]lead  charge'!Q36</f>
        <v>116.84</v>
      </c>
      <c r="AC28" s="361"/>
      <c r="AD28" s="360">
        <v>0</v>
      </c>
      <c r="AE28" s="356">
        <f t="shared" si="0"/>
        <v>95365.440000000002</v>
      </c>
      <c r="AF28" s="356" t="s">
        <v>742</v>
      </c>
      <c r="AG28" s="381">
        <f t="shared" si="1"/>
        <v>46.74</v>
      </c>
      <c r="AH28" s="379">
        <v>38.950000000000003</v>
      </c>
      <c r="AI28" s="370">
        <f t="shared" si="2"/>
        <v>42.845000000000006</v>
      </c>
      <c r="AJ28" s="35">
        <f t="shared" si="3"/>
        <v>46.74</v>
      </c>
      <c r="AK28" s="35">
        <f t="shared" si="4"/>
        <v>58.425000000000004</v>
      </c>
      <c r="AL28" s="35">
        <f t="shared" si="5"/>
        <v>40.897500000000008</v>
      </c>
      <c r="AM28" s="35">
        <f t="shared" si="6"/>
        <v>48.6875</v>
      </c>
    </row>
    <row r="29" spans="1:39" ht="15.75">
      <c r="A29" s="382">
        <f t="shared" si="7"/>
        <v>20</v>
      </c>
      <c r="B29" s="383" t="s">
        <v>743</v>
      </c>
      <c r="C29" s="384">
        <f>AG23</f>
        <v>922.8</v>
      </c>
      <c r="D29" s="385" t="s">
        <v>223</v>
      </c>
      <c r="E29" s="35">
        <f>E28/3</f>
        <v>84.8</v>
      </c>
      <c r="F29" s="370">
        <v>1</v>
      </c>
      <c r="G29" s="368" t="s">
        <v>108</v>
      </c>
      <c r="H29" s="356" t="s">
        <v>127</v>
      </c>
      <c r="I29" s="370">
        <f>(C18)</f>
        <v>139.19999999999999</v>
      </c>
      <c r="J29" s="356" t="s">
        <v>108</v>
      </c>
      <c r="K29" s="370">
        <f>(F29*I29)</f>
        <v>139.19999999999999</v>
      </c>
      <c r="R29" s="363" t="s">
        <v>117</v>
      </c>
      <c r="T29" s="357" t="s">
        <v>744</v>
      </c>
      <c r="U29" s="356" t="s">
        <v>745</v>
      </c>
      <c r="V29" s="356" t="s">
        <v>693</v>
      </c>
      <c r="W29" s="378" t="str">
        <f t="shared" si="10"/>
        <v>Chinnathadagam</v>
      </c>
      <c r="X29" s="370">
        <f>X18</f>
        <v>37</v>
      </c>
      <c r="Y29" s="35">
        <f>+'[6]lead  charge'!G36</f>
        <v>11</v>
      </c>
      <c r="Z29" s="379">
        <v>4299</v>
      </c>
      <c r="AA29" s="380">
        <f>'[6]lead  charge'!I10</f>
        <v>305.04000000000002</v>
      </c>
      <c r="AB29" s="380">
        <f>+'[6]lead  charge'!H36</f>
        <v>143</v>
      </c>
      <c r="AC29" s="361"/>
      <c r="AD29" s="360">
        <v>0</v>
      </c>
      <c r="AE29" s="356">
        <f t="shared" si="0"/>
        <v>4747.04</v>
      </c>
      <c r="AF29" s="356" t="s">
        <v>746</v>
      </c>
      <c r="AG29" s="381">
        <f t="shared" si="1"/>
        <v>134.45999999999998</v>
      </c>
      <c r="AH29" s="379">
        <v>112.05</v>
      </c>
      <c r="AI29" s="370">
        <f t="shared" si="2"/>
        <v>123.25500000000001</v>
      </c>
      <c r="AJ29" s="35">
        <f t="shared" si="3"/>
        <v>134.45999999999998</v>
      </c>
      <c r="AK29" s="35">
        <f t="shared" si="4"/>
        <v>168.07499999999999</v>
      </c>
      <c r="AL29" s="35">
        <f t="shared" si="5"/>
        <v>117.6525</v>
      </c>
      <c r="AM29" s="35">
        <f t="shared" si="6"/>
        <v>140.0625</v>
      </c>
    </row>
    <row r="30" spans="1:39" ht="15.75">
      <c r="A30" s="382">
        <f t="shared" si="7"/>
        <v>21</v>
      </c>
      <c r="B30" s="383" t="s">
        <v>747</v>
      </c>
      <c r="C30" s="384">
        <f>AG33</f>
        <v>16428</v>
      </c>
      <c r="D30" s="391">
        <f>AG31</f>
        <v>1537.2</v>
      </c>
      <c r="G30" s="368" t="s">
        <v>128</v>
      </c>
      <c r="H30" s="356" t="s">
        <v>129</v>
      </c>
      <c r="I30" s="356" t="s">
        <v>114</v>
      </c>
      <c r="J30" s="356" t="s">
        <v>128</v>
      </c>
      <c r="K30" s="370">
        <v>0</v>
      </c>
      <c r="O30" s="356" t="s">
        <v>155</v>
      </c>
      <c r="R30" s="370">
        <f>(R28/1.5)</f>
        <v>2106.2200000000003</v>
      </c>
      <c r="T30" s="357" t="s">
        <v>748</v>
      </c>
      <c r="U30" s="356" t="s">
        <v>749</v>
      </c>
      <c r="V30" s="356" t="s">
        <v>693</v>
      </c>
      <c r="W30" s="378" t="s">
        <v>750</v>
      </c>
      <c r="X30" s="370">
        <v>12</v>
      </c>
      <c r="Y30" s="370">
        <f>+'[6]lead  charge'!J36</f>
        <v>11</v>
      </c>
      <c r="Z30" s="379">
        <v>11907</v>
      </c>
      <c r="AA30" s="380"/>
      <c r="AB30" s="380">
        <f>+'[6]lead  charge'!K36</f>
        <v>190.86</v>
      </c>
      <c r="AC30" s="357"/>
      <c r="AD30" s="360">
        <v>0</v>
      </c>
      <c r="AE30" s="356">
        <f t="shared" si="0"/>
        <v>12097.86</v>
      </c>
      <c r="AF30" s="356" t="s">
        <v>751</v>
      </c>
      <c r="AG30" s="381">
        <f t="shared" si="1"/>
        <v>1844.3999999999999</v>
      </c>
      <c r="AH30" s="379">
        <v>1537</v>
      </c>
      <c r="AI30" s="370">
        <f t="shared" si="2"/>
        <v>1690.7</v>
      </c>
      <c r="AJ30" s="35">
        <f t="shared" si="3"/>
        <v>1844.3999999999999</v>
      </c>
      <c r="AK30" s="35">
        <f t="shared" si="4"/>
        <v>2305.5</v>
      </c>
      <c r="AL30" s="35">
        <f t="shared" si="5"/>
        <v>1613.8500000000001</v>
      </c>
      <c r="AM30" s="35">
        <f t="shared" si="6"/>
        <v>1921.25</v>
      </c>
    </row>
    <row r="31" spans="1:39" ht="15.75">
      <c r="A31" s="382">
        <f t="shared" si="7"/>
        <v>22</v>
      </c>
      <c r="B31" s="383" t="s">
        <v>752</v>
      </c>
      <c r="C31" s="384">
        <f>AG30</f>
        <v>1844.3999999999999</v>
      </c>
      <c r="D31" s="391">
        <f>AG32</f>
        <v>1723.2</v>
      </c>
      <c r="K31" s="363" t="s">
        <v>117</v>
      </c>
      <c r="O31" s="356" t="s">
        <v>620</v>
      </c>
      <c r="R31" s="363" t="s">
        <v>156</v>
      </c>
      <c r="T31" s="357" t="s">
        <v>753</v>
      </c>
      <c r="U31" s="356" t="s">
        <v>754</v>
      </c>
      <c r="V31" s="356" t="s">
        <v>124</v>
      </c>
      <c r="W31" s="378" t="str">
        <f t="shared" si="10"/>
        <v>Chinnathadagam</v>
      </c>
      <c r="X31" s="370">
        <f>'[6]lead  charge'!E14</f>
        <v>37</v>
      </c>
      <c r="Y31" s="370">
        <f>+'[6]lead  charge'!B36</f>
        <v>11</v>
      </c>
      <c r="Z31" s="379">
        <v>6040</v>
      </c>
      <c r="AA31" s="380">
        <f>'[6]lead  charge'!F14</f>
        <v>226.22</v>
      </c>
      <c r="AB31" s="380">
        <f>+'[6]lead  charge'!C36</f>
        <v>105.92</v>
      </c>
      <c r="AC31" s="357"/>
      <c r="AD31" s="360"/>
      <c r="AE31" s="356">
        <f t="shared" si="0"/>
        <v>6372.14</v>
      </c>
      <c r="AF31" s="356" t="s">
        <v>755</v>
      </c>
      <c r="AG31" s="381">
        <f t="shared" si="1"/>
        <v>1537.2</v>
      </c>
      <c r="AH31" s="379">
        <v>1281</v>
      </c>
      <c r="AI31" s="370">
        <f t="shared" si="2"/>
        <v>1409.1000000000001</v>
      </c>
      <c r="AJ31" s="35">
        <f t="shared" si="3"/>
        <v>1537.2</v>
      </c>
      <c r="AK31" s="35">
        <f t="shared" si="4"/>
        <v>1921.5</v>
      </c>
      <c r="AL31" s="35">
        <f t="shared" si="5"/>
        <v>1345.05</v>
      </c>
      <c r="AM31" s="35">
        <f t="shared" si="6"/>
        <v>1601.25</v>
      </c>
    </row>
    <row r="32" spans="1:39" ht="15.75">
      <c r="A32" s="382">
        <f t="shared" si="7"/>
        <v>23</v>
      </c>
      <c r="B32" s="383" t="s">
        <v>756</v>
      </c>
      <c r="C32" s="392">
        <v>2.5</v>
      </c>
      <c r="D32" s="384">
        <f>AG34</f>
        <v>1436.3999999999999</v>
      </c>
      <c r="H32" s="356" t="s">
        <v>130</v>
      </c>
      <c r="K32" s="369">
        <f>SUM(K27:K30)</f>
        <v>4976.9571999999998</v>
      </c>
      <c r="T32" s="357" t="s">
        <v>473</v>
      </c>
      <c r="U32" s="356" t="s">
        <v>757</v>
      </c>
      <c r="V32" s="356" t="s">
        <v>124</v>
      </c>
      <c r="W32" s="378" t="s">
        <v>694</v>
      </c>
      <c r="X32" s="370">
        <f>'[6]lead  charge'!E15</f>
        <v>37</v>
      </c>
      <c r="Y32" s="370">
        <f>+'[6]lead  charge'!B36</f>
        <v>11</v>
      </c>
      <c r="Z32" s="379">
        <v>58000</v>
      </c>
      <c r="AA32" s="380">
        <f>AA31</f>
        <v>226.22</v>
      </c>
      <c r="AB32" s="380">
        <f>+'[6]lead  charge'!C36</f>
        <v>105.92</v>
      </c>
      <c r="AC32" s="357"/>
      <c r="AD32" s="360">
        <v>0</v>
      </c>
      <c r="AE32" s="356">
        <f t="shared" si="0"/>
        <v>58332.14</v>
      </c>
      <c r="AF32" s="356" t="s">
        <v>758</v>
      </c>
      <c r="AG32" s="381">
        <f t="shared" si="1"/>
        <v>1723.2</v>
      </c>
      <c r="AH32" s="379">
        <v>1436</v>
      </c>
      <c r="AI32" s="370">
        <f t="shared" si="2"/>
        <v>1579.6000000000001</v>
      </c>
      <c r="AJ32" s="35">
        <f t="shared" si="3"/>
        <v>1723.2</v>
      </c>
      <c r="AK32" s="35">
        <f t="shared" si="4"/>
        <v>2154</v>
      </c>
      <c r="AL32" s="35">
        <f t="shared" si="5"/>
        <v>1507.8</v>
      </c>
      <c r="AM32" s="35">
        <f t="shared" si="6"/>
        <v>1795</v>
      </c>
    </row>
    <row r="33" spans="1:39" ht="15.75">
      <c r="A33" s="382">
        <f t="shared" si="7"/>
        <v>24</v>
      </c>
      <c r="B33" s="383" t="s">
        <v>759</v>
      </c>
      <c r="C33" s="392">
        <v>3.64</v>
      </c>
      <c r="D33" s="384">
        <f>AG35</f>
        <v>1286.3999999999999</v>
      </c>
      <c r="K33" s="363" t="s">
        <v>117</v>
      </c>
      <c r="T33" s="393" t="s">
        <v>760</v>
      </c>
      <c r="U33" s="356" t="s">
        <v>761</v>
      </c>
      <c r="V33" s="356" t="s">
        <v>124</v>
      </c>
      <c r="W33" s="378" t="str">
        <f t="shared" si="10"/>
        <v>Chinnathadagam</v>
      </c>
      <c r="X33" s="370">
        <f>X32</f>
        <v>37</v>
      </c>
      <c r="Y33" s="370">
        <f>+'[6]lead  charge'!B36</f>
        <v>11</v>
      </c>
      <c r="Z33" s="379">
        <v>58000</v>
      </c>
      <c r="AA33" s="380">
        <f>AA32</f>
        <v>226.22</v>
      </c>
      <c r="AB33" s="380">
        <f>+'[6]lead  charge'!C36</f>
        <v>105.92</v>
      </c>
      <c r="AC33" s="357"/>
      <c r="AD33" s="360">
        <v>0</v>
      </c>
      <c r="AE33" s="356">
        <f t="shared" si="0"/>
        <v>58332.14</v>
      </c>
      <c r="AF33" s="356" t="s">
        <v>762</v>
      </c>
      <c r="AG33" s="381">
        <f t="shared" si="1"/>
        <v>16428</v>
      </c>
      <c r="AH33" s="379">
        <v>13690</v>
      </c>
      <c r="AI33" s="370">
        <f t="shared" si="2"/>
        <v>15059.000000000002</v>
      </c>
      <c r="AJ33" s="35">
        <f t="shared" si="3"/>
        <v>16428</v>
      </c>
      <c r="AK33" s="35">
        <f t="shared" si="4"/>
        <v>20535</v>
      </c>
      <c r="AL33" s="35">
        <f t="shared" si="5"/>
        <v>14374.5</v>
      </c>
      <c r="AM33" s="35">
        <f t="shared" si="6"/>
        <v>17112.5</v>
      </c>
    </row>
    <row r="34" spans="1:39" ht="15.75">
      <c r="A34" s="382">
        <f t="shared" si="7"/>
        <v>25</v>
      </c>
      <c r="B34" s="356" t="s">
        <v>763</v>
      </c>
      <c r="C34" s="394">
        <f>53*1000</f>
        <v>53000</v>
      </c>
      <c r="D34" s="395">
        <f>C34</f>
        <v>53000</v>
      </c>
      <c r="G34" s="368" t="s">
        <v>122</v>
      </c>
      <c r="H34" s="356" t="s">
        <v>133</v>
      </c>
      <c r="T34" s="393" t="s">
        <v>764</v>
      </c>
      <c r="U34" s="356" t="s">
        <v>765</v>
      </c>
      <c r="V34" s="356" t="s">
        <v>693</v>
      </c>
      <c r="W34" s="378" t="str">
        <f>W18</f>
        <v>Chinnathadagam</v>
      </c>
      <c r="X34" s="370">
        <f>X29</f>
        <v>37</v>
      </c>
      <c r="Y34" s="370">
        <f>+'[6]lead  charge'!G36</f>
        <v>11</v>
      </c>
      <c r="Z34" s="379">
        <f>Z29</f>
        <v>4299</v>
      </c>
      <c r="AA34" s="380">
        <f>AA29</f>
        <v>305.04000000000002</v>
      </c>
      <c r="AB34" s="380">
        <f>+'[6]lead  charge'!H36</f>
        <v>143</v>
      </c>
      <c r="AC34" s="357"/>
      <c r="AD34" s="360">
        <v>0</v>
      </c>
      <c r="AE34" s="356">
        <f t="shared" si="0"/>
        <v>4747.04</v>
      </c>
      <c r="AF34" s="356" t="s">
        <v>766</v>
      </c>
      <c r="AG34" s="381">
        <f t="shared" si="1"/>
        <v>1436.3999999999999</v>
      </c>
      <c r="AH34" s="379">
        <v>1197</v>
      </c>
      <c r="AI34" s="370">
        <f t="shared" si="2"/>
        <v>1316.7</v>
      </c>
      <c r="AJ34" s="35">
        <f t="shared" si="3"/>
        <v>1436.3999999999999</v>
      </c>
      <c r="AK34" s="35">
        <f t="shared" si="4"/>
        <v>1795.5</v>
      </c>
      <c r="AL34" s="35">
        <f t="shared" si="5"/>
        <v>1256.8500000000001</v>
      </c>
      <c r="AM34" s="35">
        <f t="shared" si="6"/>
        <v>1496.25</v>
      </c>
    </row>
    <row r="35" spans="1:39" ht="15.75">
      <c r="A35" s="382">
        <f t="shared" si="7"/>
        <v>26</v>
      </c>
      <c r="B35" s="383" t="s">
        <v>605</v>
      </c>
      <c r="C35" s="384">
        <f>AE38</f>
        <v>778.59</v>
      </c>
      <c r="D35" s="396"/>
      <c r="F35" s="370">
        <v>0.36</v>
      </c>
      <c r="G35" s="368" t="s">
        <v>124</v>
      </c>
      <c r="H35" s="356" t="s">
        <v>125</v>
      </c>
      <c r="I35" s="370">
        <f>C67</f>
        <v>6372.14</v>
      </c>
      <c r="J35" s="356" t="s">
        <v>124</v>
      </c>
      <c r="K35" s="370">
        <f>(F35*I35)</f>
        <v>2293.9704000000002</v>
      </c>
      <c r="T35" s="357" t="s">
        <v>767</v>
      </c>
      <c r="U35" s="397" t="s">
        <v>768</v>
      </c>
      <c r="V35" s="398" t="s">
        <v>649</v>
      </c>
      <c r="W35" s="399" t="str">
        <f>W11</f>
        <v>Kurunthamalai</v>
      </c>
      <c r="X35" s="391">
        <f>X11</f>
        <v>18</v>
      </c>
      <c r="Y35" s="391">
        <f>+'[6]lead  charge'!D36</f>
        <v>11</v>
      </c>
      <c r="Z35" s="400">
        <v>961</v>
      </c>
      <c r="AA35" s="380">
        <f>AA11</f>
        <v>196.18</v>
      </c>
      <c r="AB35" s="380">
        <f>+'[6]lead  charge'!E36</f>
        <v>194.1</v>
      </c>
      <c r="AC35" s="357"/>
      <c r="AD35" s="360"/>
      <c r="AE35" s="356">
        <f t="shared" si="0"/>
        <v>1351.28</v>
      </c>
      <c r="AF35" s="356" t="s">
        <v>769</v>
      </c>
      <c r="AG35" s="381">
        <f t="shared" si="1"/>
        <v>1286.3999999999999</v>
      </c>
      <c r="AH35" s="379">
        <v>1072</v>
      </c>
      <c r="AI35" s="370">
        <f t="shared" si="2"/>
        <v>1179.2</v>
      </c>
      <c r="AJ35" s="35">
        <f t="shared" si="3"/>
        <v>1286.3999999999999</v>
      </c>
      <c r="AK35" s="35">
        <f t="shared" si="4"/>
        <v>1608</v>
      </c>
      <c r="AL35" s="35">
        <f t="shared" si="5"/>
        <v>1125.6000000000001</v>
      </c>
      <c r="AM35" s="35">
        <f t="shared" si="6"/>
        <v>1340</v>
      </c>
    </row>
    <row r="36" spans="1:39" ht="15.75">
      <c r="A36" s="396" t="s">
        <v>114</v>
      </c>
      <c r="B36" s="356" t="s">
        <v>770</v>
      </c>
      <c r="C36" s="381">
        <f>AG59</f>
        <v>12.66</v>
      </c>
      <c r="D36" s="396"/>
      <c r="F36" s="370">
        <v>1</v>
      </c>
      <c r="G36" s="368" t="s">
        <v>108</v>
      </c>
      <c r="H36" s="356" t="s">
        <v>126</v>
      </c>
      <c r="I36" s="370">
        <f>AE16</f>
        <v>1779.13</v>
      </c>
      <c r="J36" s="356" t="s">
        <v>108</v>
      </c>
      <c r="K36" s="370">
        <f>(F36*I36)</f>
        <v>1779.13</v>
      </c>
      <c r="T36" s="357" t="s">
        <v>771</v>
      </c>
      <c r="U36" s="397" t="s">
        <v>772</v>
      </c>
      <c r="V36" s="398" t="s">
        <v>649</v>
      </c>
      <c r="W36" s="399" t="str">
        <f>W12</f>
        <v>Kurunthamalai</v>
      </c>
      <c r="X36" s="391">
        <f>X11</f>
        <v>18</v>
      </c>
      <c r="Y36" s="391">
        <f>+'[6]lead  charge'!D36</f>
        <v>11</v>
      </c>
      <c r="Z36" s="400">
        <f>ROUND((1114+1051)/2,2)</f>
        <v>1082.5</v>
      </c>
      <c r="AA36" s="380">
        <f>AA11</f>
        <v>196.18</v>
      </c>
      <c r="AB36" s="380">
        <f>+'[6]lead  charge'!E36</f>
        <v>194.1</v>
      </c>
      <c r="AC36" s="357"/>
      <c r="AD36" s="360">
        <v>0</v>
      </c>
      <c r="AE36" s="356">
        <f t="shared" si="0"/>
        <v>1472.78</v>
      </c>
      <c r="AF36" s="356" t="s">
        <v>773</v>
      </c>
      <c r="AG36" s="381">
        <f t="shared" si="1"/>
        <v>200.28</v>
      </c>
      <c r="AH36" s="379">
        <v>166.9</v>
      </c>
      <c r="AI36" s="370">
        <f t="shared" si="2"/>
        <v>183.59000000000003</v>
      </c>
      <c r="AJ36" s="35">
        <f t="shared" si="3"/>
        <v>200.28</v>
      </c>
      <c r="AK36" s="35">
        <f t="shared" si="4"/>
        <v>250.35000000000002</v>
      </c>
      <c r="AL36" s="35">
        <f t="shared" si="5"/>
        <v>175.245</v>
      </c>
      <c r="AM36" s="35">
        <f t="shared" si="6"/>
        <v>208.625</v>
      </c>
    </row>
    <row r="37" spans="1:39" ht="15.75">
      <c r="A37" s="396"/>
      <c r="B37" s="356" t="s">
        <v>774</v>
      </c>
      <c r="C37" s="381">
        <f>AG60</f>
        <v>66.42</v>
      </c>
      <c r="D37" s="396"/>
      <c r="F37" s="370">
        <v>1</v>
      </c>
      <c r="G37" s="368" t="s">
        <v>108</v>
      </c>
      <c r="H37" s="356" t="s">
        <v>127</v>
      </c>
      <c r="I37" s="370">
        <f>C18</f>
        <v>139.19999999999999</v>
      </c>
      <c r="J37" s="356" t="s">
        <v>108</v>
      </c>
      <c r="K37" s="370">
        <f>(F37*I37)</f>
        <v>139.19999999999999</v>
      </c>
      <c r="T37" s="357" t="s">
        <v>775</v>
      </c>
      <c r="U37" s="397" t="s">
        <v>776</v>
      </c>
      <c r="V37" s="398" t="s">
        <v>649</v>
      </c>
      <c r="W37" s="399" t="str">
        <f>W13</f>
        <v>Kurunthamalai</v>
      </c>
      <c r="X37" s="391">
        <f>X36</f>
        <v>18</v>
      </c>
      <c r="Y37" s="391">
        <f>+'[6]lead  charge'!D36</f>
        <v>11</v>
      </c>
      <c r="Z37" s="400">
        <f>ROUND((665.8+812+1092+1092)/4,2)</f>
        <v>915.45</v>
      </c>
      <c r="AA37" s="380">
        <f>AA11</f>
        <v>196.18</v>
      </c>
      <c r="AB37" s="380">
        <f>+'[6]lead  charge'!E36</f>
        <v>194.1</v>
      </c>
      <c r="AC37" s="357"/>
      <c r="AD37" s="360">
        <v>0</v>
      </c>
      <c r="AE37" s="356">
        <f t="shared" si="0"/>
        <v>1305.73</v>
      </c>
      <c r="AF37" s="356" t="s">
        <v>777</v>
      </c>
      <c r="AG37" s="381">
        <f t="shared" si="1"/>
        <v>1006.8</v>
      </c>
      <c r="AH37" s="379">
        <v>839</v>
      </c>
      <c r="AI37" s="370">
        <f t="shared" si="2"/>
        <v>922.90000000000009</v>
      </c>
      <c r="AJ37" s="35">
        <f t="shared" si="3"/>
        <v>1006.8</v>
      </c>
      <c r="AK37" s="35">
        <f t="shared" si="4"/>
        <v>1258.5</v>
      </c>
      <c r="AL37" s="35">
        <f t="shared" si="5"/>
        <v>880.95</v>
      </c>
      <c r="AM37" s="35">
        <f t="shared" si="6"/>
        <v>1048.75</v>
      </c>
    </row>
    <row r="38" spans="1:39" ht="15.75">
      <c r="A38" s="382">
        <f>(A35+1)</f>
        <v>27</v>
      </c>
      <c r="B38" s="383" t="s">
        <v>778</v>
      </c>
      <c r="C38" s="401">
        <v>40</v>
      </c>
      <c r="D38" s="385" t="s">
        <v>151</v>
      </c>
      <c r="G38" s="368" t="s">
        <v>128</v>
      </c>
      <c r="H38" s="356" t="s">
        <v>129</v>
      </c>
      <c r="I38" s="356" t="s">
        <v>114</v>
      </c>
      <c r="J38" s="356" t="s">
        <v>128</v>
      </c>
      <c r="K38" s="370">
        <v>0</v>
      </c>
      <c r="T38" s="357" t="s">
        <v>409</v>
      </c>
      <c r="U38" s="356" t="s">
        <v>779</v>
      </c>
      <c r="V38" s="383" t="s">
        <v>649</v>
      </c>
      <c r="W38" s="378" t="s">
        <v>694</v>
      </c>
      <c r="X38" s="381">
        <f>'[6]lead  charge'!E13</f>
        <v>37</v>
      </c>
      <c r="Y38" s="381">
        <f>+'[6]lead  charge'!D36</f>
        <v>11</v>
      </c>
      <c r="Z38" s="400">
        <v>222.7</v>
      </c>
      <c r="AA38" s="380">
        <f>'[6]lead  charge'!F13</f>
        <v>361.79</v>
      </c>
      <c r="AB38" s="380">
        <f>+'[6]lead  charge'!E36</f>
        <v>194.1</v>
      </c>
      <c r="AC38" s="357"/>
      <c r="AD38" s="360">
        <v>0</v>
      </c>
      <c r="AE38" s="356">
        <f t="shared" si="0"/>
        <v>778.59</v>
      </c>
      <c r="AF38" s="356" t="s">
        <v>780</v>
      </c>
      <c r="AG38" s="381">
        <f t="shared" si="1"/>
        <v>1039.2</v>
      </c>
      <c r="AH38" s="379">
        <v>866</v>
      </c>
      <c r="AI38" s="370">
        <f t="shared" si="2"/>
        <v>952.6</v>
      </c>
      <c r="AJ38" s="35">
        <f t="shared" si="3"/>
        <v>1039.2</v>
      </c>
      <c r="AK38" s="35">
        <f t="shared" si="4"/>
        <v>1299</v>
      </c>
      <c r="AL38" s="35">
        <f t="shared" si="5"/>
        <v>909.30000000000007</v>
      </c>
      <c r="AM38" s="35">
        <f t="shared" si="6"/>
        <v>1082.5</v>
      </c>
    </row>
    <row r="39" spans="1:39" ht="15.75">
      <c r="A39" s="382">
        <f t="shared" ref="A39:A58" si="12">(A38+1)</f>
        <v>28</v>
      </c>
      <c r="B39" s="383" t="s">
        <v>781</v>
      </c>
      <c r="C39" s="401">
        <v>41</v>
      </c>
      <c r="D39" s="384">
        <v>500</v>
      </c>
      <c r="K39" s="363" t="s">
        <v>117</v>
      </c>
      <c r="T39" s="357">
        <v>31</v>
      </c>
      <c r="U39" s="356" t="s">
        <v>782</v>
      </c>
      <c r="V39" s="356" t="s">
        <v>649</v>
      </c>
      <c r="W39" s="378" t="s">
        <v>694</v>
      </c>
      <c r="X39" s="370">
        <f>'[6]lead  charge'!E16</f>
        <v>37</v>
      </c>
      <c r="Y39" s="370">
        <f>+'[6]lead  charge'!D58</f>
        <v>11</v>
      </c>
      <c r="Z39" s="400">
        <v>166.5</v>
      </c>
      <c r="AA39" s="380">
        <f>'[6]lead  charge'!F16</f>
        <v>361.79</v>
      </c>
      <c r="AB39" s="380">
        <f>+'[6]lead  charge'!E36</f>
        <v>194.1</v>
      </c>
      <c r="AC39" s="357"/>
      <c r="AD39" s="360">
        <v>0</v>
      </c>
      <c r="AE39" s="356">
        <f t="shared" si="0"/>
        <v>722.39</v>
      </c>
      <c r="AF39" s="356" t="s">
        <v>783</v>
      </c>
      <c r="AG39" s="381">
        <f t="shared" si="1"/>
        <v>89.82</v>
      </c>
      <c r="AH39" s="379">
        <v>74.849999999999994</v>
      </c>
      <c r="AI39" s="370">
        <f t="shared" si="2"/>
        <v>82.334999999999994</v>
      </c>
      <c r="AJ39" s="35">
        <f t="shared" si="3"/>
        <v>89.82</v>
      </c>
      <c r="AK39" s="35">
        <f t="shared" si="4"/>
        <v>112.27499999999999</v>
      </c>
      <c r="AL39" s="35">
        <f t="shared" si="5"/>
        <v>78.592500000000001</v>
      </c>
      <c r="AM39" s="35">
        <f t="shared" si="6"/>
        <v>93.5625</v>
      </c>
    </row>
    <row r="40" spans="1:39" ht="15.75">
      <c r="A40" s="382">
        <f t="shared" si="12"/>
        <v>29</v>
      </c>
      <c r="B40" s="383" t="s">
        <v>784</v>
      </c>
      <c r="C40" s="401">
        <v>28</v>
      </c>
      <c r="D40" s="402">
        <v>116.2</v>
      </c>
      <c r="H40" s="356" t="s">
        <v>130</v>
      </c>
      <c r="K40" s="369">
        <f>SUM(K35:K38)</f>
        <v>4212.3004000000001</v>
      </c>
      <c r="T40" s="363"/>
      <c r="W40" s="357" t="s">
        <v>117</v>
      </c>
      <c r="Z40" s="403"/>
      <c r="AA40" s="388"/>
      <c r="AB40" s="388"/>
      <c r="AE40" s="356">
        <f t="shared" si="0"/>
        <v>0</v>
      </c>
      <c r="AF40" s="404"/>
      <c r="AG40" s="381">
        <f t="shared" si="1"/>
        <v>0</v>
      </c>
      <c r="AH40" s="403"/>
      <c r="AI40" s="370">
        <f t="shared" si="2"/>
        <v>0</v>
      </c>
      <c r="AJ40" s="35">
        <f t="shared" si="3"/>
        <v>0</v>
      </c>
      <c r="AK40" s="35">
        <f t="shared" si="4"/>
        <v>0</v>
      </c>
      <c r="AL40" s="35">
        <f t="shared" si="5"/>
        <v>0</v>
      </c>
      <c r="AM40" s="35">
        <f t="shared" si="6"/>
        <v>0</v>
      </c>
    </row>
    <row r="41" spans="1:39" ht="15.75">
      <c r="A41" s="382">
        <f t="shared" si="12"/>
        <v>30</v>
      </c>
      <c r="B41" s="383" t="s">
        <v>785</v>
      </c>
      <c r="C41" s="384">
        <f>AG22</f>
        <v>885.6</v>
      </c>
      <c r="D41" s="385" t="s">
        <v>223</v>
      </c>
      <c r="K41" s="363" t="s">
        <v>117</v>
      </c>
      <c r="U41" s="356" t="s">
        <v>786</v>
      </c>
      <c r="V41" s="356" t="s">
        <v>693</v>
      </c>
      <c r="W41" s="357" t="str">
        <f>W34</f>
        <v>Chinnathadagam</v>
      </c>
      <c r="X41" s="370">
        <f>'[6]lead  charge'!N10</f>
        <v>37</v>
      </c>
      <c r="Y41" s="370">
        <f>+'[6]lead  charge'!M36</f>
        <v>11</v>
      </c>
      <c r="Z41" s="379">
        <v>6595</v>
      </c>
      <c r="AA41" s="380">
        <f>'[6]lead  charge'!O10</f>
        <v>508.75</v>
      </c>
      <c r="AB41" s="380">
        <f>+'[6]lead  charge'!N36</f>
        <v>238.7</v>
      </c>
      <c r="AC41" s="357">
        <v>0</v>
      </c>
      <c r="AD41" s="360">
        <v>0</v>
      </c>
      <c r="AE41" s="356">
        <f t="shared" si="0"/>
        <v>7342.45</v>
      </c>
      <c r="AF41" s="405" t="s">
        <v>787</v>
      </c>
      <c r="AG41" s="381">
        <f t="shared" si="1"/>
        <v>94.68</v>
      </c>
      <c r="AH41" s="379">
        <v>78.900000000000006</v>
      </c>
      <c r="AI41" s="370">
        <f t="shared" si="2"/>
        <v>86.79</v>
      </c>
      <c r="AJ41" s="35">
        <f t="shared" si="3"/>
        <v>94.68</v>
      </c>
      <c r="AK41" s="35">
        <f t="shared" si="4"/>
        <v>118.35000000000001</v>
      </c>
      <c r="AL41" s="35">
        <f t="shared" si="5"/>
        <v>82.845000000000013</v>
      </c>
      <c r="AM41" s="35">
        <f t="shared" si="6"/>
        <v>98.625</v>
      </c>
    </row>
    <row r="42" spans="1:39" ht="15.75">
      <c r="A42" s="382">
        <f t="shared" si="12"/>
        <v>31</v>
      </c>
      <c r="B42" s="383" t="s">
        <v>788</v>
      </c>
      <c r="C42" s="401">
        <v>5</v>
      </c>
      <c r="D42" s="406" t="s">
        <v>110</v>
      </c>
      <c r="G42" s="368" t="s">
        <v>122</v>
      </c>
      <c r="H42" s="356" t="s">
        <v>134</v>
      </c>
      <c r="U42" s="356" t="s">
        <v>789</v>
      </c>
      <c r="V42" s="356" t="s">
        <v>693</v>
      </c>
      <c r="W42" s="357" t="str">
        <f>W41</f>
        <v>Chinnathadagam</v>
      </c>
      <c r="X42" s="370">
        <f>X41</f>
        <v>37</v>
      </c>
      <c r="Y42" s="370">
        <v>51</v>
      </c>
      <c r="Z42" s="379">
        <v>6795</v>
      </c>
      <c r="AA42" s="380">
        <f>AA41</f>
        <v>508.75</v>
      </c>
      <c r="AB42" s="380">
        <f>+'[6]lead  charge'!N36</f>
        <v>238.7</v>
      </c>
      <c r="AC42" s="357">
        <v>0</v>
      </c>
      <c r="AD42" s="360">
        <v>0</v>
      </c>
      <c r="AE42" s="356">
        <f t="shared" si="0"/>
        <v>7542.45</v>
      </c>
      <c r="AF42" s="405" t="s">
        <v>790</v>
      </c>
      <c r="AG42" s="381">
        <f t="shared" si="1"/>
        <v>191.04</v>
      </c>
      <c r="AH42" s="379">
        <v>159.19999999999999</v>
      </c>
      <c r="AI42" s="370">
        <f t="shared" si="2"/>
        <v>175.12</v>
      </c>
      <c r="AJ42" s="35">
        <f t="shared" si="3"/>
        <v>191.04</v>
      </c>
      <c r="AK42" s="35">
        <f t="shared" si="4"/>
        <v>238.79999999999998</v>
      </c>
      <c r="AL42" s="35">
        <f t="shared" si="5"/>
        <v>167.16</v>
      </c>
      <c r="AM42" s="35">
        <f t="shared" si="6"/>
        <v>199</v>
      </c>
    </row>
    <row r="43" spans="1:39" ht="15.75">
      <c r="A43" s="382">
        <f t="shared" si="12"/>
        <v>32</v>
      </c>
      <c r="B43" s="356" t="s">
        <v>791</v>
      </c>
      <c r="C43" s="394">
        <f>'[6]TWAD '!C4</f>
        <v>9.35</v>
      </c>
      <c r="D43" s="406" t="s">
        <v>223</v>
      </c>
      <c r="H43" s="363" t="s">
        <v>117</v>
      </c>
      <c r="U43" s="356" t="s">
        <v>792</v>
      </c>
      <c r="V43" s="356" t="s">
        <v>793</v>
      </c>
      <c r="W43" s="361" t="str">
        <f>W11</f>
        <v>Kurunthamalai</v>
      </c>
      <c r="X43" s="35">
        <f>'[6]lead  charge'!Q13</f>
        <v>18</v>
      </c>
      <c r="Y43" s="35">
        <f>+'[6]lead  charge'!P43</f>
        <v>11</v>
      </c>
      <c r="Z43" s="379">
        <v>123.7</v>
      </c>
      <c r="AA43" s="380">
        <f>'[6]lead  charge'!R13</f>
        <v>134.62</v>
      </c>
      <c r="AB43" s="380">
        <f>+'[6]lead  charge'!Q43</f>
        <v>116.84</v>
      </c>
      <c r="AC43" s="357">
        <v>0</v>
      </c>
      <c r="AD43" s="360">
        <v>0</v>
      </c>
      <c r="AE43" s="356">
        <f t="shared" si="0"/>
        <v>375.15999999999997</v>
      </c>
      <c r="AF43" s="405" t="s">
        <v>794</v>
      </c>
      <c r="AG43" s="381">
        <f t="shared" si="1"/>
        <v>191.04</v>
      </c>
      <c r="AH43" s="379">
        <f>AH42</f>
        <v>159.19999999999999</v>
      </c>
      <c r="AI43" s="370">
        <f t="shared" si="2"/>
        <v>175.12</v>
      </c>
      <c r="AJ43" s="35">
        <f t="shared" si="3"/>
        <v>191.04</v>
      </c>
      <c r="AK43" s="35">
        <f t="shared" si="4"/>
        <v>238.79999999999998</v>
      </c>
      <c r="AL43" s="35">
        <f t="shared" si="5"/>
        <v>167.16</v>
      </c>
      <c r="AM43" s="35">
        <f t="shared" si="6"/>
        <v>199</v>
      </c>
    </row>
    <row r="44" spans="1:39" ht="25.5">
      <c r="A44" s="382">
        <f t="shared" si="12"/>
        <v>33</v>
      </c>
      <c r="B44" s="356" t="s">
        <v>795</v>
      </c>
      <c r="C44" s="394">
        <f>'[6]TWAD '!C5</f>
        <v>9.35</v>
      </c>
      <c r="D44" s="406" t="s">
        <v>223</v>
      </c>
      <c r="F44" s="407">
        <v>0.28799999999999998</v>
      </c>
      <c r="G44" s="368" t="s">
        <v>124</v>
      </c>
      <c r="H44" s="356" t="s">
        <v>125</v>
      </c>
      <c r="I44" s="370">
        <f>(C67)</f>
        <v>6372.14</v>
      </c>
      <c r="J44" s="356" t="s">
        <v>124</v>
      </c>
      <c r="K44" s="370">
        <f>(F44*I44)</f>
        <v>1835.17632</v>
      </c>
      <c r="U44" s="356" t="s">
        <v>796</v>
      </c>
      <c r="V44" s="356" t="s">
        <v>793</v>
      </c>
      <c r="W44" s="361" t="str">
        <f>W43</f>
        <v>Kurunthamalai</v>
      </c>
      <c r="X44" s="35">
        <f>X11</f>
        <v>18</v>
      </c>
      <c r="Y44" s="35">
        <f>+'[6]lead  charge'!D36</f>
        <v>11</v>
      </c>
      <c r="Z44" s="379">
        <f>ROUND((687+1016)/2,2)</f>
        <v>851.5</v>
      </c>
      <c r="AA44" s="380">
        <f>AA11</f>
        <v>196.18</v>
      </c>
      <c r="AB44" s="380">
        <f>+'[6]lead  charge'!E36</f>
        <v>194.1</v>
      </c>
      <c r="AC44" s="357">
        <v>0</v>
      </c>
      <c r="AD44" s="360">
        <v>0</v>
      </c>
      <c r="AE44" s="356">
        <f t="shared" si="0"/>
        <v>1241.78</v>
      </c>
      <c r="AF44" s="405" t="s">
        <v>797</v>
      </c>
      <c r="AG44" s="381">
        <f t="shared" si="1"/>
        <v>143.82</v>
      </c>
      <c r="AH44" s="379">
        <v>119.85</v>
      </c>
      <c r="AI44" s="370">
        <f t="shared" si="2"/>
        <v>131.83500000000001</v>
      </c>
      <c r="AJ44" s="35">
        <f t="shared" si="3"/>
        <v>143.82</v>
      </c>
      <c r="AK44" s="35">
        <f t="shared" si="4"/>
        <v>179.77499999999998</v>
      </c>
      <c r="AL44" s="35">
        <f t="shared" si="5"/>
        <v>125.8425</v>
      </c>
      <c r="AM44" s="35">
        <f t="shared" si="6"/>
        <v>149.8125</v>
      </c>
    </row>
    <row r="45" spans="1:39" ht="25.5">
      <c r="A45" s="382">
        <f t="shared" si="12"/>
        <v>34</v>
      </c>
      <c r="B45" s="356" t="s">
        <v>798</v>
      </c>
      <c r="C45" s="394">
        <f>'[6]TWAD '!C6</f>
        <v>11.2</v>
      </c>
      <c r="D45" s="406" t="s">
        <v>223</v>
      </c>
      <c r="F45" s="370">
        <v>1</v>
      </c>
      <c r="G45" s="368" t="s">
        <v>108</v>
      </c>
      <c r="H45" s="356" t="s">
        <v>126</v>
      </c>
      <c r="I45" s="370">
        <f>I36</f>
        <v>1779.13</v>
      </c>
      <c r="J45" s="356" t="s">
        <v>108</v>
      </c>
      <c r="K45" s="370">
        <f>(F45*I45)</f>
        <v>1779.13</v>
      </c>
      <c r="U45" s="356" t="s">
        <v>799</v>
      </c>
      <c r="W45" s="361" t="str">
        <f>W41</f>
        <v>Chinnathadagam</v>
      </c>
      <c r="X45" s="35">
        <f>'[6]lead  charge'!N10</f>
        <v>37</v>
      </c>
      <c r="Y45" s="35">
        <f>+'[6]lead  charge'!M36</f>
        <v>11</v>
      </c>
      <c r="Z45" s="379">
        <v>6595</v>
      </c>
      <c r="AA45" s="388">
        <f>AA41</f>
        <v>508.75</v>
      </c>
      <c r="AB45" s="388">
        <f>+'[6]lead  charge'!N36</f>
        <v>238.7</v>
      </c>
      <c r="AE45" s="356">
        <f t="shared" si="0"/>
        <v>7342.45</v>
      </c>
      <c r="AF45" s="405" t="s">
        <v>800</v>
      </c>
      <c r="AG45" s="381">
        <f t="shared" si="1"/>
        <v>283.32</v>
      </c>
      <c r="AH45" s="379">
        <v>236.1</v>
      </c>
      <c r="AI45" s="370">
        <f t="shared" si="2"/>
        <v>259.71000000000004</v>
      </c>
      <c r="AJ45" s="35">
        <f t="shared" si="3"/>
        <v>283.32</v>
      </c>
      <c r="AK45" s="35">
        <f t="shared" si="4"/>
        <v>354.15</v>
      </c>
      <c r="AL45" s="35">
        <f t="shared" si="5"/>
        <v>247.905</v>
      </c>
      <c r="AM45" s="35">
        <f t="shared" si="6"/>
        <v>295.125</v>
      </c>
    </row>
    <row r="46" spans="1:39" ht="25.5">
      <c r="A46" s="382">
        <f t="shared" si="12"/>
        <v>35</v>
      </c>
      <c r="B46" s="356" t="s">
        <v>801</v>
      </c>
      <c r="C46" s="394">
        <f>'[6]TWAD '!C7</f>
        <v>13.55</v>
      </c>
      <c r="D46" s="406" t="s">
        <v>223</v>
      </c>
      <c r="F46" s="370">
        <v>1</v>
      </c>
      <c r="G46" s="368" t="s">
        <v>108</v>
      </c>
      <c r="H46" s="356" t="s">
        <v>127</v>
      </c>
      <c r="I46" s="370">
        <f>(C18)</f>
        <v>139.19999999999999</v>
      </c>
      <c r="J46" s="356" t="s">
        <v>108</v>
      </c>
      <c r="K46" s="370">
        <f>(F46*I46)</f>
        <v>139.19999999999999</v>
      </c>
      <c r="U46" s="356" t="s">
        <v>802</v>
      </c>
      <c r="V46" s="356" t="s">
        <v>649</v>
      </c>
      <c r="W46" s="357" t="s">
        <v>681</v>
      </c>
      <c r="X46" s="370">
        <f>'[6]lead  charge'!E11</f>
        <v>25</v>
      </c>
      <c r="Y46" s="370">
        <f>+'[6]lead  charge'!D50</f>
        <v>11</v>
      </c>
      <c r="Z46" s="386">
        <f>Z17</f>
        <v>1338</v>
      </c>
      <c r="AA46" s="380">
        <f>'[6]lead  charge'!F11</f>
        <v>258.95</v>
      </c>
      <c r="AB46" s="380">
        <f>+'[6]lead  charge'!E50</f>
        <v>182.18</v>
      </c>
      <c r="AC46" s="357"/>
      <c r="AD46" s="360">
        <v>0</v>
      </c>
      <c r="AE46" s="356">
        <f t="shared" si="0"/>
        <v>1779.13</v>
      </c>
      <c r="AF46" s="405" t="s">
        <v>803</v>
      </c>
      <c r="AG46" s="381">
        <f t="shared" si="1"/>
        <v>283.32</v>
      </c>
      <c r="AH46" s="379">
        <f>AH45</f>
        <v>236.1</v>
      </c>
      <c r="AI46" s="370">
        <f t="shared" si="2"/>
        <v>259.71000000000004</v>
      </c>
      <c r="AJ46" s="35">
        <f t="shared" si="3"/>
        <v>283.32</v>
      </c>
      <c r="AK46" s="35">
        <f t="shared" si="4"/>
        <v>354.15</v>
      </c>
      <c r="AL46" s="35">
        <f t="shared" si="5"/>
        <v>247.905</v>
      </c>
      <c r="AM46" s="35">
        <f t="shared" si="6"/>
        <v>295.125</v>
      </c>
    </row>
    <row r="47" spans="1:39" ht="15.75">
      <c r="A47" s="382">
        <f t="shared" si="12"/>
        <v>36</v>
      </c>
      <c r="B47" s="356" t="s">
        <v>804</v>
      </c>
      <c r="C47" s="394">
        <f>'[6]TWAD '!C8</f>
        <v>18.3</v>
      </c>
      <c r="D47" s="406" t="s">
        <v>223</v>
      </c>
      <c r="G47" s="368" t="s">
        <v>128</v>
      </c>
      <c r="H47" s="356" t="s">
        <v>129</v>
      </c>
      <c r="I47" s="356" t="s">
        <v>114</v>
      </c>
      <c r="J47" s="356" t="s">
        <v>128</v>
      </c>
      <c r="K47" s="370">
        <v>0</v>
      </c>
      <c r="N47" s="356" t="s">
        <v>122</v>
      </c>
      <c r="O47" s="356" t="s">
        <v>805</v>
      </c>
      <c r="U47" s="356" t="s">
        <v>806</v>
      </c>
      <c r="V47" s="356" t="s">
        <v>649</v>
      </c>
      <c r="W47" s="357" t="s">
        <v>681</v>
      </c>
      <c r="X47" s="370">
        <f>X46</f>
        <v>25</v>
      </c>
      <c r="Y47" s="370">
        <f>+'[6]lead  charge'!D50</f>
        <v>11</v>
      </c>
      <c r="Z47" s="386">
        <f>Z46</f>
        <v>1338</v>
      </c>
      <c r="AA47" s="380">
        <f>AA46</f>
        <v>258.95</v>
      </c>
      <c r="AB47" s="380">
        <f>+'[6]lead  charge'!E50</f>
        <v>182.18</v>
      </c>
      <c r="AC47" s="357"/>
      <c r="AD47" s="360">
        <v>0</v>
      </c>
      <c r="AE47" s="356">
        <f t="shared" si="0"/>
        <v>1779.13</v>
      </c>
      <c r="AF47" s="408"/>
      <c r="AG47" s="381">
        <f t="shared" si="1"/>
        <v>0</v>
      </c>
      <c r="AH47" s="379"/>
      <c r="AI47" s="370">
        <f t="shared" si="2"/>
        <v>0</v>
      </c>
      <c r="AJ47" s="35">
        <f t="shared" si="3"/>
        <v>0</v>
      </c>
      <c r="AK47" s="35">
        <f t="shared" si="4"/>
        <v>0</v>
      </c>
      <c r="AL47" s="35">
        <f t="shared" si="5"/>
        <v>0</v>
      </c>
      <c r="AM47" s="35">
        <f t="shared" si="6"/>
        <v>0</v>
      </c>
    </row>
    <row r="48" spans="1:39" ht="15.75">
      <c r="A48" s="382">
        <f t="shared" si="12"/>
        <v>37</v>
      </c>
      <c r="B48" s="383" t="s">
        <v>807</v>
      </c>
      <c r="C48" s="394">
        <f>'[6]TWAD '!C9</f>
        <v>23.5</v>
      </c>
      <c r="D48" s="394">
        <v>47.35</v>
      </c>
      <c r="K48" s="363" t="s">
        <v>117</v>
      </c>
      <c r="O48" s="356" t="s">
        <v>808</v>
      </c>
      <c r="U48" s="363" t="s">
        <v>117</v>
      </c>
      <c r="V48" s="363" t="s">
        <v>117</v>
      </c>
      <c r="W48" s="357" t="s">
        <v>117</v>
      </c>
      <c r="X48" s="363" t="s">
        <v>117</v>
      </c>
      <c r="Y48" s="363"/>
      <c r="Z48" s="409" t="s">
        <v>117</v>
      </c>
      <c r="AA48" s="380" t="s">
        <v>117</v>
      </c>
      <c r="AB48" s="380"/>
      <c r="AC48" s="363" t="s">
        <v>117</v>
      </c>
      <c r="AD48" s="363" t="s">
        <v>117</v>
      </c>
      <c r="AE48" s="363" t="s">
        <v>117</v>
      </c>
      <c r="AF48" s="410" t="s">
        <v>117</v>
      </c>
      <c r="AG48" s="381" t="e">
        <f t="shared" si="1"/>
        <v>#VALUE!</v>
      </c>
      <c r="AH48" s="409" t="s">
        <v>117</v>
      </c>
      <c r="AI48" s="370" t="e">
        <f t="shared" si="2"/>
        <v>#VALUE!</v>
      </c>
      <c r="AJ48" s="35" t="e">
        <f t="shared" si="3"/>
        <v>#VALUE!</v>
      </c>
      <c r="AK48" s="35" t="e">
        <f t="shared" si="4"/>
        <v>#VALUE!</v>
      </c>
      <c r="AL48" s="35" t="e">
        <f t="shared" si="5"/>
        <v>#VALUE!</v>
      </c>
      <c r="AM48" s="35" t="e">
        <f t="shared" si="6"/>
        <v>#VALUE!</v>
      </c>
    </row>
    <row r="49" spans="1:47" ht="25.5">
      <c r="A49" s="382">
        <f t="shared" si="12"/>
        <v>38</v>
      </c>
      <c r="B49" s="383" t="s">
        <v>809</v>
      </c>
      <c r="C49" s="394">
        <f>'[6]TWAD '!C10</f>
        <v>25.5</v>
      </c>
      <c r="D49" s="394">
        <v>33.200000000000003</v>
      </c>
      <c r="H49" s="356" t="s">
        <v>130</v>
      </c>
      <c r="K49" s="369">
        <f>SUM(K44:K47)</f>
        <v>3753.50632</v>
      </c>
      <c r="O49" s="363" t="s">
        <v>117</v>
      </c>
      <c r="W49" s="361"/>
      <c r="Z49" s="403"/>
      <c r="AA49" s="388"/>
      <c r="AB49" s="388"/>
      <c r="AF49" s="405" t="s">
        <v>810</v>
      </c>
      <c r="AG49" s="381">
        <f t="shared" si="1"/>
        <v>5.04</v>
      </c>
      <c r="AH49" s="379">
        <v>4.2</v>
      </c>
      <c r="AI49" s="370">
        <f t="shared" si="2"/>
        <v>4.620000000000001</v>
      </c>
      <c r="AJ49" s="35">
        <f t="shared" si="3"/>
        <v>5.04</v>
      </c>
      <c r="AK49" s="35">
        <f t="shared" si="4"/>
        <v>6.3000000000000007</v>
      </c>
      <c r="AL49" s="35">
        <f t="shared" si="5"/>
        <v>4.41</v>
      </c>
      <c r="AM49" s="35">
        <f t="shared" si="6"/>
        <v>5.25</v>
      </c>
    </row>
    <row r="50" spans="1:47" ht="25.5">
      <c r="A50" s="382">
        <f t="shared" si="12"/>
        <v>39</v>
      </c>
      <c r="B50" s="383" t="s">
        <v>811</v>
      </c>
      <c r="C50" s="394">
        <f>'[6]TWAD '!C11</f>
        <v>13.35</v>
      </c>
      <c r="D50" s="406" t="s">
        <v>223</v>
      </c>
      <c r="K50" s="363" t="s">
        <v>117</v>
      </c>
      <c r="M50" s="370">
        <v>9</v>
      </c>
      <c r="N50" s="356" t="s">
        <v>108</v>
      </c>
      <c r="O50" s="356" t="s">
        <v>808</v>
      </c>
      <c r="P50" s="370">
        <f>(C81)</f>
        <v>1070.44</v>
      </c>
      <c r="Q50" s="356" t="s">
        <v>108</v>
      </c>
      <c r="R50" s="370">
        <f>(M50*P50)</f>
        <v>9633.9600000000009</v>
      </c>
      <c r="W50" s="361"/>
      <c r="Z50" s="403"/>
      <c r="AA50" s="388"/>
      <c r="AB50" s="388"/>
      <c r="AF50" s="405" t="s">
        <v>812</v>
      </c>
      <c r="AG50" s="381">
        <f t="shared" si="1"/>
        <v>6.3</v>
      </c>
      <c r="AH50" s="379">
        <v>5.25</v>
      </c>
      <c r="AI50" s="370">
        <f t="shared" si="2"/>
        <v>5.7750000000000004</v>
      </c>
      <c r="AJ50" s="35">
        <f t="shared" si="3"/>
        <v>6.3</v>
      </c>
      <c r="AK50" s="35">
        <f t="shared" si="4"/>
        <v>7.875</v>
      </c>
      <c r="AL50" s="35">
        <f t="shared" si="5"/>
        <v>5.5125000000000002</v>
      </c>
      <c r="AM50" s="35">
        <f t="shared" si="6"/>
        <v>6.5625</v>
      </c>
    </row>
    <row r="51" spans="1:47" ht="15.75">
      <c r="A51" s="382">
        <f t="shared" si="12"/>
        <v>40</v>
      </c>
      <c r="B51" s="383" t="s">
        <v>813</v>
      </c>
      <c r="C51" s="394">
        <f>'[6]TWAD '!C12</f>
        <v>13.5</v>
      </c>
      <c r="D51" s="406" t="s">
        <v>223</v>
      </c>
      <c r="G51" s="368" t="s">
        <v>122</v>
      </c>
      <c r="H51" s="356" t="s">
        <v>135</v>
      </c>
      <c r="M51" s="370">
        <v>4.5</v>
      </c>
      <c r="N51" s="356" t="s">
        <v>108</v>
      </c>
      <c r="O51" s="356" t="s">
        <v>137</v>
      </c>
      <c r="P51" s="370">
        <f>(K77)</f>
        <v>3065.3152</v>
      </c>
      <c r="Q51" s="356" t="s">
        <v>108</v>
      </c>
      <c r="R51" s="370">
        <f>(M51*P51)</f>
        <v>13793.9184</v>
      </c>
      <c r="W51" s="361"/>
      <c r="Z51" s="403"/>
      <c r="AA51" s="388"/>
      <c r="AB51" s="388"/>
      <c r="AF51" s="405" t="s">
        <v>814</v>
      </c>
      <c r="AG51" s="381">
        <f t="shared" si="1"/>
        <v>0</v>
      </c>
      <c r="AH51" s="379"/>
      <c r="AI51" s="370">
        <f t="shared" si="2"/>
        <v>0</v>
      </c>
      <c r="AJ51" s="35">
        <f t="shared" si="3"/>
        <v>0</v>
      </c>
      <c r="AK51" s="35">
        <f t="shared" si="4"/>
        <v>0</v>
      </c>
      <c r="AL51" s="35">
        <f t="shared" si="5"/>
        <v>0</v>
      </c>
      <c r="AM51" s="35">
        <f t="shared" si="6"/>
        <v>0</v>
      </c>
    </row>
    <row r="52" spans="1:47" ht="15.75">
      <c r="A52" s="382">
        <f t="shared" si="12"/>
        <v>41</v>
      </c>
      <c r="B52" s="383" t="s">
        <v>815</v>
      </c>
      <c r="C52" s="394">
        <f>'[6]TWAD '!C13</f>
        <v>28.05</v>
      </c>
      <c r="D52" s="406" t="s">
        <v>223</v>
      </c>
      <c r="H52" s="363" t="s">
        <v>117</v>
      </c>
      <c r="M52" s="370">
        <v>1.8</v>
      </c>
      <c r="N52" s="356" t="s">
        <v>151</v>
      </c>
      <c r="O52" s="356" t="s">
        <v>152</v>
      </c>
      <c r="P52" s="370">
        <f>(C11)</f>
        <v>1118.3999999999999</v>
      </c>
      <c r="Q52" s="356" t="s">
        <v>151</v>
      </c>
      <c r="R52" s="370">
        <f>(M52*P52)</f>
        <v>2013.12</v>
      </c>
      <c r="W52" s="361"/>
      <c r="Z52" s="403"/>
      <c r="AA52" s="388"/>
      <c r="AB52" s="388"/>
      <c r="AF52" s="405" t="s">
        <v>816</v>
      </c>
      <c r="AG52" s="381">
        <f t="shared" si="1"/>
        <v>256.91999999999996</v>
      </c>
      <c r="AH52" s="403">
        <v>214.1</v>
      </c>
      <c r="AI52" s="370">
        <f t="shared" si="2"/>
        <v>235.51000000000002</v>
      </c>
      <c r="AJ52" s="35">
        <f t="shared" si="3"/>
        <v>256.91999999999996</v>
      </c>
      <c r="AK52" s="35">
        <f t="shared" si="4"/>
        <v>321.14999999999998</v>
      </c>
      <c r="AL52" s="35">
        <f t="shared" si="5"/>
        <v>224.80500000000001</v>
      </c>
      <c r="AM52" s="35">
        <f t="shared" si="6"/>
        <v>267.625</v>
      </c>
    </row>
    <row r="53" spans="1:47" ht="15.75">
      <c r="A53" s="382">
        <f t="shared" si="12"/>
        <v>42</v>
      </c>
      <c r="B53" s="383" t="s">
        <v>817</v>
      </c>
      <c r="C53" s="394">
        <f>'[6]TWAD '!C14</f>
        <v>37.85</v>
      </c>
      <c r="D53" s="394">
        <v>95.55</v>
      </c>
      <c r="F53" s="370">
        <v>0.24</v>
      </c>
      <c r="G53" s="368" t="s">
        <v>124</v>
      </c>
      <c r="H53" s="356" t="s">
        <v>125</v>
      </c>
      <c r="I53" s="370">
        <f>(C67)</f>
        <v>6372.14</v>
      </c>
      <c r="J53" s="356" t="s">
        <v>124</v>
      </c>
      <c r="K53" s="370">
        <f>(F53*I53)</f>
        <v>1529.3136</v>
      </c>
      <c r="M53" s="370">
        <v>17.7</v>
      </c>
      <c r="N53" s="356" t="s">
        <v>151</v>
      </c>
      <c r="O53" s="356" t="s">
        <v>153</v>
      </c>
      <c r="P53" s="370">
        <f>(C12)</f>
        <v>781.19999999999993</v>
      </c>
      <c r="Q53" s="356" t="s">
        <v>151</v>
      </c>
      <c r="R53" s="370">
        <f>(M53*P53)</f>
        <v>13827.239999999998</v>
      </c>
      <c r="W53" s="361"/>
      <c r="AA53" s="388"/>
      <c r="AB53" s="388"/>
      <c r="AF53" s="405" t="s">
        <v>818</v>
      </c>
      <c r="AG53" s="381">
        <f t="shared" si="1"/>
        <v>396.23999999999995</v>
      </c>
      <c r="AH53" s="403">
        <v>330.2</v>
      </c>
      <c r="AI53" s="370">
        <f t="shared" si="2"/>
        <v>363.22</v>
      </c>
      <c r="AJ53" s="35">
        <f t="shared" si="3"/>
        <v>396.23999999999995</v>
      </c>
      <c r="AK53" s="35">
        <f t="shared" si="4"/>
        <v>495.29999999999995</v>
      </c>
      <c r="AL53" s="35">
        <f t="shared" si="5"/>
        <v>346.71</v>
      </c>
      <c r="AM53" s="35">
        <f t="shared" si="6"/>
        <v>412.75</v>
      </c>
    </row>
    <row r="54" spans="1:47" ht="15.75">
      <c r="A54" s="382">
        <f t="shared" si="12"/>
        <v>43</v>
      </c>
      <c r="B54" s="383" t="s">
        <v>819</v>
      </c>
      <c r="C54" s="394">
        <f>'[6]TWAD '!C15</f>
        <v>42.65</v>
      </c>
      <c r="D54" s="394">
        <v>72.150000000000006</v>
      </c>
      <c r="F54" s="370">
        <v>1</v>
      </c>
      <c r="G54" s="368" t="s">
        <v>108</v>
      </c>
      <c r="H54" s="356" t="s">
        <v>126</v>
      </c>
      <c r="I54" s="370">
        <f>(C78)</f>
        <v>1779.13</v>
      </c>
      <c r="J54" s="356" t="s">
        <v>108</v>
      </c>
      <c r="K54" s="370">
        <f>(F54*I54)</f>
        <v>1779.13</v>
      </c>
      <c r="M54" s="370">
        <v>14.1</v>
      </c>
      <c r="N54" s="356" t="s">
        <v>151</v>
      </c>
      <c r="O54" s="356" t="s">
        <v>154</v>
      </c>
      <c r="P54" s="370">
        <f>(C13)</f>
        <v>640.79999999999995</v>
      </c>
      <c r="Q54" s="356" t="s">
        <v>151</v>
      </c>
      <c r="R54" s="370">
        <f>(M54*P54)</f>
        <v>9035.2799999999988</v>
      </c>
      <c r="W54" s="361"/>
      <c r="AA54" s="388"/>
      <c r="AB54" s="388"/>
      <c r="AF54" s="405" t="s">
        <v>820</v>
      </c>
      <c r="AG54" s="381">
        <f t="shared" si="1"/>
        <v>10.92</v>
      </c>
      <c r="AH54" s="403">
        <v>9.1</v>
      </c>
      <c r="AI54" s="370">
        <f t="shared" si="2"/>
        <v>10.01</v>
      </c>
      <c r="AJ54" s="35">
        <f t="shared" si="3"/>
        <v>10.92</v>
      </c>
      <c r="AK54" s="35">
        <f t="shared" si="4"/>
        <v>13.649999999999999</v>
      </c>
      <c r="AL54" s="35">
        <f t="shared" si="5"/>
        <v>9.5549999999999997</v>
      </c>
      <c r="AM54" s="35">
        <f t="shared" si="6"/>
        <v>11.375</v>
      </c>
    </row>
    <row r="55" spans="1:47" ht="15.75">
      <c r="A55" s="382">
        <f t="shared" si="12"/>
        <v>44</v>
      </c>
      <c r="B55" s="383" t="s">
        <v>821</v>
      </c>
      <c r="C55" s="394">
        <f>'[6]TWAD '!C16</f>
        <v>47.35</v>
      </c>
      <c r="D55" s="394">
        <v>57.25</v>
      </c>
      <c r="F55" s="370">
        <v>1</v>
      </c>
      <c r="G55" s="368" t="s">
        <v>108</v>
      </c>
      <c r="H55" s="356" t="s">
        <v>127</v>
      </c>
      <c r="I55" s="370">
        <f>(C18)</f>
        <v>139.19999999999999</v>
      </c>
      <c r="J55" s="356" t="s">
        <v>108</v>
      </c>
      <c r="K55" s="370">
        <f>(F55*I55)</f>
        <v>139.19999999999999</v>
      </c>
      <c r="N55" s="356" t="s">
        <v>128</v>
      </c>
      <c r="O55" s="356" t="s">
        <v>129</v>
      </c>
      <c r="Q55" s="356" t="s">
        <v>128</v>
      </c>
      <c r="R55" s="370">
        <v>0</v>
      </c>
      <c r="W55" s="361"/>
      <c r="AA55" s="388"/>
      <c r="AB55" s="388"/>
      <c r="AF55" s="405" t="s">
        <v>822</v>
      </c>
      <c r="AG55" s="381">
        <f t="shared" si="1"/>
        <v>11.819999999999999</v>
      </c>
      <c r="AH55" s="403">
        <v>9.85</v>
      </c>
      <c r="AI55" s="370">
        <f t="shared" si="2"/>
        <v>10.835000000000001</v>
      </c>
      <c r="AJ55" s="35">
        <f t="shared" si="3"/>
        <v>11.819999999999999</v>
      </c>
      <c r="AK55" s="35">
        <f t="shared" si="4"/>
        <v>14.774999999999999</v>
      </c>
      <c r="AL55" s="35">
        <f t="shared" si="5"/>
        <v>10.342499999999999</v>
      </c>
      <c r="AM55" s="35">
        <f t="shared" si="6"/>
        <v>12.3125</v>
      </c>
    </row>
    <row r="56" spans="1:47" ht="25.5">
      <c r="A56" s="382">
        <f t="shared" si="12"/>
        <v>45</v>
      </c>
      <c r="B56" s="383" t="s">
        <v>823</v>
      </c>
      <c r="C56" s="402">
        <v>12.1</v>
      </c>
      <c r="D56" s="385" t="s">
        <v>128</v>
      </c>
      <c r="G56" s="368" t="s">
        <v>128</v>
      </c>
      <c r="H56" s="356" t="s">
        <v>129</v>
      </c>
      <c r="I56" s="356" t="s">
        <v>114</v>
      </c>
      <c r="J56" s="356" t="s">
        <v>128</v>
      </c>
      <c r="K56" s="370">
        <v>0</v>
      </c>
      <c r="R56" s="363" t="s">
        <v>117</v>
      </c>
      <c r="W56" s="361"/>
      <c r="AF56" s="405" t="s">
        <v>824</v>
      </c>
      <c r="AG56" s="381">
        <f t="shared" si="1"/>
        <v>12.239999999999998</v>
      </c>
      <c r="AH56" s="403">
        <v>10.199999999999999</v>
      </c>
      <c r="AI56" s="370">
        <f t="shared" si="2"/>
        <v>11.22</v>
      </c>
      <c r="AJ56" s="35">
        <f t="shared" si="3"/>
        <v>12.239999999999998</v>
      </c>
      <c r="AK56" s="35">
        <f t="shared" si="4"/>
        <v>15.299999999999999</v>
      </c>
      <c r="AL56" s="35">
        <f t="shared" si="5"/>
        <v>10.709999999999999</v>
      </c>
      <c r="AM56" s="35">
        <f t="shared" si="6"/>
        <v>12.75</v>
      </c>
    </row>
    <row r="57" spans="1:47" ht="15.75">
      <c r="A57" s="382">
        <f t="shared" si="12"/>
        <v>46</v>
      </c>
      <c r="B57" s="356" t="s">
        <v>825</v>
      </c>
      <c r="C57" s="394">
        <f>228.6/8</f>
        <v>28.574999999999999</v>
      </c>
      <c r="D57" s="385" t="s">
        <v>128</v>
      </c>
      <c r="K57" s="363" t="s">
        <v>117</v>
      </c>
      <c r="O57" s="356" t="s">
        <v>143</v>
      </c>
      <c r="R57" s="370">
        <f>SUM(R50:R55)</f>
        <v>48303.518400000001</v>
      </c>
      <c r="W57" s="361"/>
      <c r="AF57" s="405" t="s">
        <v>826</v>
      </c>
      <c r="AG57" s="381">
        <f t="shared" si="1"/>
        <v>1856.3999999999999</v>
      </c>
      <c r="AH57" s="403">
        <v>1547</v>
      </c>
      <c r="AI57" s="370">
        <f t="shared" si="2"/>
        <v>1701.7</v>
      </c>
      <c r="AJ57" s="35">
        <f t="shared" si="3"/>
        <v>1856.3999999999999</v>
      </c>
      <c r="AK57" s="35">
        <f t="shared" si="4"/>
        <v>2320.5</v>
      </c>
      <c r="AL57" s="35">
        <f t="shared" si="5"/>
        <v>1624.3500000000001</v>
      </c>
      <c r="AM57" s="35">
        <f t="shared" si="6"/>
        <v>1933.75</v>
      </c>
    </row>
    <row r="58" spans="1:47" ht="15.75">
      <c r="A58" s="382">
        <f t="shared" si="12"/>
        <v>47</v>
      </c>
      <c r="B58" s="356" t="s">
        <v>827</v>
      </c>
      <c r="C58" s="394">
        <v>11.9</v>
      </c>
      <c r="D58" s="385" t="s">
        <v>828</v>
      </c>
      <c r="H58" s="356" t="s">
        <v>130</v>
      </c>
      <c r="K58" s="369">
        <f>SUM(K53:K56)</f>
        <v>3447.6435999999999</v>
      </c>
      <c r="R58" s="363" t="s">
        <v>117</v>
      </c>
      <c r="W58" s="361"/>
      <c r="AF58" s="356" t="s">
        <v>829</v>
      </c>
      <c r="AG58" s="381">
        <f t="shared" si="1"/>
        <v>1723.2</v>
      </c>
      <c r="AH58" s="379">
        <v>1436</v>
      </c>
      <c r="AI58" s="370">
        <f t="shared" si="2"/>
        <v>1579.6000000000001</v>
      </c>
      <c r="AJ58" s="35">
        <f t="shared" si="3"/>
        <v>1723.2</v>
      </c>
      <c r="AK58" s="35">
        <f t="shared" si="4"/>
        <v>2154</v>
      </c>
      <c r="AL58" s="35">
        <f t="shared" si="5"/>
        <v>1507.8</v>
      </c>
      <c r="AM58" s="35">
        <f t="shared" si="6"/>
        <v>1795</v>
      </c>
    </row>
    <row r="59" spans="1:47" ht="15.75">
      <c r="A59" s="396"/>
      <c r="B59" s="404"/>
      <c r="C59" s="396"/>
      <c r="D59" s="396"/>
      <c r="F59" s="356" t="s">
        <v>114</v>
      </c>
      <c r="W59" s="361"/>
      <c r="AF59" s="356" t="s">
        <v>830</v>
      </c>
      <c r="AG59" s="381">
        <f t="shared" si="1"/>
        <v>12.66</v>
      </c>
      <c r="AH59" s="379">
        <v>10.55</v>
      </c>
      <c r="AI59" s="370">
        <f t="shared" si="2"/>
        <v>11.605000000000002</v>
      </c>
      <c r="AJ59" s="35">
        <f t="shared" si="3"/>
        <v>12.66</v>
      </c>
      <c r="AK59" s="35">
        <f t="shared" si="4"/>
        <v>15.825000000000001</v>
      </c>
      <c r="AL59" s="35">
        <f t="shared" si="5"/>
        <v>11.077500000000001</v>
      </c>
      <c r="AM59" s="35">
        <f t="shared" si="6"/>
        <v>13.1875</v>
      </c>
      <c r="AR59" s="411" t="s">
        <v>157</v>
      </c>
    </row>
    <row r="60" spans="1:47" ht="15.75">
      <c r="A60" s="382">
        <f>(A58+1)</f>
        <v>48</v>
      </c>
      <c r="B60" s="356" t="s">
        <v>831</v>
      </c>
      <c r="C60" s="394">
        <v>32</v>
      </c>
      <c r="D60" s="383" t="s">
        <v>832</v>
      </c>
      <c r="K60" s="363" t="s">
        <v>117</v>
      </c>
      <c r="O60" s="356" t="s">
        <v>155</v>
      </c>
      <c r="R60" s="370">
        <f>(R57/10)</f>
        <v>4830.3518400000003</v>
      </c>
      <c r="W60" s="361"/>
      <c r="AF60" s="356" t="s">
        <v>833</v>
      </c>
      <c r="AG60" s="381">
        <f t="shared" si="1"/>
        <v>66.42</v>
      </c>
      <c r="AH60" s="403">
        <v>55.35</v>
      </c>
      <c r="AI60" s="370">
        <f t="shared" si="2"/>
        <v>60.885000000000005</v>
      </c>
      <c r="AJ60" s="35">
        <f t="shared" si="3"/>
        <v>66.42</v>
      </c>
      <c r="AK60" s="35">
        <f t="shared" si="4"/>
        <v>83.025000000000006</v>
      </c>
      <c r="AL60" s="35">
        <f t="shared" si="5"/>
        <v>58.117500000000007</v>
      </c>
      <c r="AM60" s="35">
        <f t="shared" si="6"/>
        <v>69.1875</v>
      </c>
      <c r="AP60" s="412">
        <v>6.5</v>
      </c>
      <c r="AQ60" s="368" t="s">
        <v>122</v>
      </c>
      <c r="AR60" s="383" t="s">
        <v>158</v>
      </c>
      <c r="AT60" s="360"/>
    </row>
    <row r="61" spans="1:47" ht="15.75">
      <c r="A61" s="382">
        <f t="shared" ref="A61:A93" si="13">(A60+1)</f>
        <v>49</v>
      </c>
      <c r="B61" s="356" t="s">
        <v>834</v>
      </c>
      <c r="C61" s="381">
        <f>AG29</f>
        <v>134.45999999999998</v>
      </c>
      <c r="D61" s="381">
        <f>AG36</f>
        <v>200.28</v>
      </c>
      <c r="G61" s="368" t="s">
        <v>122</v>
      </c>
      <c r="H61" s="356" t="s">
        <v>136</v>
      </c>
      <c r="R61" s="363" t="s">
        <v>156</v>
      </c>
      <c r="W61" s="361"/>
      <c r="AG61" s="381">
        <f t="shared" si="1"/>
        <v>0</v>
      </c>
      <c r="AH61" s="403"/>
      <c r="AI61" s="370">
        <f t="shared" si="2"/>
        <v>0</v>
      </c>
      <c r="AJ61" s="35">
        <f t="shared" si="3"/>
        <v>0</v>
      </c>
      <c r="AK61" s="35">
        <f t="shared" si="4"/>
        <v>0</v>
      </c>
      <c r="AL61" s="35">
        <f t="shared" si="5"/>
        <v>0</v>
      </c>
      <c r="AM61" s="35">
        <f t="shared" si="6"/>
        <v>0</v>
      </c>
      <c r="AQ61" s="358"/>
      <c r="AR61" s="383" t="s">
        <v>159</v>
      </c>
      <c r="AT61" s="360"/>
    </row>
    <row r="62" spans="1:47" ht="17.25">
      <c r="A62" s="382">
        <f t="shared" si="13"/>
        <v>50</v>
      </c>
      <c r="B62" s="356" t="s">
        <v>835</v>
      </c>
      <c r="C62" s="394">
        <v>708</v>
      </c>
      <c r="D62" s="383" t="s">
        <v>151</v>
      </c>
      <c r="H62" s="363" t="s">
        <v>117</v>
      </c>
      <c r="N62" s="356" t="s">
        <v>122</v>
      </c>
      <c r="O62" s="356" t="s">
        <v>836</v>
      </c>
      <c r="W62" s="361"/>
      <c r="AF62" s="413" t="s">
        <v>837</v>
      </c>
      <c r="AG62" s="381">
        <f t="shared" si="1"/>
        <v>4700.3999999999996</v>
      </c>
      <c r="AH62" s="403">
        <v>3917</v>
      </c>
      <c r="AI62" s="370">
        <f t="shared" si="2"/>
        <v>4308.7000000000007</v>
      </c>
      <c r="AJ62" s="35">
        <f t="shared" si="3"/>
        <v>4700.3999999999996</v>
      </c>
      <c r="AK62" s="35">
        <f t="shared" si="4"/>
        <v>5875.5</v>
      </c>
      <c r="AL62" s="35">
        <f t="shared" si="5"/>
        <v>4112.8500000000004</v>
      </c>
      <c r="AM62" s="35">
        <f t="shared" si="6"/>
        <v>4896.25</v>
      </c>
      <c r="AQ62" s="358"/>
      <c r="AR62" s="363" t="s">
        <v>117</v>
      </c>
      <c r="AT62" s="360"/>
    </row>
    <row r="63" spans="1:47" ht="17.25">
      <c r="A63" s="382">
        <f t="shared" si="13"/>
        <v>51</v>
      </c>
      <c r="B63" s="414" t="s">
        <v>838</v>
      </c>
      <c r="C63" s="402">
        <v>42</v>
      </c>
      <c r="D63" s="383" t="s">
        <v>128</v>
      </c>
      <c r="F63" s="407">
        <v>0.20599999999999999</v>
      </c>
      <c r="G63" s="368" t="s">
        <v>124</v>
      </c>
      <c r="H63" s="356" t="s">
        <v>125</v>
      </c>
      <c r="I63" s="370">
        <f>(C67)</f>
        <v>6372.14</v>
      </c>
      <c r="J63" s="356" t="s">
        <v>124</v>
      </c>
      <c r="K63" s="370">
        <f>(F63*I63)</f>
        <v>1312.66084</v>
      </c>
      <c r="O63" s="356" t="s">
        <v>427</v>
      </c>
      <c r="W63" s="361"/>
      <c r="AD63" s="415"/>
      <c r="AF63" s="416" t="s">
        <v>839</v>
      </c>
      <c r="AG63" s="381">
        <f t="shared" si="1"/>
        <v>13.98</v>
      </c>
      <c r="AH63" s="403">
        <v>11.65</v>
      </c>
      <c r="AI63" s="370">
        <f t="shared" si="2"/>
        <v>12.815000000000001</v>
      </c>
      <c r="AJ63" s="35">
        <f t="shared" si="3"/>
        <v>13.98</v>
      </c>
      <c r="AK63" s="35">
        <f t="shared" si="4"/>
        <v>17.475000000000001</v>
      </c>
      <c r="AL63" s="35">
        <f t="shared" si="5"/>
        <v>12.232500000000002</v>
      </c>
      <c r="AM63" s="35">
        <f t="shared" si="6"/>
        <v>14.5625</v>
      </c>
      <c r="AP63" s="370">
        <v>1300</v>
      </c>
      <c r="AQ63" s="368" t="s">
        <v>160</v>
      </c>
      <c r="AR63" s="370" t="str">
        <f>AR61</f>
        <v>Bricks of size 23x11x7 cm</v>
      </c>
      <c r="AS63" s="370">
        <f>AE45</f>
        <v>7342.45</v>
      </c>
      <c r="AT63" s="356" t="s">
        <v>161</v>
      </c>
      <c r="AU63" s="370">
        <f>(AP63*AS63)/1000</f>
        <v>9545.1849999999995</v>
      </c>
    </row>
    <row r="64" spans="1:47" ht="17.25">
      <c r="A64" s="382">
        <f t="shared" si="13"/>
        <v>52</v>
      </c>
      <c r="B64" s="356" t="s">
        <v>840</v>
      </c>
      <c r="C64" s="394">
        <v>280.60000000000002</v>
      </c>
      <c r="D64" s="383" t="s">
        <v>108</v>
      </c>
      <c r="F64" s="370">
        <v>1</v>
      </c>
      <c r="G64" s="368" t="s">
        <v>108</v>
      </c>
      <c r="H64" s="356" t="s">
        <v>126</v>
      </c>
      <c r="I64" s="370">
        <f>(C78)</f>
        <v>1779.13</v>
      </c>
      <c r="J64" s="356" t="s">
        <v>108</v>
      </c>
      <c r="K64" s="370">
        <f>(F64*I64)</f>
        <v>1779.13</v>
      </c>
      <c r="O64" s="363" t="s">
        <v>117</v>
      </c>
      <c r="W64" s="361"/>
      <c r="AF64" s="416" t="s">
        <v>841</v>
      </c>
      <c r="AG64" s="381">
        <f t="shared" si="1"/>
        <v>53.1</v>
      </c>
      <c r="AH64" s="403">
        <v>44.25</v>
      </c>
      <c r="AI64" s="370">
        <f t="shared" si="2"/>
        <v>48.675000000000004</v>
      </c>
      <c r="AJ64" s="35">
        <f t="shared" si="3"/>
        <v>53.1</v>
      </c>
      <c r="AK64" s="35">
        <f t="shared" si="4"/>
        <v>66.375</v>
      </c>
      <c r="AL64" s="35">
        <f t="shared" si="5"/>
        <v>46.462499999999999</v>
      </c>
      <c r="AM64" s="35">
        <f t="shared" si="6"/>
        <v>55.3125</v>
      </c>
      <c r="AP64" s="407">
        <v>0.70799999999999996</v>
      </c>
      <c r="AQ64" s="368" t="s">
        <v>108</v>
      </c>
      <c r="AR64" s="356" t="s">
        <v>134</v>
      </c>
      <c r="AS64" s="370">
        <f>K49</f>
        <v>3753.50632</v>
      </c>
      <c r="AT64" s="356" t="s">
        <v>108</v>
      </c>
      <c r="AU64" s="370">
        <f>(AP64*AS64)</f>
        <v>2657.4824745599999</v>
      </c>
    </row>
    <row r="65" spans="1:47" s="419" customFormat="1" ht="15.75">
      <c r="A65" s="417">
        <f t="shared" si="13"/>
        <v>53</v>
      </c>
      <c r="B65" s="397" t="s">
        <v>842</v>
      </c>
      <c r="C65" s="418">
        <v>391.1</v>
      </c>
      <c r="D65" s="398" t="s">
        <v>843</v>
      </c>
      <c r="F65" s="420">
        <v>1</v>
      </c>
      <c r="G65" s="421" t="s">
        <v>108</v>
      </c>
      <c r="H65" s="397" t="s">
        <v>127</v>
      </c>
      <c r="I65" s="420">
        <f>(C18)</f>
        <v>139.19999999999999</v>
      </c>
      <c r="J65" s="397" t="s">
        <v>108</v>
      </c>
      <c r="K65" s="420">
        <f>(F65*I65)</f>
        <v>139.19999999999999</v>
      </c>
      <c r="M65" s="420">
        <v>9</v>
      </c>
      <c r="N65" s="397" t="s">
        <v>108</v>
      </c>
      <c r="O65" s="397" t="s">
        <v>427</v>
      </c>
      <c r="P65" s="420">
        <f>(C73)</f>
        <v>1879.28</v>
      </c>
      <c r="Q65" s="397" t="s">
        <v>108</v>
      </c>
      <c r="R65" s="420">
        <f>(M65*P65)</f>
        <v>16913.52</v>
      </c>
      <c r="S65" s="422"/>
      <c r="U65" s="419" t="s">
        <v>844</v>
      </c>
      <c r="W65" s="423"/>
      <c r="AG65" s="381">
        <f t="shared" si="1"/>
        <v>0</v>
      </c>
      <c r="AH65" s="403"/>
      <c r="AI65" s="370">
        <f t="shared" si="2"/>
        <v>0</v>
      </c>
      <c r="AJ65" s="35">
        <f t="shared" si="3"/>
        <v>0</v>
      </c>
      <c r="AK65" s="35">
        <f t="shared" si="4"/>
        <v>0</v>
      </c>
      <c r="AL65" s="35">
        <f t="shared" si="5"/>
        <v>0</v>
      </c>
      <c r="AM65" s="35">
        <f t="shared" si="6"/>
        <v>0</v>
      </c>
      <c r="AP65" s="420">
        <v>1</v>
      </c>
      <c r="AQ65" s="421" t="s">
        <v>151</v>
      </c>
      <c r="AR65" s="397" t="s">
        <v>162</v>
      </c>
      <c r="AS65" s="420">
        <f>V315</f>
        <v>1198.8</v>
      </c>
      <c r="AT65" s="397" t="s">
        <v>151</v>
      </c>
      <c r="AU65" s="420">
        <f>(AP65*AS65)</f>
        <v>1198.8</v>
      </c>
    </row>
    <row r="66" spans="1:47" ht="15.75">
      <c r="A66" s="382">
        <f t="shared" si="13"/>
        <v>54</v>
      </c>
      <c r="B66" s="383" t="s">
        <v>845</v>
      </c>
      <c r="C66" s="381">
        <f>AG18</f>
        <v>1027.2</v>
      </c>
      <c r="D66" s="383" t="s">
        <v>151</v>
      </c>
      <c r="G66" s="368" t="s">
        <v>128</v>
      </c>
      <c r="H66" s="356" t="s">
        <v>129</v>
      </c>
      <c r="I66" s="356" t="s">
        <v>114</v>
      </c>
      <c r="J66" s="356" t="s">
        <v>128</v>
      </c>
      <c r="K66" s="370">
        <v>0</v>
      </c>
      <c r="M66" s="370">
        <v>4.5</v>
      </c>
      <c r="N66" s="356" t="s">
        <v>108</v>
      </c>
      <c r="O66" s="356" t="s">
        <v>131</v>
      </c>
      <c r="P66" s="370">
        <f>(K23)</f>
        <v>6506.2708000000002</v>
      </c>
      <c r="Q66" s="356" t="s">
        <v>108</v>
      </c>
      <c r="R66" s="370">
        <f>(M66*P66)</f>
        <v>29278.2186</v>
      </c>
      <c r="U66" s="35" t="s">
        <v>846</v>
      </c>
      <c r="V66" s="35" t="s">
        <v>452</v>
      </c>
      <c r="W66" s="424">
        <v>195.7</v>
      </c>
      <c r="AG66" s="381">
        <f t="shared" si="1"/>
        <v>0</v>
      </c>
      <c r="AH66" s="403"/>
      <c r="AI66" s="370">
        <f t="shared" si="2"/>
        <v>0</v>
      </c>
      <c r="AJ66" s="35">
        <f t="shared" si="3"/>
        <v>0</v>
      </c>
      <c r="AK66" s="35">
        <f t="shared" si="4"/>
        <v>0</v>
      </c>
      <c r="AL66" s="35">
        <f t="shared" si="5"/>
        <v>0</v>
      </c>
      <c r="AM66" s="35">
        <f t="shared" si="6"/>
        <v>0</v>
      </c>
      <c r="AP66" s="370">
        <v>3</v>
      </c>
      <c r="AQ66" s="368" t="s">
        <v>151</v>
      </c>
      <c r="AR66" s="356" t="s">
        <v>152</v>
      </c>
      <c r="AS66" s="370">
        <f>V316</f>
        <v>1118.3999999999999</v>
      </c>
      <c r="AT66" s="356" t="s">
        <v>151</v>
      </c>
      <c r="AU66" s="370">
        <f>(AP66*AS66)</f>
        <v>3355.2</v>
      </c>
    </row>
    <row r="67" spans="1:47" ht="34.5">
      <c r="A67" s="382">
        <f t="shared" si="13"/>
        <v>55</v>
      </c>
      <c r="B67" s="383" t="s">
        <v>125</v>
      </c>
      <c r="C67" s="381">
        <f>AE31</f>
        <v>6372.14</v>
      </c>
      <c r="D67" s="383" t="s">
        <v>124</v>
      </c>
      <c r="K67" s="363" t="s">
        <v>117</v>
      </c>
      <c r="M67" s="370">
        <v>1.8</v>
      </c>
      <c r="N67" s="356" t="s">
        <v>151</v>
      </c>
      <c r="O67" s="356" t="s">
        <v>152</v>
      </c>
      <c r="P67" s="370">
        <f>(C11)</f>
        <v>1118.3999999999999</v>
      </c>
      <c r="Q67" s="356" t="s">
        <v>151</v>
      </c>
      <c r="R67" s="370">
        <f>(M67*P67)</f>
        <v>2013.12</v>
      </c>
      <c r="U67" s="35" t="s">
        <v>847</v>
      </c>
      <c r="V67" s="35" t="s">
        <v>452</v>
      </c>
      <c r="W67" s="424">
        <v>370.25</v>
      </c>
      <c r="AF67" s="416" t="s">
        <v>848</v>
      </c>
      <c r="AG67" s="381">
        <f t="shared" si="1"/>
        <v>44.34</v>
      </c>
      <c r="AH67" s="425">
        <v>36.950000000000003</v>
      </c>
      <c r="AI67" s="370">
        <f t="shared" si="2"/>
        <v>40.645000000000003</v>
      </c>
      <c r="AJ67" s="35">
        <f t="shared" si="3"/>
        <v>44.34</v>
      </c>
      <c r="AK67" s="35" t="e">
        <f>#REF!*1.5</f>
        <v>#REF!</v>
      </c>
      <c r="AL67" s="35" t="e">
        <f>#REF!*1.05</f>
        <v>#REF!</v>
      </c>
      <c r="AM67" s="35" t="e">
        <f>#REF!*1.25</f>
        <v>#REF!</v>
      </c>
      <c r="AP67" s="370">
        <v>2</v>
      </c>
      <c r="AQ67" s="368" t="s">
        <v>151</v>
      </c>
      <c r="AR67" s="356" t="s">
        <v>153</v>
      </c>
      <c r="AS67" s="370">
        <f>V317</f>
        <v>781.19999999999993</v>
      </c>
      <c r="AT67" s="356" t="s">
        <v>151</v>
      </c>
      <c r="AU67" s="370">
        <f>(AP67*AS67)</f>
        <v>1562.3999999999999</v>
      </c>
    </row>
    <row r="68" spans="1:47" ht="26.25">
      <c r="A68" s="382">
        <f t="shared" si="13"/>
        <v>56</v>
      </c>
      <c r="B68" s="383" t="s">
        <v>849</v>
      </c>
      <c r="C68" s="381">
        <f t="shared" ref="C68:C74" si="14">AE9</f>
        <v>839.68</v>
      </c>
      <c r="D68" s="383" t="s">
        <v>108</v>
      </c>
      <c r="H68" s="356" t="s">
        <v>130</v>
      </c>
      <c r="K68" s="369">
        <f>SUM(K63:K66)</f>
        <v>3230.9908399999999</v>
      </c>
      <c r="M68" s="370">
        <v>17.7</v>
      </c>
      <c r="N68" s="356" t="s">
        <v>151</v>
      </c>
      <c r="O68" s="356" t="s">
        <v>153</v>
      </c>
      <c r="P68" s="370">
        <f>(C12)</f>
        <v>781.19999999999993</v>
      </c>
      <c r="Q68" s="356" t="s">
        <v>151</v>
      </c>
      <c r="R68" s="370">
        <f>(M68*P68)</f>
        <v>13827.239999999998</v>
      </c>
      <c r="U68" s="35" t="s">
        <v>850</v>
      </c>
      <c r="W68" s="361"/>
      <c r="AF68" s="426" t="s">
        <v>851</v>
      </c>
      <c r="AG68" s="381">
        <f t="shared" si="1"/>
        <v>13.44</v>
      </c>
      <c r="AH68" s="403">
        <v>11.2</v>
      </c>
      <c r="AI68" s="370">
        <f t="shared" si="2"/>
        <v>12.32</v>
      </c>
      <c r="AJ68" s="35">
        <f t="shared" si="3"/>
        <v>13.44</v>
      </c>
      <c r="AK68" s="35">
        <f t="shared" si="4"/>
        <v>16.799999999999997</v>
      </c>
      <c r="AL68" s="35">
        <f t="shared" si="5"/>
        <v>11.76</v>
      </c>
      <c r="AM68" s="35">
        <f t="shared" si="6"/>
        <v>14</v>
      </c>
      <c r="AP68" s="370">
        <v>6</v>
      </c>
      <c r="AQ68" s="368" t="s">
        <v>151</v>
      </c>
      <c r="AR68" s="356" t="s">
        <v>154</v>
      </c>
      <c r="AS68" s="370">
        <f>V318</f>
        <v>640.79999999999995</v>
      </c>
      <c r="AT68" s="356" t="s">
        <v>151</v>
      </c>
      <c r="AU68" s="370">
        <f>(AP68*AS68)</f>
        <v>3844.7999999999997</v>
      </c>
    </row>
    <row r="69" spans="1:47" ht="15.75">
      <c r="A69" s="382">
        <f t="shared" si="13"/>
        <v>57</v>
      </c>
      <c r="B69" s="383" t="s">
        <v>852</v>
      </c>
      <c r="C69" s="381">
        <f t="shared" si="14"/>
        <v>1038.6799999999998</v>
      </c>
      <c r="D69" s="383" t="s">
        <v>108</v>
      </c>
      <c r="K69" s="363" t="s">
        <v>117</v>
      </c>
      <c r="M69" s="370">
        <v>14.1</v>
      </c>
      <c r="N69" s="356" t="s">
        <v>151</v>
      </c>
      <c r="O69" s="356" t="s">
        <v>154</v>
      </c>
      <c r="P69" s="370">
        <f>(C13)</f>
        <v>640.79999999999995</v>
      </c>
      <c r="Q69" s="356" t="s">
        <v>151</v>
      </c>
      <c r="R69" s="370">
        <f>(M69*P69)</f>
        <v>9035.2799999999988</v>
      </c>
      <c r="U69" s="35" t="s">
        <v>853</v>
      </c>
      <c r="V69" s="35" t="s">
        <v>194</v>
      </c>
      <c r="W69" s="424">
        <v>9180</v>
      </c>
      <c r="AF69" s="427" t="s">
        <v>854</v>
      </c>
      <c r="AG69" s="381">
        <f t="shared" si="1"/>
        <v>20.76</v>
      </c>
      <c r="AH69" s="394">
        <f>17.3</f>
        <v>17.3</v>
      </c>
      <c r="AI69" s="370">
        <f t="shared" si="2"/>
        <v>19.03</v>
      </c>
      <c r="AJ69" s="35">
        <f t="shared" si="3"/>
        <v>20.76</v>
      </c>
      <c r="AK69" s="35">
        <f t="shared" si="4"/>
        <v>25.950000000000003</v>
      </c>
      <c r="AL69" s="35">
        <f t="shared" si="5"/>
        <v>18.165000000000003</v>
      </c>
      <c r="AM69" s="35">
        <f t="shared" si="6"/>
        <v>21.625</v>
      </c>
      <c r="AQ69" s="368" t="s">
        <v>128</v>
      </c>
      <c r="AR69" s="356" t="s">
        <v>129</v>
      </c>
      <c r="AT69" s="356" t="s">
        <v>128</v>
      </c>
      <c r="AU69" s="370">
        <v>5</v>
      </c>
    </row>
    <row r="70" spans="1:47" ht="15.75">
      <c r="A70" s="382">
        <f t="shared" si="13"/>
        <v>58</v>
      </c>
      <c r="B70" s="383" t="s">
        <v>855</v>
      </c>
      <c r="C70" s="381">
        <f t="shared" si="14"/>
        <v>1163.9499999999998</v>
      </c>
      <c r="D70" s="383" t="s">
        <v>108</v>
      </c>
      <c r="G70" s="368" t="s">
        <v>122</v>
      </c>
      <c r="H70" s="356" t="s">
        <v>137</v>
      </c>
      <c r="N70" s="356" t="s">
        <v>128</v>
      </c>
      <c r="O70" s="356" t="s">
        <v>129</v>
      </c>
      <c r="Q70" s="356" t="s">
        <v>128</v>
      </c>
      <c r="R70" s="370">
        <v>0</v>
      </c>
      <c r="U70" s="35" t="s">
        <v>856</v>
      </c>
      <c r="V70" s="35" t="s">
        <v>194</v>
      </c>
      <c r="W70" s="424">
        <v>7140</v>
      </c>
      <c r="AF70" s="383" t="s">
        <v>857</v>
      </c>
      <c r="AG70" s="381">
        <f t="shared" si="1"/>
        <v>10.68</v>
      </c>
      <c r="AH70" s="428">
        <f>8.9</f>
        <v>8.9</v>
      </c>
      <c r="AI70" s="370">
        <f t="shared" si="2"/>
        <v>9.7900000000000009</v>
      </c>
      <c r="AJ70" s="35">
        <f t="shared" si="3"/>
        <v>10.68</v>
      </c>
      <c r="AK70" s="35">
        <f t="shared" si="4"/>
        <v>13.350000000000001</v>
      </c>
      <c r="AL70" s="35">
        <f t="shared" si="5"/>
        <v>9.3450000000000006</v>
      </c>
      <c r="AM70" s="35">
        <f t="shared" si="6"/>
        <v>11.125</v>
      </c>
      <c r="AQ70" s="358"/>
      <c r="AT70" s="360"/>
      <c r="AU70" s="363" t="s">
        <v>117</v>
      </c>
    </row>
    <row r="71" spans="1:47" ht="15.75">
      <c r="A71" s="382">
        <f t="shared" si="13"/>
        <v>59</v>
      </c>
      <c r="B71" s="383" t="s">
        <v>858</v>
      </c>
      <c r="C71" s="381">
        <f t="shared" si="14"/>
        <v>1406.28</v>
      </c>
      <c r="D71" s="383" t="s">
        <v>108</v>
      </c>
      <c r="H71" s="363" t="s">
        <v>117</v>
      </c>
      <c r="R71" s="363" t="s">
        <v>117</v>
      </c>
      <c r="U71" s="35" t="s">
        <v>859</v>
      </c>
      <c r="V71" s="35" t="s">
        <v>860</v>
      </c>
      <c r="W71" s="424">
        <v>8106</v>
      </c>
      <c r="AF71" s="383" t="s">
        <v>857</v>
      </c>
      <c r="AG71" s="381">
        <f t="shared" si="1"/>
        <v>12.78</v>
      </c>
      <c r="AH71" s="35">
        <v>10.65</v>
      </c>
      <c r="AI71" s="370">
        <f t="shared" si="2"/>
        <v>11.715000000000002</v>
      </c>
      <c r="AJ71" s="35">
        <f t="shared" si="3"/>
        <v>12.78</v>
      </c>
      <c r="AK71" s="35">
        <f t="shared" si="4"/>
        <v>15.975000000000001</v>
      </c>
      <c r="AL71" s="35">
        <f t="shared" si="5"/>
        <v>11.182500000000001</v>
      </c>
      <c r="AM71" s="35">
        <f t="shared" si="6"/>
        <v>13.3125</v>
      </c>
      <c r="AQ71" s="358"/>
      <c r="AR71" s="356" t="s">
        <v>163</v>
      </c>
      <c r="AT71" s="360"/>
      <c r="AU71" s="370">
        <f>SUM(AU63:AU69)</f>
        <v>22168.86747456</v>
      </c>
    </row>
    <row r="72" spans="1:47" ht="15.75">
      <c r="A72" s="382">
        <f t="shared" si="13"/>
        <v>60</v>
      </c>
      <c r="B72" s="383" t="s">
        <v>861</v>
      </c>
      <c r="C72" s="381">
        <f t="shared" si="14"/>
        <v>1772.28</v>
      </c>
      <c r="D72" s="383" t="s">
        <v>108</v>
      </c>
      <c r="F72" s="370">
        <v>0.18</v>
      </c>
      <c r="G72" s="368" t="s">
        <v>124</v>
      </c>
      <c r="H72" s="356" t="s">
        <v>125</v>
      </c>
      <c r="I72" s="370">
        <f>(C67)</f>
        <v>6372.14</v>
      </c>
      <c r="J72" s="356" t="s">
        <v>124</v>
      </c>
      <c r="K72" s="370">
        <f>(F72*I72)</f>
        <v>1146.9852000000001</v>
      </c>
      <c r="O72" s="356" t="s">
        <v>143</v>
      </c>
      <c r="R72" s="370">
        <f>SUM(R65:R70)</f>
        <v>71067.378599999996</v>
      </c>
      <c r="U72" s="35" t="s">
        <v>862</v>
      </c>
      <c r="V72" s="35" t="s">
        <v>860</v>
      </c>
      <c r="W72" s="424">
        <v>7482</v>
      </c>
      <c r="AF72" s="385" t="s">
        <v>863</v>
      </c>
      <c r="AG72" s="381">
        <f t="shared" si="1"/>
        <v>31.92</v>
      </c>
      <c r="AH72" s="429">
        <v>26.6</v>
      </c>
      <c r="AI72" s="370">
        <f t="shared" si="2"/>
        <v>29.260000000000005</v>
      </c>
      <c r="AJ72" s="35">
        <f t="shared" si="3"/>
        <v>31.92</v>
      </c>
      <c r="AK72" s="35">
        <f t="shared" si="4"/>
        <v>39.900000000000006</v>
      </c>
      <c r="AL72" s="35">
        <f t="shared" si="5"/>
        <v>27.930000000000003</v>
      </c>
      <c r="AM72" s="35">
        <f t="shared" si="6"/>
        <v>33.25</v>
      </c>
      <c r="AQ72" s="358"/>
      <c r="AT72" s="360"/>
      <c r="AU72" s="363" t="s">
        <v>117</v>
      </c>
    </row>
    <row r="73" spans="1:47" ht="15.75">
      <c r="A73" s="382">
        <f t="shared" si="13"/>
        <v>61</v>
      </c>
      <c r="B73" s="383" t="s">
        <v>864</v>
      </c>
      <c r="C73" s="381">
        <f t="shared" si="14"/>
        <v>1879.28</v>
      </c>
      <c r="D73" s="383" t="s">
        <v>108</v>
      </c>
      <c r="F73" s="370">
        <v>1</v>
      </c>
      <c r="G73" s="368" t="s">
        <v>108</v>
      </c>
      <c r="H73" s="356" t="s">
        <v>126</v>
      </c>
      <c r="I73" s="370">
        <f>(C78)</f>
        <v>1779.13</v>
      </c>
      <c r="J73" s="356" t="s">
        <v>108</v>
      </c>
      <c r="K73" s="370">
        <f>(F73*I73)</f>
        <v>1779.13</v>
      </c>
      <c r="R73" s="363" t="s">
        <v>117</v>
      </c>
      <c r="W73" s="361"/>
      <c r="AF73" s="385" t="s">
        <v>863</v>
      </c>
      <c r="AG73" s="381">
        <f t="shared" si="1"/>
        <v>53.988</v>
      </c>
      <c r="AH73" s="35">
        <v>44.99</v>
      </c>
      <c r="AI73" s="370">
        <f t="shared" si="2"/>
        <v>49.489000000000004</v>
      </c>
      <c r="AJ73" s="35">
        <f t="shared" si="3"/>
        <v>53.988</v>
      </c>
      <c r="AK73" s="35">
        <f t="shared" si="4"/>
        <v>67.484999999999999</v>
      </c>
      <c r="AL73" s="35">
        <f t="shared" si="5"/>
        <v>47.239500000000007</v>
      </c>
      <c r="AM73" s="35">
        <f t="shared" si="6"/>
        <v>56.237500000000004</v>
      </c>
      <c r="AQ73" s="358"/>
      <c r="AR73" s="372" t="s">
        <v>155</v>
      </c>
      <c r="AT73" s="360"/>
      <c r="AU73" s="369">
        <f>(AU71/2.83168)</f>
        <v>7828.8745460504015</v>
      </c>
    </row>
    <row r="74" spans="1:47" ht="45">
      <c r="A74" s="382">
        <f t="shared" si="13"/>
        <v>62</v>
      </c>
      <c r="B74" s="383" t="s">
        <v>865</v>
      </c>
      <c r="C74" s="381">
        <f t="shared" si="14"/>
        <v>1460.08</v>
      </c>
      <c r="D74" s="383" t="s">
        <v>108</v>
      </c>
      <c r="F74" s="370">
        <v>1</v>
      </c>
      <c r="G74" s="368" t="s">
        <v>108</v>
      </c>
      <c r="H74" s="356" t="s">
        <v>127</v>
      </c>
      <c r="I74" s="370">
        <f>(C18)</f>
        <v>139.19999999999999</v>
      </c>
      <c r="J74" s="356" t="s">
        <v>108</v>
      </c>
      <c r="K74" s="370">
        <f>(F74*I74)</f>
        <v>139.19999999999999</v>
      </c>
      <c r="O74" s="356" t="s">
        <v>155</v>
      </c>
      <c r="R74" s="370">
        <f>(R72/10)</f>
        <v>7106.7378599999993</v>
      </c>
      <c r="U74" s="430" t="s">
        <v>866</v>
      </c>
      <c r="V74" s="35" t="s">
        <v>867</v>
      </c>
      <c r="W74" s="424">
        <v>2419</v>
      </c>
      <c r="AF74" s="385" t="s">
        <v>868</v>
      </c>
      <c r="AG74" s="381">
        <f t="shared" ref="AG74:AG105" si="15">+AJ74</f>
        <v>15.18</v>
      </c>
      <c r="AH74" s="431">
        <v>12.65</v>
      </c>
      <c r="AI74" s="370">
        <f>AH74*1.1</f>
        <v>13.915000000000001</v>
      </c>
      <c r="AJ74" s="35">
        <f>AH74*1.2</f>
        <v>15.18</v>
      </c>
      <c r="AK74" s="35">
        <f t="shared" ref="AK74:AK100" si="16">AH74*1.5</f>
        <v>18.975000000000001</v>
      </c>
      <c r="AL74" s="35">
        <f t="shared" ref="AL74:AL100" si="17">AH74*1.05</f>
        <v>13.282500000000001</v>
      </c>
      <c r="AM74" s="35">
        <f t="shared" ref="AM74:AM100" si="18">AH74*1.25</f>
        <v>15.8125</v>
      </c>
      <c r="AQ74" s="358"/>
      <c r="AT74" s="360"/>
      <c r="AU74" s="363" t="s">
        <v>156</v>
      </c>
    </row>
    <row r="75" spans="1:47" ht="15.75">
      <c r="A75" s="382">
        <f t="shared" si="13"/>
        <v>63</v>
      </c>
      <c r="B75" s="383" t="s">
        <v>869</v>
      </c>
      <c r="C75" s="401">
        <v>175</v>
      </c>
      <c r="D75" s="385" t="s">
        <v>122</v>
      </c>
      <c r="G75" s="368" t="s">
        <v>128</v>
      </c>
      <c r="H75" s="356" t="s">
        <v>129</v>
      </c>
      <c r="I75" s="356" t="s">
        <v>114</v>
      </c>
      <c r="J75" s="356" t="s">
        <v>128</v>
      </c>
      <c r="K75" s="370">
        <v>0</v>
      </c>
      <c r="R75" s="363" t="s">
        <v>156</v>
      </c>
      <c r="U75" s="430"/>
      <c r="W75" s="361"/>
      <c r="AF75" s="385" t="s">
        <v>868</v>
      </c>
      <c r="AG75" s="381">
        <f t="shared" si="15"/>
        <v>15.419999999999998</v>
      </c>
      <c r="AH75" s="35">
        <v>12.85</v>
      </c>
      <c r="AI75" s="370">
        <f>AH75*1.1</f>
        <v>14.135000000000002</v>
      </c>
      <c r="AJ75" s="35">
        <f t="shared" ref="AJ75:AJ125" si="19">AH75*1.2</f>
        <v>15.419999999999998</v>
      </c>
      <c r="AK75" s="35">
        <f t="shared" si="16"/>
        <v>19.274999999999999</v>
      </c>
      <c r="AL75" s="35">
        <f t="shared" si="17"/>
        <v>13.4925</v>
      </c>
      <c r="AM75" s="35">
        <f t="shared" si="18"/>
        <v>16.0625</v>
      </c>
      <c r="AQ75" s="358"/>
      <c r="AR75" s="356" t="s">
        <v>172</v>
      </c>
      <c r="AT75" s="360"/>
      <c r="AU75" s="370">
        <f>AU73+C19</f>
        <v>7923.5545460504018</v>
      </c>
    </row>
    <row r="76" spans="1:47" ht="15.75">
      <c r="A76" s="382">
        <f t="shared" si="13"/>
        <v>64</v>
      </c>
      <c r="B76" s="383" t="s">
        <v>870</v>
      </c>
      <c r="C76" s="401">
        <v>460</v>
      </c>
      <c r="D76" s="402">
        <v>290</v>
      </c>
      <c r="E76" s="35" t="s">
        <v>871</v>
      </c>
      <c r="K76" s="363" t="s">
        <v>117</v>
      </c>
      <c r="N76" s="356" t="s">
        <v>122</v>
      </c>
      <c r="O76" s="356" t="s">
        <v>872</v>
      </c>
      <c r="U76" s="430"/>
      <c r="W76" s="361"/>
      <c r="AG76" s="381">
        <f t="shared" si="15"/>
        <v>0</v>
      </c>
      <c r="AI76" s="370">
        <f>AH76*1.1</f>
        <v>0</v>
      </c>
      <c r="AJ76" s="35">
        <f t="shared" si="19"/>
        <v>0</v>
      </c>
      <c r="AK76" s="35">
        <f t="shared" si="16"/>
        <v>0</v>
      </c>
      <c r="AL76" s="35">
        <f t="shared" si="17"/>
        <v>0</v>
      </c>
      <c r="AM76" s="35">
        <f t="shared" si="18"/>
        <v>0</v>
      </c>
      <c r="AQ76" s="358"/>
      <c r="AR76" s="356" t="s">
        <v>873</v>
      </c>
      <c r="AT76" s="360"/>
      <c r="AU76" s="370">
        <f>AU75+C20</f>
        <v>8114.5945460504017</v>
      </c>
    </row>
    <row r="77" spans="1:47" ht="15.75">
      <c r="A77" s="382">
        <f t="shared" si="13"/>
        <v>65</v>
      </c>
      <c r="B77" s="383" t="s">
        <v>874</v>
      </c>
      <c r="C77" s="384">
        <f>AE34</f>
        <v>4747.04</v>
      </c>
      <c r="D77" s="385" t="s">
        <v>108</v>
      </c>
      <c r="H77" s="356" t="s">
        <v>130</v>
      </c>
      <c r="K77" s="369">
        <f>SUM(K72:K75)</f>
        <v>3065.3152</v>
      </c>
      <c r="O77" s="356" t="s">
        <v>875</v>
      </c>
      <c r="U77" s="430"/>
      <c r="W77" s="361"/>
      <c r="AG77" s="381">
        <f t="shared" si="15"/>
        <v>0</v>
      </c>
      <c r="AI77" s="370">
        <f>AH77*1.1</f>
        <v>0</v>
      </c>
      <c r="AJ77" s="35">
        <f t="shared" si="19"/>
        <v>0</v>
      </c>
      <c r="AK77" s="35">
        <f t="shared" si="16"/>
        <v>0</v>
      </c>
      <c r="AL77" s="35">
        <f t="shared" si="17"/>
        <v>0</v>
      </c>
      <c r="AM77" s="35">
        <f t="shared" si="18"/>
        <v>0</v>
      </c>
      <c r="AQ77" s="358"/>
      <c r="AR77" s="356" t="s">
        <v>876</v>
      </c>
      <c r="AT77" s="360"/>
      <c r="AU77" s="370">
        <f>AU76+C20</f>
        <v>8305.6345460504017</v>
      </c>
    </row>
    <row r="78" spans="1:47" ht="15.75">
      <c r="A78" s="382">
        <f t="shared" si="13"/>
        <v>66</v>
      </c>
      <c r="B78" s="383" t="s">
        <v>877</v>
      </c>
      <c r="C78" s="384">
        <f t="shared" ref="C78:C89" si="20">AE16</f>
        <v>1779.13</v>
      </c>
      <c r="D78" s="385" t="s">
        <v>108</v>
      </c>
      <c r="K78" s="363" t="s">
        <v>117</v>
      </c>
      <c r="O78" s="363" t="s">
        <v>117</v>
      </c>
      <c r="U78" s="430"/>
      <c r="W78" s="361"/>
      <c r="AG78" s="381">
        <f t="shared" si="15"/>
        <v>0</v>
      </c>
      <c r="AI78" s="356"/>
      <c r="AJ78" s="35">
        <f t="shared" si="19"/>
        <v>0</v>
      </c>
      <c r="AK78" s="35">
        <f t="shared" si="16"/>
        <v>0</v>
      </c>
      <c r="AL78" s="35">
        <f t="shared" si="17"/>
        <v>0</v>
      </c>
      <c r="AM78" s="35">
        <f t="shared" si="18"/>
        <v>0</v>
      </c>
      <c r="AQ78" s="358"/>
      <c r="AR78" s="356" t="s">
        <v>878</v>
      </c>
      <c r="AT78" s="360"/>
      <c r="AU78" s="370">
        <f>AU77+C20</f>
        <v>8496.6745460504026</v>
      </c>
    </row>
    <row r="79" spans="1:47" ht="15.75">
      <c r="A79" s="382">
        <f t="shared" si="13"/>
        <v>67</v>
      </c>
      <c r="B79" s="383" t="s">
        <v>879</v>
      </c>
      <c r="C79" s="384">
        <f t="shared" si="20"/>
        <v>1779.13</v>
      </c>
      <c r="D79" s="385" t="s">
        <v>108</v>
      </c>
      <c r="F79" s="412">
        <v>1.1000000000000001</v>
      </c>
      <c r="G79" s="368" t="s">
        <v>114</v>
      </c>
      <c r="H79" s="356" t="s">
        <v>138</v>
      </c>
      <c r="M79" s="370">
        <v>4600</v>
      </c>
      <c r="N79" s="356" t="s">
        <v>160</v>
      </c>
      <c r="O79" s="356" t="s">
        <v>880</v>
      </c>
      <c r="P79" s="370">
        <f>AE41</f>
        <v>7342.45</v>
      </c>
      <c r="Q79" s="356" t="s">
        <v>161</v>
      </c>
      <c r="R79" s="370">
        <f>(M79*P79)/1000</f>
        <v>33775.269999999997</v>
      </c>
      <c r="S79" s="432">
        <v>1.1000000000000001</v>
      </c>
      <c r="T79" s="368" t="s">
        <v>114</v>
      </c>
      <c r="U79" s="430"/>
      <c r="W79" s="361"/>
      <c r="AG79" s="381">
        <f t="shared" si="15"/>
        <v>0</v>
      </c>
      <c r="AI79" s="356"/>
      <c r="AJ79" s="35">
        <f t="shared" si="19"/>
        <v>0</v>
      </c>
      <c r="AK79" s="35">
        <f t="shared" si="16"/>
        <v>0</v>
      </c>
      <c r="AL79" s="35">
        <f t="shared" si="17"/>
        <v>0</v>
      </c>
      <c r="AM79" s="35">
        <f t="shared" si="18"/>
        <v>0</v>
      </c>
      <c r="AQ79" s="358"/>
      <c r="AR79" s="356" t="s">
        <v>881</v>
      </c>
      <c r="AT79" s="360"/>
      <c r="AU79" s="370">
        <f>AU78+C20</f>
        <v>8687.7145460504034</v>
      </c>
    </row>
    <row r="80" spans="1:47" ht="15.75">
      <c r="A80" s="382">
        <f t="shared" si="13"/>
        <v>68</v>
      </c>
      <c r="B80" s="383" t="s">
        <v>882</v>
      </c>
      <c r="C80" s="384">
        <f t="shared" si="20"/>
        <v>6157.04</v>
      </c>
      <c r="D80" s="385" t="s">
        <v>883</v>
      </c>
      <c r="F80" s="433" t="s">
        <v>114</v>
      </c>
      <c r="H80" s="356" t="s">
        <v>139</v>
      </c>
      <c r="M80" s="370">
        <v>2.5</v>
      </c>
      <c r="N80" s="356" t="s">
        <v>108</v>
      </c>
      <c r="O80" s="356" t="s">
        <v>134</v>
      </c>
      <c r="P80" s="370">
        <f>(K49)</f>
        <v>3753.50632</v>
      </c>
      <c r="Q80" s="356" t="s">
        <v>108</v>
      </c>
      <c r="R80" s="370">
        <f>(M80*P80)</f>
        <v>9383.7657999999992</v>
      </c>
      <c r="S80" s="434" t="s">
        <v>114</v>
      </c>
      <c r="T80" s="358"/>
      <c r="U80" s="430"/>
      <c r="W80" s="361"/>
      <c r="AG80" s="381">
        <f t="shared" si="15"/>
        <v>0</v>
      </c>
      <c r="AI80" s="356"/>
      <c r="AJ80" s="35">
        <f t="shared" si="19"/>
        <v>0</v>
      </c>
      <c r="AK80" s="35">
        <f t="shared" si="16"/>
        <v>0</v>
      </c>
      <c r="AL80" s="35">
        <f t="shared" si="17"/>
        <v>0</v>
      </c>
      <c r="AM80" s="35">
        <f t="shared" si="18"/>
        <v>0</v>
      </c>
      <c r="AS80" s="395"/>
      <c r="AU80" s="356"/>
    </row>
    <row r="81" spans="1:47" ht="15.75">
      <c r="A81" s="382">
        <f t="shared" si="13"/>
        <v>69</v>
      </c>
      <c r="B81" s="383" t="s">
        <v>884</v>
      </c>
      <c r="C81" s="384">
        <f t="shared" si="20"/>
        <v>1070.44</v>
      </c>
      <c r="D81" s="385" t="s">
        <v>108</v>
      </c>
      <c r="F81" s="370">
        <v>10</v>
      </c>
      <c r="G81" s="368" t="s">
        <v>108</v>
      </c>
      <c r="H81" s="356" t="s">
        <v>140</v>
      </c>
      <c r="I81" s="370">
        <f>(C61)</f>
        <v>134.45999999999998</v>
      </c>
      <c r="J81" s="356" t="s">
        <v>108</v>
      </c>
      <c r="K81" s="370">
        <f>(F81*I81)</f>
        <v>1344.6</v>
      </c>
      <c r="M81" s="370">
        <v>3.5</v>
      </c>
      <c r="N81" s="356" t="s">
        <v>151</v>
      </c>
      <c r="O81" s="356" t="s">
        <v>162</v>
      </c>
      <c r="P81" s="370">
        <f>(C10)</f>
        <v>1198.8</v>
      </c>
      <c r="Q81" s="356" t="s">
        <v>151</v>
      </c>
      <c r="R81" s="370">
        <f>(M81*P81)</f>
        <v>4195.8</v>
      </c>
      <c r="S81" s="407">
        <v>10</v>
      </c>
      <c r="T81" s="368" t="s">
        <v>108</v>
      </c>
      <c r="U81" s="356" t="s">
        <v>140</v>
      </c>
      <c r="V81" s="370">
        <f>AG39</f>
        <v>89.82</v>
      </c>
      <c r="W81" s="357" t="s">
        <v>108</v>
      </c>
      <c r="X81" s="370">
        <f>(S81*V81)</f>
        <v>898.19999999999993</v>
      </c>
      <c r="Y81" s="370"/>
      <c r="AG81" s="381">
        <f t="shared" si="15"/>
        <v>0</v>
      </c>
      <c r="AI81" s="356"/>
      <c r="AJ81" s="35">
        <f t="shared" si="19"/>
        <v>0</v>
      </c>
      <c r="AK81" s="35">
        <f t="shared" si="16"/>
        <v>0</v>
      </c>
      <c r="AL81" s="35">
        <f t="shared" si="17"/>
        <v>0</v>
      </c>
      <c r="AM81" s="35">
        <f t="shared" si="18"/>
        <v>0</v>
      </c>
      <c r="AS81" s="395"/>
      <c r="AU81" s="356"/>
    </row>
    <row r="82" spans="1:47" ht="15.75">
      <c r="A82" s="382">
        <f t="shared" si="13"/>
        <v>70</v>
      </c>
      <c r="B82" s="383" t="s">
        <v>885</v>
      </c>
      <c r="C82" s="384">
        <f t="shared" si="20"/>
        <v>1151.4399999999998</v>
      </c>
      <c r="D82" s="385" t="s">
        <v>108</v>
      </c>
      <c r="F82" s="370">
        <v>10</v>
      </c>
      <c r="G82" s="368" t="s">
        <v>108</v>
      </c>
      <c r="H82" s="356" t="s">
        <v>141</v>
      </c>
      <c r="I82" s="370">
        <f>(C61)</f>
        <v>134.45999999999998</v>
      </c>
      <c r="J82" s="356" t="s">
        <v>108</v>
      </c>
      <c r="K82" s="370">
        <f>(F82*I82)</f>
        <v>1344.6</v>
      </c>
      <c r="L82" s="35">
        <f>I82+I81</f>
        <v>268.91999999999996</v>
      </c>
      <c r="M82" s="370">
        <v>10.6</v>
      </c>
      <c r="N82" s="356" t="s">
        <v>151</v>
      </c>
      <c r="O82" s="356" t="s">
        <v>152</v>
      </c>
      <c r="P82" s="370">
        <f>(C11)</f>
        <v>1118.3999999999999</v>
      </c>
      <c r="Q82" s="356" t="s">
        <v>151</v>
      </c>
      <c r="R82" s="370">
        <f>(M82*P82)</f>
        <v>11855.039999999999</v>
      </c>
      <c r="S82" s="407">
        <v>10</v>
      </c>
      <c r="T82" s="368" t="s">
        <v>108</v>
      </c>
      <c r="U82" s="356" t="s">
        <v>141</v>
      </c>
      <c r="V82" s="370">
        <f>V81</f>
        <v>89.82</v>
      </c>
      <c r="W82" s="357" t="s">
        <v>108</v>
      </c>
      <c r="X82" s="370">
        <f>(S82*V82)</f>
        <v>898.19999999999993</v>
      </c>
      <c r="Y82" s="370"/>
      <c r="AG82" s="381">
        <f t="shared" si="15"/>
        <v>0</v>
      </c>
      <c r="AI82" s="356"/>
      <c r="AJ82" s="35">
        <f t="shared" si="19"/>
        <v>0</v>
      </c>
      <c r="AK82" s="35">
        <f t="shared" si="16"/>
        <v>0</v>
      </c>
      <c r="AL82" s="35">
        <f t="shared" si="17"/>
        <v>0</v>
      </c>
      <c r="AM82" s="35">
        <f t="shared" si="18"/>
        <v>0</v>
      </c>
      <c r="AS82" s="395"/>
      <c r="AU82" s="356"/>
    </row>
    <row r="83" spans="1:47" ht="15.75">
      <c r="A83" s="382">
        <f t="shared" si="13"/>
        <v>71</v>
      </c>
      <c r="B83" s="383" t="s">
        <v>886</v>
      </c>
      <c r="C83" s="384">
        <f t="shared" si="20"/>
        <v>16500.485000000001</v>
      </c>
      <c r="D83" s="385" t="s">
        <v>883</v>
      </c>
      <c r="E83" s="435">
        <v>8710</v>
      </c>
      <c r="F83" s="370">
        <v>10</v>
      </c>
      <c r="G83" s="368" t="s">
        <v>108</v>
      </c>
      <c r="H83" s="356" t="s">
        <v>142</v>
      </c>
      <c r="I83" s="370">
        <f>(C26)/3</f>
        <v>15.58</v>
      </c>
      <c r="J83" s="356" t="s">
        <v>108</v>
      </c>
      <c r="K83" s="370">
        <f>(F83*I83)</f>
        <v>155.80000000000001</v>
      </c>
      <c r="M83" s="370">
        <v>7.1</v>
      </c>
      <c r="N83" s="356" t="s">
        <v>151</v>
      </c>
      <c r="O83" s="356" t="s">
        <v>153</v>
      </c>
      <c r="P83" s="370">
        <f>(C12)</f>
        <v>781.19999999999993</v>
      </c>
      <c r="Q83" s="356" t="s">
        <v>151</v>
      </c>
      <c r="R83" s="370">
        <f>(M83*P83)</f>
        <v>5546.5199999999995</v>
      </c>
      <c r="S83" s="407">
        <v>10</v>
      </c>
      <c r="T83" s="368" t="s">
        <v>108</v>
      </c>
      <c r="U83" s="356" t="s">
        <v>142</v>
      </c>
      <c r="V83" s="370">
        <f>AG27/3</f>
        <v>13.68</v>
      </c>
      <c r="W83" s="357" t="s">
        <v>108</v>
      </c>
      <c r="X83" s="370">
        <f>(S83*V83)</f>
        <v>136.80000000000001</v>
      </c>
      <c r="Y83" s="370"/>
      <c r="AG83" s="381">
        <f t="shared" si="15"/>
        <v>0</v>
      </c>
      <c r="AI83" s="356"/>
      <c r="AJ83" s="35">
        <f t="shared" si="19"/>
        <v>0</v>
      </c>
      <c r="AK83" s="35">
        <f t="shared" si="16"/>
        <v>0</v>
      </c>
      <c r="AL83" s="35">
        <f t="shared" si="17"/>
        <v>0</v>
      </c>
      <c r="AM83" s="35">
        <f t="shared" si="18"/>
        <v>0</v>
      </c>
      <c r="AS83" s="395"/>
      <c r="AU83" s="356"/>
    </row>
    <row r="84" spans="1:47" ht="15.75">
      <c r="A84" s="382">
        <f t="shared" si="13"/>
        <v>72</v>
      </c>
      <c r="B84" s="383" t="s">
        <v>887</v>
      </c>
      <c r="C84" s="384">
        <f t="shared" si="20"/>
        <v>1464.84</v>
      </c>
      <c r="D84" s="385" t="s">
        <v>108</v>
      </c>
      <c r="G84" s="368" t="s">
        <v>128</v>
      </c>
      <c r="H84" s="356" t="s">
        <v>129</v>
      </c>
      <c r="J84" s="356" t="s">
        <v>128</v>
      </c>
      <c r="K84" s="370">
        <v>0</v>
      </c>
      <c r="M84" s="381">
        <v>21.2</v>
      </c>
      <c r="N84" s="356" t="s">
        <v>151</v>
      </c>
      <c r="O84" s="356" t="s">
        <v>154</v>
      </c>
      <c r="P84" s="370">
        <f>(C13)</f>
        <v>640.79999999999995</v>
      </c>
      <c r="Q84" s="356" t="s">
        <v>151</v>
      </c>
      <c r="R84" s="370">
        <f>(M84*P84)</f>
        <v>13584.96</v>
      </c>
      <c r="T84" s="368" t="s">
        <v>128</v>
      </c>
      <c r="U84" s="356" t="s">
        <v>129</v>
      </c>
      <c r="W84" s="357" t="s">
        <v>128</v>
      </c>
      <c r="X84" s="370">
        <v>0</v>
      </c>
      <c r="Y84" s="370"/>
      <c r="AG84" s="381">
        <f t="shared" si="15"/>
        <v>0</v>
      </c>
      <c r="AI84" s="356"/>
      <c r="AJ84" s="35">
        <f t="shared" si="19"/>
        <v>0</v>
      </c>
      <c r="AK84" s="35">
        <f t="shared" si="16"/>
        <v>0</v>
      </c>
      <c r="AL84" s="35">
        <f t="shared" si="17"/>
        <v>0</v>
      </c>
      <c r="AM84" s="35">
        <f t="shared" si="18"/>
        <v>0</v>
      </c>
      <c r="AP84" s="393">
        <v>9</v>
      </c>
      <c r="AQ84" s="368" t="s">
        <v>122</v>
      </c>
      <c r="AR84" s="356" t="s">
        <v>171</v>
      </c>
      <c r="AT84" s="360"/>
    </row>
    <row r="85" spans="1:47" ht="15.75">
      <c r="A85" s="382">
        <f t="shared" si="13"/>
        <v>73</v>
      </c>
      <c r="B85" s="383" t="s">
        <v>888</v>
      </c>
      <c r="C85" s="384">
        <f t="shared" si="20"/>
        <v>1109.8399999999999</v>
      </c>
      <c r="D85" s="385" t="s">
        <v>108</v>
      </c>
      <c r="K85" s="363" t="s">
        <v>117</v>
      </c>
      <c r="N85" s="356" t="s">
        <v>128</v>
      </c>
      <c r="O85" s="356" t="s">
        <v>129</v>
      </c>
      <c r="Q85" s="356" t="s">
        <v>128</v>
      </c>
      <c r="R85" s="370">
        <v>0</v>
      </c>
      <c r="T85" s="358"/>
      <c r="W85" s="361"/>
      <c r="X85" s="363" t="s">
        <v>117</v>
      </c>
      <c r="Y85" s="363"/>
      <c r="AG85" s="381">
        <f t="shared" si="15"/>
        <v>0</v>
      </c>
      <c r="AI85" s="356"/>
      <c r="AJ85" s="35">
        <f t="shared" si="19"/>
        <v>0</v>
      </c>
      <c r="AK85" s="35">
        <f t="shared" si="16"/>
        <v>0</v>
      </c>
      <c r="AL85" s="35">
        <f t="shared" si="17"/>
        <v>0</v>
      </c>
      <c r="AM85" s="35">
        <f t="shared" si="18"/>
        <v>0</v>
      </c>
      <c r="AQ85" s="358"/>
      <c r="AR85" s="356" t="str">
        <f>AR61</f>
        <v>Bricks of size 23x11x7 cm</v>
      </c>
      <c r="AT85" s="360"/>
    </row>
    <row r="86" spans="1:47" ht="15.75">
      <c r="A86" s="382">
        <f t="shared" si="13"/>
        <v>74</v>
      </c>
      <c r="B86" s="383" t="s">
        <v>889</v>
      </c>
      <c r="C86" s="384">
        <f t="shared" si="20"/>
        <v>34665.439999999995</v>
      </c>
      <c r="D86" s="385" t="s">
        <v>108</v>
      </c>
      <c r="H86" s="356" t="s">
        <v>143</v>
      </c>
      <c r="K86" s="370">
        <f>SUM(K81:K84)</f>
        <v>2845</v>
      </c>
      <c r="R86" s="363" t="s">
        <v>117</v>
      </c>
      <c r="T86" s="358"/>
      <c r="U86" s="356" t="s">
        <v>143</v>
      </c>
      <c r="W86" s="361"/>
      <c r="X86" s="370">
        <f>SUM(X81:X84)</f>
        <v>1933.1999999999998</v>
      </c>
      <c r="Y86" s="370"/>
      <c r="AG86" s="381">
        <f t="shared" si="15"/>
        <v>0</v>
      </c>
      <c r="AI86" s="356"/>
      <c r="AJ86" s="35">
        <f t="shared" si="19"/>
        <v>0</v>
      </c>
      <c r="AK86" s="35">
        <f t="shared" si="16"/>
        <v>0</v>
      </c>
      <c r="AL86" s="35">
        <f t="shared" si="17"/>
        <v>0</v>
      </c>
      <c r="AM86" s="35">
        <f t="shared" si="18"/>
        <v>0</v>
      </c>
      <c r="AQ86" s="358"/>
      <c r="AR86" s="363" t="s">
        <v>117</v>
      </c>
      <c r="AT86" s="360"/>
    </row>
    <row r="87" spans="1:47" ht="15.75">
      <c r="A87" s="382">
        <f t="shared" si="13"/>
        <v>75</v>
      </c>
      <c r="B87" s="383" t="s">
        <v>890</v>
      </c>
      <c r="C87" s="384">
        <f t="shared" si="20"/>
        <v>39765.439999999995</v>
      </c>
      <c r="D87" s="385" t="s">
        <v>108</v>
      </c>
      <c r="K87" s="363" t="s">
        <v>117</v>
      </c>
      <c r="O87" s="356" t="s">
        <v>143</v>
      </c>
      <c r="R87" s="370">
        <f>SUM(R79:R85)</f>
        <v>78341.35579999999</v>
      </c>
      <c r="T87" s="358"/>
      <c r="W87" s="361"/>
      <c r="X87" s="363" t="s">
        <v>117</v>
      </c>
      <c r="Y87" s="363"/>
      <c r="AG87" s="381">
        <f t="shared" si="15"/>
        <v>0</v>
      </c>
      <c r="AI87" s="356"/>
      <c r="AJ87" s="35">
        <f t="shared" si="19"/>
        <v>0</v>
      </c>
      <c r="AK87" s="35">
        <f t="shared" si="16"/>
        <v>0</v>
      </c>
      <c r="AL87" s="35">
        <f t="shared" si="17"/>
        <v>0</v>
      </c>
      <c r="AM87" s="35">
        <f t="shared" si="18"/>
        <v>0</v>
      </c>
      <c r="AP87" s="370">
        <f>AP63</f>
        <v>1300</v>
      </c>
      <c r="AQ87" s="368" t="s">
        <v>160</v>
      </c>
      <c r="AR87" s="370" t="str">
        <f>AR61</f>
        <v>Bricks of size 23x11x7 cm</v>
      </c>
      <c r="AS87" s="370">
        <f>AE45</f>
        <v>7342.45</v>
      </c>
      <c r="AT87" s="356" t="s">
        <v>161</v>
      </c>
      <c r="AU87" s="370">
        <f>AS87*AP87/1000</f>
        <v>9545.1849999999995</v>
      </c>
    </row>
    <row r="88" spans="1:47" ht="15.75">
      <c r="A88" s="382">
        <f t="shared" si="13"/>
        <v>76</v>
      </c>
      <c r="B88" s="383" t="s">
        <v>891</v>
      </c>
      <c r="C88" s="384">
        <f t="shared" si="20"/>
        <v>111965.44</v>
      </c>
      <c r="D88" s="385" t="s">
        <v>108</v>
      </c>
      <c r="H88" s="359" t="s">
        <v>144</v>
      </c>
      <c r="I88" s="411" t="s">
        <v>145</v>
      </c>
      <c r="J88" s="436"/>
      <c r="K88" s="369">
        <f>(K86/10)</f>
        <v>284.5</v>
      </c>
      <c r="R88" s="363" t="s">
        <v>117</v>
      </c>
      <c r="T88" s="358"/>
      <c r="U88" s="359" t="s">
        <v>144</v>
      </c>
      <c r="V88" s="411" t="s">
        <v>145</v>
      </c>
      <c r="W88" s="437"/>
      <c r="X88" s="369">
        <f>(X86/10)</f>
        <v>193.32</v>
      </c>
      <c r="Y88" s="369"/>
      <c r="AG88" s="381">
        <f t="shared" si="15"/>
        <v>0</v>
      </c>
      <c r="AI88" s="356"/>
      <c r="AJ88" s="35">
        <f t="shared" si="19"/>
        <v>0</v>
      </c>
      <c r="AK88" s="35">
        <f t="shared" si="16"/>
        <v>0</v>
      </c>
      <c r="AL88" s="35">
        <f t="shared" si="17"/>
        <v>0</v>
      </c>
      <c r="AM88" s="35">
        <f t="shared" si="18"/>
        <v>0</v>
      </c>
      <c r="AP88" s="407">
        <f>AP64</f>
        <v>0.70799999999999996</v>
      </c>
      <c r="AQ88" s="368" t="s">
        <v>108</v>
      </c>
      <c r="AR88" s="356" t="s">
        <v>135</v>
      </c>
      <c r="AS88" s="370">
        <f>K58</f>
        <v>3447.6435999999999</v>
      </c>
      <c r="AT88" s="356" t="s">
        <v>108</v>
      </c>
      <c r="AU88" s="370">
        <f>AS88*AP88</f>
        <v>2440.9316687999999</v>
      </c>
    </row>
    <row r="89" spans="1:47" ht="15.75">
      <c r="A89" s="382">
        <f t="shared" si="13"/>
        <v>77</v>
      </c>
      <c r="B89" s="383" t="s">
        <v>892</v>
      </c>
      <c r="C89" s="384">
        <f t="shared" si="20"/>
        <v>99765.440000000002</v>
      </c>
      <c r="D89" s="385" t="s">
        <v>108</v>
      </c>
      <c r="I89" s="411" t="s">
        <v>146</v>
      </c>
      <c r="J89" s="436"/>
      <c r="K89" s="367">
        <f>ROUND(K88+C36,2)</f>
        <v>297.16000000000003</v>
      </c>
      <c r="L89" s="35">
        <f>K89+C36</f>
        <v>309.82000000000005</v>
      </c>
      <c r="M89" s="35">
        <f>L89+C36</f>
        <v>322.48000000000008</v>
      </c>
      <c r="O89" s="356" t="s">
        <v>155</v>
      </c>
      <c r="R89" s="370">
        <f>(R87/10)</f>
        <v>7834.1355799999992</v>
      </c>
      <c r="T89" s="358"/>
      <c r="V89" s="411" t="s">
        <v>146</v>
      </c>
      <c r="W89" s="437"/>
      <c r="X89" s="367">
        <f>ROUND(X88+C36,2)</f>
        <v>205.98</v>
      </c>
      <c r="Y89" s="367"/>
      <c r="AG89" s="381">
        <f t="shared" si="15"/>
        <v>0</v>
      </c>
      <c r="AI89" s="356"/>
      <c r="AJ89" s="35">
        <f t="shared" si="19"/>
        <v>0</v>
      </c>
      <c r="AK89" s="35">
        <f t="shared" si="16"/>
        <v>0</v>
      </c>
      <c r="AL89" s="35">
        <f t="shared" si="17"/>
        <v>0</v>
      </c>
      <c r="AM89" s="35">
        <f t="shared" si="18"/>
        <v>0</v>
      </c>
      <c r="AP89" s="370">
        <v>1</v>
      </c>
      <c r="AQ89" s="368" t="s">
        <v>151</v>
      </c>
      <c r="AR89" s="356" t="s">
        <v>162</v>
      </c>
      <c r="AS89" s="370">
        <f>AS65</f>
        <v>1198.8</v>
      </c>
      <c r="AT89" s="356" t="s">
        <v>151</v>
      </c>
      <c r="AU89" s="370">
        <f>AS89*AP89</f>
        <v>1198.8</v>
      </c>
    </row>
    <row r="90" spans="1:47" ht="15.75">
      <c r="A90" s="382"/>
      <c r="B90" s="383"/>
      <c r="C90" s="384"/>
      <c r="D90" s="385"/>
      <c r="I90" s="411" t="s">
        <v>893</v>
      </c>
      <c r="J90" s="436"/>
      <c r="K90" s="367">
        <f>ROUND(K89+C36,2)</f>
        <v>309.82</v>
      </c>
      <c r="O90" s="356"/>
      <c r="R90" s="370"/>
      <c r="T90" s="358"/>
      <c r="V90" s="411"/>
      <c r="W90" s="437"/>
      <c r="X90" s="367"/>
      <c r="Y90" s="367"/>
      <c r="AG90" s="381">
        <f t="shared" si="15"/>
        <v>0</v>
      </c>
      <c r="AI90" s="356"/>
      <c r="AP90" s="370"/>
      <c r="AQ90" s="368"/>
      <c r="AR90" s="356"/>
      <c r="AS90" s="370"/>
      <c r="AT90" s="356"/>
      <c r="AU90" s="370"/>
    </row>
    <row r="91" spans="1:47" ht="15.75">
      <c r="A91" s="382"/>
      <c r="B91" s="383"/>
      <c r="C91" s="384"/>
      <c r="D91" s="385"/>
      <c r="I91" s="411" t="s">
        <v>894</v>
      </c>
      <c r="J91" s="436"/>
      <c r="K91" s="367">
        <f>ROUND(K90+C36,2)</f>
        <v>322.48</v>
      </c>
      <c r="O91" s="356"/>
      <c r="R91" s="370"/>
      <c r="T91" s="358"/>
      <c r="V91" s="411"/>
      <c r="W91" s="437"/>
      <c r="X91" s="367"/>
      <c r="Y91" s="367"/>
      <c r="AG91" s="381">
        <f t="shared" si="15"/>
        <v>0</v>
      </c>
      <c r="AI91" s="356"/>
      <c r="AP91" s="370"/>
      <c r="AQ91" s="368"/>
      <c r="AR91" s="356"/>
      <c r="AS91" s="370"/>
      <c r="AT91" s="356"/>
      <c r="AU91" s="370"/>
    </row>
    <row r="92" spans="1:47" ht="47.25">
      <c r="A92" s="382">
        <f>(A89+1)</f>
        <v>78</v>
      </c>
      <c r="B92" s="383" t="s">
        <v>895</v>
      </c>
      <c r="C92" s="384">
        <f>AE28</f>
        <v>95365.440000000002</v>
      </c>
      <c r="D92" s="385" t="s">
        <v>108</v>
      </c>
      <c r="F92" s="393" t="s">
        <v>896</v>
      </c>
      <c r="H92" s="438" t="s">
        <v>897</v>
      </c>
      <c r="I92" s="411" t="s">
        <v>145</v>
      </c>
      <c r="J92" s="436"/>
      <c r="K92" s="369">
        <f>K88-K83/10</f>
        <v>268.92</v>
      </c>
      <c r="R92" s="363" t="s">
        <v>156</v>
      </c>
      <c r="S92" s="432" t="s">
        <v>896</v>
      </c>
      <c r="T92" s="358"/>
      <c r="U92" s="438" t="s">
        <v>898</v>
      </c>
      <c r="V92" s="411" t="s">
        <v>145</v>
      </c>
      <c r="W92" s="437"/>
      <c r="X92" s="369">
        <f>X88-X83/10</f>
        <v>179.64</v>
      </c>
      <c r="Y92" s="369"/>
      <c r="AG92" s="381">
        <f t="shared" si="15"/>
        <v>0</v>
      </c>
      <c r="AI92" s="356"/>
      <c r="AJ92" s="35">
        <f t="shared" si="19"/>
        <v>0</v>
      </c>
      <c r="AK92" s="35">
        <f t="shared" si="16"/>
        <v>0</v>
      </c>
      <c r="AL92" s="35">
        <f t="shared" si="17"/>
        <v>0</v>
      </c>
      <c r="AM92" s="35">
        <f t="shared" si="18"/>
        <v>0</v>
      </c>
      <c r="AP92" s="370">
        <v>3</v>
      </c>
      <c r="AQ92" s="368" t="s">
        <v>151</v>
      </c>
      <c r="AR92" s="356" t="s">
        <v>152</v>
      </c>
      <c r="AS92" s="370">
        <f>AS66</f>
        <v>1118.3999999999999</v>
      </c>
      <c r="AT92" s="356" t="s">
        <v>151</v>
      </c>
      <c r="AU92" s="370">
        <f>AS92*AP92</f>
        <v>3355.2</v>
      </c>
    </row>
    <row r="93" spans="1:47" ht="15.75">
      <c r="A93" s="382">
        <f t="shared" si="13"/>
        <v>79</v>
      </c>
      <c r="B93" s="383" t="s">
        <v>899</v>
      </c>
      <c r="C93" s="384">
        <f>AE29</f>
        <v>4747.04</v>
      </c>
      <c r="D93" s="385" t="s">
        <v>883</v>
      </c>
      <c r="I93" s="411" t="s">
        <v>146</v>
      </c>
      <c r="J93" s="436"/>
      <c r="K93" s="367">
        <f>ROUND(K92+C36,2)</f>
        <v>281.58</v>
      </c>
      <c r="T93" s="358"/>
      <c r="V93" s="411" t="s">
        <v>146</v>
      </c>
      <c r="W93" s="437"/>
      <c r="X93" s="367">
        <f>ROUND(X92+C36,2)</f>
        <v>192.3</v>
      </c>
      <c r="Y93" s="367"/>
      <c r="AG93" s="381">
        <f t="shared" si="15"/>
        <v>0</v>
      </c>
      <c r="AI93" s="356"/>
      <c r="AJ93" s="35">
        <f t="shared" si="19"/>
        <v>0</v>
      </c>
      <c r="AK93" s="35">
        <f t="shared" si="16"/>
        <v>0</v>
      </c>
      <c r="AL93" s="35">
        <f t="shared" si="17"/>
        <v>0</v>
      </c>
      <c r="AM93" s="35">
        <f t="shared" si="18"/>
        <v>0</v>
      </c>
      <c r="AP93" s="370">
        <v>2</v>
      </c>
      <c r="AQ93" s="368" t="s">
        <v>151</v>
      </c>
      <c r="AR93" s="356" t="s">
        <v>153</v>
      </c>
      <c r="AS93" s="370">
        <f>AS67</f>
        <v>781.19999999999993</v>
      </c>
      <c r="AT93" s="356" t="s">
        <v>151</v>
      </c>
      <c r="AU93" s="370">
        <f>AS93*AP93</f>
        <v>1562.3999999999999</v>
      </c>
    </row>
    <row r="94" spans="1:47" ht="15.75">
      <c r="A94" s="396"/>
      <c r="B94" s="396"/>
      <c r="C94" s="396"/>
      <c r="D94" s="396"/>
      <c r="F94" s="393" t="s">
        <v>900</v>
      </c>
      <c r="G94" s="368" t="s">
        <v>114</v>
      </c>
      <c r="H94" s="356" t="s">
        <v>901</v>
      </c>
      <c r="S94" s="432"/>
      <c r="T94" s="368"/>
      <c r="U94" s="356"/>
      <c r="W94" s="361"/>
      <c r="AG94" s="381">
        <f t="shared" si="15"/>
        <v>0</v>
      </c>
      <c r="AJ94" s="35">
        <f t="shared" si="19"/>
        <v>0</v>
      </c>
      <c r="AK94" s="35">
        <f t="shared" si="16"/>
        <v>0</v>
      </c>
      <c r="AL94" s="35">
        <f t="shared" si="17"/>
        <v>0</v>
      </c>
      <c r="AM94" s="35">
        <f t="shared" si="18"/>
        <v>0</v>
      </c>
      <c r="AP94" s="370">
        <v>6</v>
      </c>
      <c r="AQ94" s="368" t="s">
        <v>151</v>
      </c>
      <c r="AR94" s="356" t="s">
        <v>154</v>
      </c>
      <c r="AS94" s="370">
        <f>AS68</f>
        <v>640.79999999999995</v>
      </c>
      <c r="AT94" s="356" t="s">
        <v>151</v>
      </c>
      <c r="AU94" s="370">
        <f>AS94*AP94</f>
        <v>3844.7999999999997</v>
      </c>
    </row>
    <row r="95" spans="1:47" ht="15.75">
      <c r="A95" s="396"/>
      <c r="B95" s="396"/>
      <c r="C95" s="396"/>
      <c r="D95" s="396"/>
      <c r="F95" s="433" t="s">
        <v>114</v>
      </c>
      <c r="H95" s="363" t="s">
        <v>117</v>
      </c>
      <c r="M95" s="35" t="s">
        <v>902</v>
      </c>
      <c r="S95" s="434"/>
      <c r="T95" s="358"/>
      <c r="U95" s="363"/>
      <c r="W95" s="361"/>
      <c r="AG95" s="381">
        <f t="shared" si="15"/>
        <v>0</v>
      </c>
      <c r="AJ95" s="35">
        <f t="shared" si="19"/>
        <v>0</v>
      </c>
      <c r="AK95" s="35">
        <f t="shared" si="16"/>
        <v>0</v>
      </c>
      <c r="AL95" s="35">
        <f t="shared" si="17"/>
        <v>0</v>
      </c>
      <c r="AM95" s="35">
        <f t="shared" si="18"/>
        <v>0</v>
      </c>
      <c r="AQ95" s="368" t="s">
        <v>128</v>
      </c>
      <c r="AR95" s="356" t="s">
        <v>129</v>
      </c>
      <c r="AT95" s="356" t="s">
        <v>128</v>
      </c>
      <c r="AU95" s="370">
        <v>5</v>
      </c>
    </row>
    <row r="96" spans="1:47" ht="15.75">
      <c r="A96" s="396"/>
      <c r="B96" s="396"/>
      <c r="C96" s="396"/>
      <c r="D96" s="396"/>
      <c r="F96" s="370">
        <v>10</v>
      </c>
      <c r="G96" s="368" t="s">
        <v>108</v>
      </c>
      <c r="H96" s="356" t="s">
        <v>903</v>
      </c>
      <c r="I96" s="370">
        <f>D61</f>
        <v>200.28</v>
      </c>
      <c r="J96" s="356" t="s">
        <v>108</v>
      </c>
      <c r="K96" s="370">
        <f>(F96*I96)</f>
        <v>2002.8</v>
      </c>
      <c r="M96" s="35">
        <f>AG39</f>
        <v>89.82</v>
      </c>
      <c r="S96" s="407"/>
      <c r="T96" s="368"/>
      <c r="U96" s="356"/>
      <c r="V96" s="370"/>
      <c r="W96" s="357"/>
      <c r="X96" s="370"/>
      <c r="Y96" s="370"/>
      <c r="AG96" s="381">
        <f t="shared" si="15"/>
        <v>0</v>
      </c>
      <c r="AJ96" s="35">
        <f t="shared" si="19"/>
        <v>0</v>
      </c>
      <c r="AK96" s="35">
        <f t="shared" si="16"/>
        <v>0</v>
      </c>
      <c r="AL96" s="35">
        <f t="shared" si="17"/>
        <v>0</v>
      </c>
      <c r="AM96" s="35">
        <f t="shared" si="18"/>
        <v>0</v>
      </c>
      <c r="AQ96" s="358"/>
      <c r="AT96" s="360"/>
      <c r="AU96" s="363" t="s">
        <v>117</v>
      </c>
    </row>
    <row r="97" spans="1:50" ht="15.75">
      <c r="A97" s="396"/>
      <c r="B97" s="396"/>
      <c r="C97" s="396"/>
      <c r="D97" s="396"/>
      <c r="F97" s="370">
        <v>10</v>
      </c>
      <c r="G97" s="368" t="s">
        <v>108</v>
      </c>
      <c r="H97" s="356" t="s">
        <v>141</v>
      </c>
      <c r="I97" s="370">
        <f>D61</f>
        <v>200.28</v>
      </c>
      <c r="J97" s="356" t="s">
        <v>108</v>
      </c>
      <c r="K97" s="370">
        <f>(F97*I97)</f>
        <v>2002.8</v>
      </c>
      <c r="M97" s="35">
        <f>M96</f>
        <v>89.82</v>
      </c>
      <c r="S97" s="407"/>
      <c r="T97" s="368"/>
      <c r="U97" s="356"/>
      <c r="V97" s="370"/>
      <c r="W97" s="357"/>
      <c r="X97" s="370"/>
      <c r="Y97" s="370"/>
      <c r="AG97" s="381">
        <f t="shared" si="15"/>
        <v>0</v>
      </c>
      <c r="AJ97" s="35">
        <f t="shared" si="19"/>
        <v>0</v>
      </c>
      <c r="AK97" s="35">
        <f t="shared" si="16"/>
        <v>0</v>
      </c>
      <c r="AL97" s="35">
        <f t="shared" si="17"/>
        <v>0</v>
      </c>
      <c r="AM97" s="35">
        <f t="shared" si="18"/>
        <v>0</v>
      </c>
      <c r="AQ97" s="358"/>
      <c r="AR97" s="356" t="s">
        <v>143</v>
      </c>
      <c r="AT97" s="360"/>
      <c r="AU97" s="370">
        <f>SUM(AU87:AU95)</f>
        <v>21952.316668799998</v>
      </c>
    </row>
    <row r="98" spans="1:50" ht="15.75">
      <c r="A98" s="396"/>
      <c r="B98" s="396"/>
      <c r="C98" s="396"/>
      <c r="D98" s="396"/>
      <c r="F98" s="370">
        <v>10</v>
      </c>
      <c r="G98" s="368" t="s">
        <v>108</v>
      </c>
      <c r="H98" s="356" t="s">
        <v>142</v>
      </c>
      <c r="I98" s="370">
        <f>I83</f>
        <v>15.58</v>
      </c>
      <c r="J98" s="356" t="s">
        <v>108</v>
      </c>
      <c r="K98" s="370">
        <f>(F98*I98)</f>
        <v>155.80000000000001</v>
      </c>
      <c r="M98" s="35">
        <f>I98</f>
        <v>15.58</v>
      </c>
      <c r="S98" s="407"/>
      <c r="T98" s="368"/>
      <c r="U98" s="356"/>
      <c r="V98" s="370"/>
      <c r="W98" s="357"/>
      <c r="X98" s="370"/>
      <c r="Y98" s="370"/>
      <c r="AG98" s="381">
        <f t="shared" si="15"/>
        <v>0</v>
      </c>
      <c r="AJ98" s="35">
        <f t="shared" si="19"/>
        <v>0</v>
      </c>
      <c r="AK98" s="35">
        <f t="shared" si="16"/>
        <v>0</v>
      </c>
      <c r="AL98" s="35">
        <f t="shared" si="17"/>
        <v>0</v>
      </c>
      <c r="AM98" s="35">
        <f t="shared" si="18"/>
        <v>0</v>
      </c>
      <c r="AQ98" s="358"/>
      <c r="AT98" s="360"/>
      <c r="AU98" s="363" t="s">
        <v>117</v>
      </c>
    </row>
    <row r="99" spans="1:50" ht="15.75">
      <c r="A99" s="396"/>
      <c r="B99" s="396"/>
      <c r="C99" s="396"/>
      <c r="D99" s="396"/>
      <c r="G99" s="368" t="s">
        <v>128</v>
      </c>
      <c r="H99" s="356" t="s">
        <v>129</v>
      </c>
      <c r="J99" s="356" t="s">
        <v>128</v>
      </c>
      <c r="K99" s="370">
        <v>0</v>
      </c>
      <c r="M99" s="35">
        <f>SUM(M96:M98)</f>
        <v>195.22</v>
      </c>
      <c r="T99" s="368"/>
      <c r="U99" s="356"/>
      <c r="W99" s="357"/>
      <c r="X99" s="370"/>
      <c r="Y99" s="370"/>
      <c r="AG99" s="381">
        <f t="shared" si="15"/>
        <v>0</v>
      </c>
      <c r="AJ99" s="35">
        <f t="shared" si="19"/>
        <v>0</v>
      </c>
      <c r="AK99" s="35">
        <f t="shared" si="16"/>
        <v>0</v>
      </c>
      <c r="AL99" s="35">
        <f t="shared" si="17"/>
        <v>0</v>
      </c>
      <c r="AM99" s="35">
        <f t="shared" si="18"/>
        <v>0</v>
      </c>
      <c r="AQ99" s="358"/>
      <c r="AR99" s="357" t="s">
        <v>155</v>
      </c>
      <c r="AT99" s="360"/>
      <c r="AU99" s="370">
        <f>(AU97/2.83168)</f>
        <v>7752.4002248841671</v>
      </c>
    </row>
    <row r="100" spans="1:50" ht="15.75">
      <c r="A100" s="396"/>
      <c r="B100" s="396"/>
      <c r="C100" s="396"/>
      <c r="D100" s="396"/>
      <c r="K100" s="363" t="s">
        <v>117</v>
      </c>
      <c r="T100" s="358"/>
      <c r="W100" s="361"/>
      <c r="X100" s="363"/>
      <c r="Y100" s="363"/>
      <c r="AG100" s="381">
        <f t="shared" si="15"/>
        <v>0</v>
      </c>
      <c r="AJ100" s="35">
        <f t="shared" si="19"/>
        <v>0</v>
      </c>
      <c r="AK100" s="35">
        <f t="shared" si="16"/>
        <v>0</v>
      </c>
      <c r="AL100" s="35">
        <f t="shared" si="17"/>
        <v>0</v>
      </c>
      <c r="AM100" s="35">
        <f t="shared" si="18"/>
        <v>0</v>
      </c>
      <c r="AQ100" s="358"/>
      <c r="AT100" s="360"/>
      <c r="AU100" s="363" t="s">
        <v>156</v>
      </c>
    </row>
    <row r="101" spans="1:50" ht="15.75">
      <c r="A101" s="396"/>
      <c r="B101" s="396"/>
      <c r="C101" s="396"/>
      <c r="D101" s="396"/>
      <c r="H101" s="356" t="s">
        <v>143</v>
      </c>
      <c r="K101" s="370">
        <f>SUM(K96:K99)</f>
        <v>4161.3999999999996</v>
      </c>
      <c r="T101" s="358"/>
      <c r="U101" s="356"/>
      <c r="W101" s="361"/>
      <c r="X101" s="370"/>
      <c r="Y101" s="370"/>
      <c r="AG101" s="381">
        <f t="shared" si="15"/>
        <v>0</v>
      </c>
      <c r="AJ101" s="35">
        <f t="shared" si="19"/>
        <v>0</v>
      </c>
      <c r="AQ101" s="358"/>
      <c r="AR101" s="356" t="s">
        <v>172</v>
      </c>
      <c r="AT101" s="360"/>
      <c r="AU101" s="369">
        <f>AU99+C19</f>
        <v>7847.0802248841674</v>
      </c>
      <c r="AW101" s="35">
        <f>AU101*22.69/100</f>
        <v>1780.5025030262177</v>
      </c>
      <c r="AX101" s="35">
        <f>AU101-AW101</f>
        <v>6066.5777218579497</v>
      </c>
    </row>
    <row r="102" spans="1:50" ht="15.75">
      <c r="A102" s="396"/>
      <c r="B102" s="396"/>
      <c r="C102" s="396"/>
      <c r="D102" s="396"/>
      <c r="K102" s="363" t="s">
        <v>117</v>
      </c>
      <c r="T102" s="358"/>
      <c r="W102" s="361"/>
      <c r="X102" s="363"/>
      <c r="Y102" s="363"/>
      <c r="AG102" s="381">
        <f t="shared" si="15"/>
        <v>0</v>
      </c>
      <c r="AJ102" s="35">
        <f t="shared" si="19"/>
        <v>0</v>
      </c>
      <c r="AQ102" s="358"/>
      <c r="AR102" s="356" t="s">
        <v>873</v>
      </c>
      <c r="AT102" s="360"/>
      <c r="AU102" s="369">
        <f>(AU101+C20)</f>
        <v>8038.1202248841673</v>
      </c>
      <c r="AW102" s="35">
        <f t="shared" ref="AW102:AW165" si="21">AU102*22.69/100</f>
        <v>1823.8494790262175</v>
      </c>
      <c r="AX102" s="35">
        <f t="shared" ref="AX102:AX165" si="22">AU102-AW102</f>
        <v>6214.2707458579498</v>
      </c>
    </row>
    <row r="103" spans="1:50" ht="15.75">
      <c r="A103" s="396"/>
      <c r="B103" s="396"/>
      <c r="C103" s="396"/>
      <c r="D103" s="396"/>
      <c r="H103" s="359" t="s">
        <v>144</v>
      </c>
      <c r="I103" s="411" t="s">
        <v>145</v>
      </c>
      <c r="J103" s="436"/>
      <c r="K103" s="369">
        <f>(K101/10)</f>
        <v>416.14</v>
      </c>
      <c r="M103" s="35">
        <f>SUM(M96:M97)</f>
        <v>179.64</v>
      </c>
      <c r="T103" s="358"/>
      <c r="U103" s="359"/>
      <c r="V103" s="411"/>
      <c r="W103" s="437"/>
      <c r="X103" s="369"/>
      <c r="Y103" s="369"/>
      <c r="AG103" s="381">
        <f t="shared" si="15"/>
        <v>0</v>
      </c>
      <c r="AJ103" s="35">
        <f t="shared" si="19"/>
        <v>0</v>
      </c>
      <c r="AQ103" s="358"/>
      <c r="AR103" s="356" t="s">
        <v>876</v>
      </c>
      <c r="AT103" s="360"/>
      <c r="AU103" s="369">
        <f>(AU102+C20)</f>
        <v>8229.1602248841682</v>
      </c>
      <c r="AW103" s="35">
        <f t="shared" si="21"/>
        <v>1867.1964550262178</v>
      </c>
      <c r="AX103" s="35">
        <f t="shared" si="22"/>
        <v>6361.96376985795</v>
      </c>
    </row>
    <row r="104" spans="1:50" ht="15.75">
      <c r="A104" s="396"/>
      <c r="B104" s="396"/>
      <c r="C104" s="396"/>
      <c r="D104" s="396"/>
      <c r="I104" s="411" t="s">
        <v>146</v>
      </c>
      <c r="J104" s="436"/>
      <c r="K104" s="367">
        <f>ROUND(K103+C36,2)</f>
        <v>428.8</v>
      </c>
      <c r="T104" s="358"/>
      <c r="V104" s="411"/>
      <c r="W104" s="437"/>
      <c r="X104" s="367"/>
      <c r="Y104" s="367"/>
      <c r="AG104" s="381">
        <f t="shared" si="15"/>
        <v>0</v>
      </c>
      <c r="AJ104" s="35">
        <f t="shared" si="19"/>
        <v>0</v>
      </c>
      <c r="AQ104" s="358"/>
      <c r="AR104" s="356" t="s">
        <v>878</v>
      </c>
      <c r="AT104" s="360"/>
      <c r="AU104" s="369">
        <f>(AU103+C20)</f>
        <v>8420.2002248841691</v>
      </c>
      <c r="AW104" s="35">
        <f t="shared" si="21"/>
        <v>1910.5434310262181</v>
      </c>
      <c r="AX104" s="35">
        <f t="shared" si="22"/>
        <v>6509.656793857951</v>
      </c>
    </row>
    <row r="105" spans="1:50" ht="15.75">
      <c r="A105" s="396"/>
      <c r="B105" s="396"/>
      <c r="C105" s="396"/>
      <c r="D105" s="396"/>
      <c r="I105" s="411"/>
      <c r="J105" s="436"/>
      <c r="K105" s="439"/>
      <c r="T105" s="358"/>
      <c r="V105" s="411"/>
      <c r="W105" s="437"/>
      <c r="X105" s="439"/>
      <c r="Y105" s="439"/>
      <c r="AG105" s="381">
        <f t="shared" si="15"/>
        <v>0</v>
      </c>
      <c r="AJ105" s="35">
        <f t="shared" si="19"/>
        <v>0</v>
      </c>
      <c r="AP105" s="356" t="s">
        <v>114</v>
      </c>
      <c r="AQ105" s="358"/>
      <c r="AR105" s="356" t="s">
        <v>881</v>
      </c>
      <c r="AT105" s="360"/>
      <c r="AU105" s="369">
        <f>(AU104+C20)</f>
        <v>8611.2402248841699</v>
      </c>
      <c r="AW105" s="35">
        <f t="shared" si="21"/>
        <v>1953.8904070262183</v>
      </c>
      <c r="AX105" s="35">
        <f t="shared" si="22"/>
        <v>6657.3498178579521</v>
      </c>
    </row>
    <row r="106" spans="1:50" ht="31.5">
      <c r="A106" s="396"/>
      <c r="B106" s="396"/>
      <c r="C106" s="396"/>
      <c r="D106" s="396"/>
      <c r="F106" s="412">
        <v>1.7</v>
      </c>
      <c r="H106" s="438" t="s">
        <v>904</v>
      </c>
      <c r="I106" s="411" t="s">
        <v>145</v>
      </c>
      <c r="J106" s="436"/>
      <c r="K106" s="367">
        <f>ROUND(K103-K98/10,2)</f>
        <v>400.56</v>
      </c>
      <c r="S106" s="432"/>
      <c r="T106" s="358"/>
      <c r="U106" s="438"/>
      <c r="V106" s="411"/>
      <c r="W106" s="437"/>
      <c r="X106" s="367"/>
      <c r="Y106" s="367"/>
      <c r="AG106" s="381">
        <f t="shared" ref="AG106:AG124" si="23">AI106</f>
        <v>0</v>
      </c>
      <c r="AJ106" s="35">
        <f t="shared" si="19"/>
        <v>0</v>
      </c>
      <c r="AP106" s="393">
        <v>27</v>
      </c>
      <c r="AQ106" s="368" t="s">
        <v>122</v>
      </c>
      <c r="AR106" s="356" t="s">
        <v>905</v>
      </c>
      <c r="AT106" s="360"/>
      <c r="AU106" s="369">
        <f>(AU105+C21)</f>
        <v>8802.2802248841708</v>
      </c>
    </row>
    <row r="107" spans="1:50" ht="15.75">
      <c r="A107" s="396"/>
      <c r="B107" s="396"/>
      <c r="C107" s="396"/>
      <c r="D107" s="396"/>
      <c r="I107" s="411" t="s">
        <v>146</v>
      </c>
      <c r="J107" s="436"/>
      <c r="K107" s="367">
        <f>ROUND(K106+C36,2)</f>
        <v>413.22</v>
      </c>
      <c r="T107" s="358"/>
      <c r="V107" s="411"/>
      <c r="W107" s="437"/>
      <c r="X107" s="367"/>
      <c r="Y107" s="367"/>
      <c r="AG107" s="381">
        <f t="shared" si="23"/>
        <v>0</v>
      </c>
      <c r="AJ107" s="35">
        <f t="shared" si="19"/>
        <v>0</v>
      </c>
      <c r="AQ107" s="358"/>
      <c r="AR107" s="356" t="str">
        <f>AR85</f>
        <v>Bricks of size 23x11x7 cm</v>
      </c>
      <c r="AT107" s="360"/>
    </row>
    <row r="108" spans="1:50" ht="15.75">
      <c r="A108" s="396"/>
      <c r="B108" s="396"/>
      <c r="C108" s="396"/>
      <c r="D108" s="396"/>
      <c r="K108" s="363"/>
      <c r="T108" s="358"/>
      <c r="W108" s="361"/>
      <c r="X108" s="363"/>
      <c r="Y108" s="363"/>
      <c r="AG108" s="381">
        <f t="shared" si="23"/>
        <v>0</v>
      </c>
      <c r="AJ108" s="35">
        <f t="shared" si="19"/>
        <v>0</v>
      </c>
      <c r="AQ108" s="358"/>
      <c r="AR108" s="363" t="s">
        <v>117</v>
      </c>
      <c r="AT108" s="360"/>
    </row>
    <row r="109" spans="1:50" ht="15.75">
      <c r="A109" s="396"/>
      <c r="B109" s="396"/>
      <c r="C109" s="396"/>
      <c r="D109" s="396"/>
      <c r="K109" s="363"/>
      <c r="T109" s="358"/>
      <c r="W109" s="361"/>
      <c r="X109" s="363"/>
      <c r="Y109" s="363"/>
      <c r="AG109" s="381">
        <f t="shared" si="23"/>
        <v>0</v>
      </c>
      <c r="AJ109" s="35">
        <f t="shared" si="19"/>
        <v>0</v>
      </c>
      <c r="AP109" s="370">
        <v>1300</v>
      </c>
      <c r="AQ109" s="368" t="s">
        <v>160</v>
      </c>
      <c r="AR109" s="370" t="str">
        <f>AR61</f>
        <v>Bricks of size 23x11x7 cm</v>
      </c>
      <c r="AS109" s="370">
        <f>AE45</f>
        <v>7342.45</v>
      </c>
      <c r="AT109" s="356" t="s">
        <v>161</v>
      </c>
      <c r="AU109" s="370">
        <f>(AP109*AS109)/1000</f>
        <v>9545.1849999999995</v>
      </c>
      <c r="AW109" s="35">
        <f t="shared" si="21"/>
        <v>2165.8024765</v>
      </c>
      <c r="AX109" s="35">
        <f t="shared" si="22"/>
        <v>7379.3825234999995</v>
      </c>
    </row>
    <row r="110" spans="1:50" ht="31.5">
      <c r="A110" s="396"/>
      <c r="B110" s="396"/>
      <c r="C110" s="396"/>
      <c r="D110" s="396"/>
      <c r="F110" s="412">
        <v>1.4</v>
      </c>
      <c r="G110" s="368" t="s">
        <v>114</v>
      </c>
      <c r="H110" s="440" t="s">
        <v>906</v>
      </c>
      <c r="S110" s="432">
        <v>1.4</v>
      </c>
      <c r="T110" s="368" t="s">
        <v>114</v>
      </c>
      <c r="U110" s="440" t="s">
        <v>906</v>
      </c>
      <c r="W110" s="361"/>
      <c r="AG110" s="381">
        <f t="shared" si="23"/>
        <v>0</v>
      </c>
      <c r="AJ110" s="35">
        <f t="shared" si="19"/>
        <v>0</v>
      </c>
      <c r="AP110" s="407">
        <v>0.70799999999999996</v>
      </c>
      <c r="AQ110" s="368" t="s">
        <v>108</v>
      </c>
      <c r="AR110" s="356" t="s">
        <v>133</v>
      </c>
      <c r="AS110" s="370">
        <f>K40</f>
        <v>4212.3004000000001</v>
      </c>
      <c r="AT110" s="356" t="s">
        <v>108</v>
      </c>
      <c r="AU110" s="370">
        <f>(AP110*AS110)</f>
        <v>2982.3086831999999</v>
      </c>
      <c r="AW110" s="35">
        <f t="shared" si="21"/>
        <v>676.68584021807999</v>
      </c>
      <c r="AX110" s="35">
        <f t="shared" si="22"/>
        <v>2305.6228429819198</v>
      </c>
    </row>
    <row r="111" spans="1:50" ht="15.75">
      <c r="A111" s="396"/>
      <c r="B111" s="396"/>
      <c r="C111" s="396"/>
      <c r="D111" s="396"/>
      <c r="T111" s="358"/>
      <c r="W111" s="361"/>
      <c r="AG111" s="381">
        <f t="shared" si="23"/>
        <v>0</v>
      </c>
      <c r="AJ111" s="35">
        <f t="shared" si="19"/>
        <v>0</v>
      </c>
      <c r="AP111" s="370">
        <v>1</v>
      </c>
      <c r="AQ111" s="368" t="s">
        <v>151</v>
      </c>
      <c r="AR111" s="356" t="s">
        <v>162</v>
      </c>
      <c r="AS111" s="370">
        <f>AS89</f>
        <v>1198.8</v>
      </c>
      <c r="AT111" s="356" t="s">
        <v>151</v>
      </c>
      <c r="AU111" s="370">
        <f>(AP111*AS111)</f>
        <v>1198.8</v>
      </c>
      <c r="AW111" s="35">
        <f t="shared" si="21"/>
        <v>272.00772000000001</v>
      </c>
      <c r="AX111" s="35">
        <f t="shared" si="22"/>
        <v>926.79227999999989</v>
      </c>
    </row>
    <row r="112" spans="1:50" ht="15.75">
      <c r="A112" s="396"/>
      <c r="B112" s="396"/>
      <c r="C112" s="396"/>
      <c r="D112" s="396"/>
      <c r="F112" s="370">
        <v>10</v>
      </c>
      <c r="G112" s="368" t="s">
        <v>108</v>
      </c>
      <c r="H112" s="356" t="s">
        <v>140</v>
      </c>
      <c r="I112" s="370">
        <f>C61</f>
        <v>134.45999999999998</v>
      </c>
      <c r="J112" s="356" t="s">
        <v>108</v>
      </c>
      <c r="K112" s="370">
        <f>(F112*I112)</f>
        <v>1344.6</v>
      </c>
      <c r="S112" s="407">
        <v>10</v>
      </c>
      <c r="T112" s="368" t="s">
        <v>108</v>
      </c>
      <c r="U112" s="356" t="s">
        <v>140</v>
      </c>
      <c r="V112" s="370">
        <f>V81</f>
        <v>89.82</v>
      </c>
      <c r="W112" s="357" t="s">
        <v>108</v>
      </c>
      <c r="X112" s="370">
        <f>(S112*V112)</f>
        <v>898.19999999999993</v>
      </c>
      <c r="Y112" s="370"/>
      <c r="AG112" s="381">
        <f t="shared" si="23"/>
        <v>0</v>
      </c>
      <c r="AJ112" s="35">
        <f t="shared" si="19"/>
        <v>0</v>
      </c>
      <c r="AP112" s="370">
        <v>3</v>
      </c>
      <c r="AQ112" s="368" t="s">
        <v>151</v>
      </c>
      <c r="AR112" s="356" t="s">
        <v>152</v>
      </c>
      <c r="AS112" s="370">
        <f>AS92</f>
        <v>1118.3999999999999</v>
      </c>
      <c r="AT112" s="356" t="s">
        <v>151</v>
      </c>
      <c r="AU112" s="370">
        <f>(AP112*AS112)</f>
        <v>3355.2</v>
      </c>
      <c r="AW112" s="35">
        <f t="shared" si="21"/>
        <v>761.29487999999992</v>
      </c>
      <c r="AX112" s="35">
        <f t="shared" si="22"/>
        <v>2593.9051199999999</v>
      </c>
    </row>
    <row r="113" spans="1:50" ht="15.75">
      <c r="A113" s="396"/>
      <c r="B113" s="396"/>
      <c r="C113" s="396"/>
      <c r="D113" s="396"/>
      <c r="F113" s="370">
        <v>10</v>
      </c>
      <c r="G113" s="368" t="s">
        <v>108</v>
      </c>
      <c r="H113" s="356" t="s">
        <v>142</v>
      </c>
      <c r="I113" s="370">
        <f>I83</f>
        <v>15.58</v>
      </c>
      <c r="J113" s="356" t="s">
        <v>108</v>
      </c>
      <c r="K113" s="370">
        <f>(F113*I113)</f>
        <v>155.80000000000001</v>
      </c>
      <c r="S113" s="407">
        <v>10</v>
      </c>
      <c r="T113" s="368" t="s">
        <v>108</v>
      </c>
      <c r="U113" s="356" t="s">
        <v>142</v>
      </c>
      <c r="V113" s="370">
        <f>V83</f>
        <v>13.68</v>
      </c>
      <c r="W113" s="357" t="s">
        <v>108</v>
      </c>
      <c r="X113" s="370">
        <f>(S113*V113)</f>
        <v>136.80000000000001</v>
      </c>
      <c r="Y113" s="370"/>
      <c r="AG113" s="381">
        <f t="shared" si="23"/>
        <v>0</v>
      </c>
      <c r="AJ113" s="35">
        <f t="shared" si="19"/>
        <v>0</v>
      </c>
      <c r="AP113" s="370">
        <v>2</v>
      </c>
      <c r="AQ113" s="368" t="s">
        <v>151</v>
      </c>
      <c r="AR113" s="356" t="s">
        <v>153</v>
      </c>
      <c r="AS113" s="370">
        <f>AS93</f>
        <v>781.19999999999993</v>
      </c>
      <c r="AT113" s="356" t="s">
        <v>151</v>
      </c>
      <c r="AU113" s="370">
        <f>(AP113*AS113)</f>
        <v>1562.3999999999999</v>
      </c>
      <c r="AW113" s="35">
        <f t="shared" si="21"/>
        <v>354.50855999999999</v>
      </c>
      <c r="AX113" s="35">
        <f t="shared" si="22"/>
        <v>1207.8914399999999</v>
      </c>
    </row>
    <row r="114" spans="1:50" ht="15.75">
      <c r="A114" s="396"/>
      <c r="B114" s="396"/>
      <c r="C114" s="396"/>
      <c r="D114" s="396"/>
      <c r="G114" s="368" t="s">
        <v>128</v>
      </c>
      <c r="H114" s="356" t="s">
        <v>129</v>
      </c>
      <c r="J114" s="356" t="s">
        <v>128</v>
      </c>
      <c r="K114" s="370">
        <v>0</v>
      </c>
      <c r="T114" s="368" t="s">
        <v>128</v>
      </c>
      <c r="U114" s="356" t="s">
        <v>129</v>
      </c>
      <c r="W114" s="357" t="s">
        <v>128</v>
      </c>
      <c r="X114" s="370">
        <v>0</v>
      </c>
      <c r="Y114" s="370"/>
      <c r="AG114" s="381">
        <f t="shared" si="23"/>
        <v>0</v>
      </c>
      <c r="AJ114" s="35">
        <f t="shared" si="19"/>
        <v>0</v>
      </c>
      <c r="AP114" s="370">
        <v>6</v>
      </c>
      <c r="AQ114" s="368" t="s">
        <v>151</v>
      </c>
      <c r="AR114" s="356" t="s">
        <v>154</v>
      </c>
      <c r="AS114" s="370">
        <f>AS94</f>
        <v>640.79999999999995</v>
      </c>
      <c r="AT114" s="356" t="s">
        <v>151</v>
      </c>
      <c r="AU114" s="370">
        <f>(AP114*AS114)</f>
        <v>3844.7999999999997</v>
      </c>
      <c r="AW114" s="35">
        <f t="shared" si="21"/>
        <v>872.38512000000003</v>
      </c>
      <c r="AX114" s="35">
        <f t="shared" si="22"/>
        <v>2972.4148799999998</v>
      </c>
    </row>
    <row r="115" spans="1:50" ht="15.75">
      <c r="A115" s="396"/>
      <c r="B115" s="396"/>
      <c r="C115" s="396"/>
      <c r="D115" s="396"/>
      <c r="K115" s="363" t="s">
        <v>117</v>
      </c>
      <c r="T115" s="358"/>
      <c r="W115" s="361"/>
      <c r="X115" s="363" t="s">
        <v>117</v>
      </c>
      <c r="Y115" s="363"/>
      <c r="AG115" s="381">
        <f t="shared" si="23"/>
        <v>0</v>
      </c>
      <c r="AJ115" s="35">
        <f t="shared" si="19"/>
        <v>0</v>
      </c>
      <c r="AQ115" s="368" t="s">
        <v>128</v>
      </c>
      <c r="AR115" s="356" t="s">
        <v>129</v>
      </c>
      <c r="AT115" s="356" t="s">
        <v>128</v>
      </c>
      <c r="AU115" s="370">
        <v>5</v>
      </c>
      <c r="AW115" s="35">
        <f t="shared" si="21"/>
        <v>1.1345000000000001</v>
      </c>
      <c r="AX115" s="35">
        <f t="shared" si="22"/>
        <v>3.8654999999999999</v>
      </c>
    </row>
    <row r="116" spans="1:50" ht="15.75">
      <c r="A116" s="396"/>
      <c r="B116" s="396"/>
      <c r="C116" s="396"/>
      <c r="D116" s="396"/>
      <c r="H116" s="356" t="s">
        <v>143</v>
      </c>
      <c r="K116" s="370">
        <f>SUM(K112:K114)</f>
        <v>1500.3999999999999</v>
      </c>
      <c r="T116" s="358"/>
      <c r="U116" s="356" t="s">
        <v>143</v>
      </c>
      <c r="W116" s="361"/>
      <c r="X116" s="370">
        <f>SUM(X112:X114)</f>
        <v>1035</v>
      </c>
      <c r="Y116" s="370"/>
      <c r="AG116" s="381">
        <f t="shared" si="23"/>
        <v>0</v>
      </c>
      <c r="AJ116" s="35">
        <f t="shared" si="19"/>
        <v>0</v>
      </c>
      <c r="AQ116" s="358"/>
      <c r="AT116" s="360"/>
      <c r="AU116" s="363" t="s">
        <v>117</v>
      </c>
      <c r="AW116" s="35" t="e">
        <f t="shared" si="21"/>
        <v>#VALUE!</v>
      </c>
      <c r="AX116" s="35" t="e">
        <f t="shared" si="22"/>
        <v>#VALUE!</v>
      </c>
    </row>
    <row r="117" spans="1:50" ht="15.75">
      <c r="A117" s="396"/>
      <c r="B117" s="396"/>
      <c r="C117" s="396"/>
      <c r="D117" s="396"/>
      <c r="K117" s="363" t="s">
        <v>117</v>
      </c>
      <c r="T117" s="358"/>
      <c r="W117" s="361"/>
      <c r="X117" s="363" t="s">
        <v>117</v>
      </c>
      <c r="Y117" s="363"/>
      <c r="AG117" s="381">
        <f t="shared" si="23"/>
        <v>0</v>
      </c>
      <c r="AJ117" s="35">
        <f t="shared" si="19"/>
        <v>0</v>
      </c>
      <c r="AQ117" s="358"/>
      <c r="AR117" s="356" t="s">
        <v>143</v>
      </c>
      <c r="AT117" s="360"/>
      <c r="AU117" s="370">
        <f>SUM(AU109:AU115)</f>
        <v>22493.693683199999</v>
      </c>
      <c r="AW117" s="35">
        <f t="shared" si="21"/>
        <v>5103.8190967180799</v>
      </c>
      <c r="AX117" s="35">
        <f t="shared" si="22"/>
        <v>17389.874586481921</v>
      </c>
    </row>
    <row r="118" spans="1:50" ht="15.75">
      <c r="A118" s="396"/>
      <c r="B118" s="396"/>
      <c r="C118" s="396"/>
      <c r="D118" s="396"/>
      <c r="H118" s="356"/>
      <c r="K118" s="369">
        <f>(K116/10)</f>
        <v>150.04</v>
      </c>
      <c r="L118" s="411">
        <f>K118+C36</f>
        <v>162.69999999999999</v>
      </c>
      <c r="M118" s="35">
        <f>M96</f>
        <v>89.82</v>
      </c>
      <c r="T118" s="358"/>
      <c r="U118" s="356"/>
      <c r="W118" s="361"/>
      <c r="X118" s="369">
        <f>(X116/10)</f>
        <v>103.5</v>
      </c>
      <c r="Y118" s="369"/>
      <c r="AG118" s="381">
        <f t="shared" si="23"/>
        <v>0</v>
      </c>
      <c r="AJ118" s="35">
        <f t="shared" si="19"/>
        <v>0</v>
      </c>
      <c r="AQ118" s="358"/>
      <c r="AT118" s="360"/>
      <c r="AU118" s="363" t="s">
        <v>117</v>
      </c>
      <c r="AW118" s="35" t="e">
        <f t="shared" si="21"/>
        <v>#VALUE!</v>
      </c>
      <c r="AX118" s="35" t="e">
        <f t="shared" si="22"/>
        <v>#VALUE!</v>
      </c>
    </row>
    <row r="119" spans="1:50" ht="15.75">
      <c r="A119" s="396"/>
      <c r="B119" s="396"/>
      <c r="C119" s="396"/>
      <c r="D119" s="396"/>
      <c r="K119" s="363"/>
      <c r="T119" s="358"/>
      <c r="W119" s="361"/>
      <c r="X119" s="363"/>
      <c r="Y119" s="363"/>
      <c r="AG119" s="381">
        <f t="shared" si="23"/>
        <v>0</v>
      </c>
      <c r="AJ119" s="35">
        <f t="shared" si="19"/>
        <v>0</v>
      </c>
      <c r="AQ119" s="358"/>
      <c r="AR119" s="356" t="s">
        <v>155</v>
      </c>
      <c r="AT119" s="360"/>
      <c r="AU119" s="369">
        <f>(AU117/2.83168)</f>
        <v>7943.5860277997508</v>
      </c>
      <c r="AW119" s="35">
        <f t="shared" si="21"/>
        <v>1802.3996697077635</v>
      </c>
      <c r="AX119" s="35">
        <f t="shared" si="22"/>
        <v>6141.1863580919871</v>
      </c>
    </row>
    <row r="120" spans="1:50" ht="15.75">
      <c r="A120" s="396"/>
      <c r="B120" s="396"/>
      <c r="C120" s="396"/>
      <c r="D120" s="396"/>
      <c r="F120" s="412">
        <v>1.5</v>
      </c>
      <c r="H120" s="356" t="s">
        <v>907</v>
      </c>
      <c r="I120" s="411" t="s">
        <v>145</v>
      </c>
      <c r="K120" s="369">
        <f>K118-K113/10</f>
        <v>134.45999999999998</v>
      </c>
      <c r="S120" s="432">
        <v>1.5</v>
      </c>
      <c r="T120" s="358"/>
      <c r="U120" s="356" t="s">
        <v>907</v>
      </c>
      <c r="V120" s="411" t="s">
        <v>145</v>
      </c>
      <c r="W120" s="361"/>
      <c r="X120" s="369">
        <f>X118-X113/10</f>
        <v>89.82</v>
      </c>
      <c r="Y120" s="369"/>
      <c r="AG120" s="381">
        <f t="shared" si="23"/>
        <v>0</v>
      </c>
      <c r="AJ120" s="35">
        <f t="shared" si="19"/>
        <v>0</v>
      </c>
      <c r="AQ120" s="358"/>
      <c r="AT120" s="360"/>
      <c r="AU120" s="363" t="s">
        <v>156</v>
      </c>
      <c r="AW120" s="35" t="e">
        <f t="shared" si="21"/>
        <v>#VALUE!</v>
      </c>
      <c r="AX120" s="35" t="e">
        <f t="shared" si="22"/>
        <v>#VALUE!</v>
      </c>
    </row>
    <row r="121" spans="1:50" ht="15.75">
      <c r="A121" s="396"/>
      <c r="B121" s="396"/>
      <c r="C121" s="396"/>
      <c r="D121" s="396"/>
      <c r="I121" s="411" t="s">
        <v>146</v>
      </c>
      <c r="K121" s="367">
        <f>ROUND(K120+C36,2)</f>
        <v>147.12</v>
      </c>
      <c r="T121" s="358"/>
      <c r="V121" s="411" t="s">
        <v>146</v>
      </c>
      <c r="W121" s="361"/>
      <c r="X121" s="367">
        <f>ROUND(X120+P36,2)</f>
        <v>89.82</v>
      </c>
      <c r="Y121" s="367"/>
      <c r="AG121" s="381">
        <f t="shared" si="23"/>
        <v>0</v>
      </c>
      <c r="AJ121" s="35">
        <f t="shared" si="19"/>
        <v>0</v>
      </c>
      <c r="AQ121" s="358"/>
      <c r="AR121" s="356" t="s">
        <v>172</v>
      </c>
      <c r="AT121" s="360"/>
      <c r="AU121" s="370">
        <f>(AU119+C19)</f>
        <v>8038.2660277997511</v>
      </c>
      <c r="AV121" s="35">
        <f>AU121-AU119</f>
        <v>94.680000000000291</v>
      </c>
      <c r="AW121" s="35">
        <f t="shared" si="21"/>
        <v>1823.8825617077634</v>
      </c>
      <c r="AX121" s="35">
        <f t="shared" si="22"/>
        <v>6214.3834660919874</v>
      </c>
    </row>
    <row r="122" spans="1:50" ht="15.75">
      <c r="A122" s="396"/>
      <c r="B122" s="396"/>
      <c r="C122" s="396"/>
      <c r="D122" s="396"/>
      <c r="I122" s="35" t="s">
        <v>908</v>
      </c>
      <c r="K122" s="367">
        <f>ROUND(K121+C36,2)</f>
        <v>159.78</v>
      </c>
      <c r="T122" s="358"/>
      <c r="W122" s="361"/>
      <c r="X122" s="363"/>
      <c r="Y122" s="363"/>
      <c r="AG122" s="381">
        <f t="shared" si="23"/>
        <v>0</v>
      </c>
      <c r="AJ122" s="35">
        <f t="shared" si="19"/>
        <v>0</v>
      </c>
      <c r="AQ122" s="358"/>
      <c r="AR122" s="356" t="s">
        <v>873</v>
      </c>
      <c r="AT122" s="360"/>
      <c r="AU122" s="370">
        <f>(AU121+C20)</f>
        <v>8229.306027799752</v>
      </c>
      <c r="AV122" s="35">
        <f>AU122-AU121</f>
        <v>191.04000000000087</v>
      </c>
      <c r="AW122" s="35">
        <f t="shared" si="21"/>
        <v>1867.2295377077639</v>
      </c>
      <c r="AX122" s="35">
        <f t="shared" si="22"/>
        <v>6362.0764900919876</v>
      </c>
    </row>
    <row r="123" spans="1:50" ht="15.75">
      <c r="A123" s="396"/>
      <c r="B123" s="396"/>
      <c r="C123" s="396"/>
      <c r="D123" s="396"/>
      <c r="I123" s="35" t="s">
        <v>909</v>
      </c>
      <c r="K123" s="367">
        <f>ROUND(K122+C36,2)</f>
        <v>172.44</v>
      </c>
      <c r="T123" s="358"/>
      <c r="W123" s="361"/>
      <c r="X123" s="363"/>
      <c r="Y123" s="363"/>
      <c r="AG123" s="381">
        <f t="shared" si="23"/>
        <v>0</v>
      </c>
      <c r="AJ123" s="35">
        <f t="shared" si="19"/>
        <v>0</v>
      </c>
      <c r="AQ123" s="358"/>
      <c r="AR123" s="356" t="s">
        <v>876</v>
      </c>
      <c r="AT123" s="360"/>
      <c r="AU123" s="370">
        <f>(AU122+C20)</f>
        <v>8420.3460277997528</v>
      </c>
      <c r="AW123" s="35">
        <f t="shared" si="21"/>
        <v>1910.5765137077642</v>
      </c>
      <c r="AX123" s="35">
        <f t="shared" si="22"/>
        <v>6509.7695140919886</v>
      </c>
    </row>
    <row r="124" spans="1:50" ht="30">
      <c r="A124" s="396"/>
      <c r="B124" s="396"/>
      <c r="C124" s="396"/>
      <c r="D124" s="396"/>
      <c r="F124" s="441">
        <v>1.8</v>
      </c>
      <c r="H124" s="440" t="s">
        <v>910</v>
      </c>
      <c r="K124" s="363"/>
      <c r="M124" s="357" t="s">
        <v>165</v>
      </c>
      <c r="N124" s="368" t="s">
        <v>122</v>
      </c>
      <c r="O124" s="356" t="s">
        <v>166</v>
      </c>
      <c r="Q124" s="360"/>
      <c r="S124" s="442"/>
      <c r="T124" s="358"/>
      <c r="U124" s="440"/>
      <c r="W124" s="361"/>
      <c r="X124" s="363"/>
      <c r="Y124" s="363"/>
      <c r="AG124" s="381">
        <f t="shared" si="23"/>
        <v>0</v>
      </c>
      <c r="AJ124" s="35">
        <f t="shared" si="19"/>
        <v>0</v>
      </c>
      <c r="AQ124" s="358"/>
      <c r="AR124" s="356" t="s">
        <v>878</v>
      </c>
      <c r="AT124" s="360"/>
      <c r="AU124" s="370">
        <f>AU123+C20</f>
        <v>8611.3860277997537</v>
      </c>
      <c r="AW124" s="35">
        <f t="shared" si="21"/>
        <v>1953.9234897077642</v>
      </c>
      <c r="AX124" s="35">
        <f t="shared" si="22"/>
        <v>6657.4625380919897</v>
      </c>
    </row>
    <row r="125" spans="1:50" ht="15.75">
      <c r="A125" s="396"/>
      <c r="B125" s="396"/>
      <c r="C125" s="396"/>
      <c r="D125" s="396"/>
      <c r="K125" s="363"/>
      <c r="N125" s="358"/>
      <c r="O125" s="356" t="s">
        <v>911</v>
      </c>
      <c r="Q125" s="360"/>
      <c r="T125" s="358"/>
      <c r="W125" s="361"/>
      <c r="X125" s="363"/>
      <c r="Y125" s="363"/>
      <c r="AG125" s="443"/>
      <c r="AJ125" s="35">
        <f t="shared" si="19"/>
        <v>0</v>
      </c>
      <c r="AQ125" s="358"/>
      <c r="AR125" s="356" t="s">
        <v>881</v>
      </c>
      <c r="AT125" s="360"/>
      <c r="AU125" s="370">
        <f>AU124+C20</f>
        <v>8802.4260277997546</v>
      </c>
      <c r="AW125" s="35">
        <f t="shared" si="21"/>
        <v>1997.2704657077643</v>
      </c>
      <c r="AX125" s="35">
        <f t="shared" si="22"/>
        <v>6805.1555620919899</v>
      </c>
    </row>
    <row r="126" spans="1:50" ht="15.75">
      <c r="A126" s="396"/>
      <c r="B126" s="396"/>
      <c r="C126" s="396"/>
      <c r="D126" s="396"/>
      <c r="F126" s="370">
        <v>10</v>
      </c>
      <c r="G126" s="368" t="s">
        <v>108</v>
      </c>
      <c r="H126" s="356" t="s">
        <v>903</v>
      </c>
      <c r="I126" s="35">
        <f>D61</f>
        <v>200.28</v>
      </c>
      <c r="J126" s="356" t="s">
        <v>108</v>
      </c>
      <c r="K126" s="370">
        <f>(F126*I126)</f>
        <v>2002.8</v>
      </c>
      <c r="N126" s="358"/>
      <c r="O126" s="363" t="s">
        <v>117</v>
      </c>
      <c r="Q126" s="360"/>
      <c r="S126" s="407"/>
      <c r="T126" s="368"/>
      <c r="U126" s="356"/>
      <c r="W126" s="357" t="s">
        <v>108</v>
      </c>
      <c r="X126" s="370"/>
      <c r="Y126" s="370"/>
      <c r="AG126" s="443"/>
      <c r="AQ126" s="358"/>
      <c r="AR126" s="356" t="s">
        <v>912</v>
      </c>
      <c r="AT126" s="360"/>
      <c r="AU126" s="370">
        <f>(AU121+AU122+AU123+AU124)/4</f>
        <v>8324.8260277997524</v>
      </c>
      <c r="AW126" s="35">
        <f t="shared" si="21"/>
        <v>1888.9030257077641</v>
      </c>
      <c r="AX126" s="35">
        <f t="shared" si="22"/>
        <v>6435.9230020919886</v>
      </c>
    </row>
    <row r="127" spans="1:50" ht="15.75">
      <c r="A127" s="396"/>
      <c r="B127" s="396"/>
      <c r="C127" s="396"/>
      <c r="D127" s="396"/>
      <c r="G127" s="358" t="s">
        <v>265</v>
      </c>
      <c r="J127" s="360" t="s">
        <v>265</v>
      </c>
      <c r="K127" s="370">
        <v>0</v>
      </c>
      <c r="M127" s="370">
        <v>1</v>
      </c>
      <c r="N127" s="368" t="s">
        <v>108</v>
      </c>
      <c r="O127" s="356" t="s">
        <v>913</v>
      </c>
      <c r="P127" s="370">
        <f>AE39</f>
        <v>722.39</v>
      </c>
      <c r="Q127" s="356" t="s">
        <v>108</v>
      </c>
      <c r="R127" s="370">
        <f>(M127*P127)</f>
        <v>722.39</v>
      </c>
      <c r="T127" s="358"/>
      <c r="W127" s="361" t="s">
        <v>265</v>
      </c>
      <c r="X127" s="370"/>
      <c r="Y127" s="370"/>
      <c r="AG127" s="443"/>
      <c r="AQ127" s="358"/>
    </row>
    <row r="128" spans="1:50" ht="15.75">
      <c r="A128" s="396"/>
      <c r="B128" s="396"/>
      <c r="C128" s="396"/>
      <c r="D128" s="396"/>
      <c r="K128" s="363" t="s">
        <v>117</v>
      </c>
      <c r="M128" s="370">
        <v>1</v>
      </c>
      <c r="N128" s="368" t="s">
        <v>108</v>
      </c>
      <c r="O128" s="356" t="s">
        <v>169</v>
      </c>
      <c r="P128" s="370">
        <f>P143</f>
        <v>46.74</v>
      </c>
      <c r="Q128" s="356" t="s">
        <v>108</v>
      </c>
      <c r="R128" s="370">
        <f>(M128*P128)</f>
        <v>46.74</v>
      </c>
      <c r="T128" s="358"/>
      <c r="W128" s="361"/>
      <c r="X128" s="363"/>
      <c r="Y128" s="363"/>
      <c r="AG128" s="443"/>
      <c r="AQ128" s="358"/>
      <c r="AT128" s="360"/>
    </row>
    <row r="129" spans="1:50" ht="15.75">
      <c r="A129" s="396"/>
      <c r="B129" s="396"/>
      <c r="C129" s="396"/>
      <c r="D129" s="396"/>
      <c r="H129" s="356" t="s">
        <v>143</v>
      </c>
      <c r="K129" s="370">
        <f>SUM(K126:K127)</f>
        <v>2002.8</v>
      </c>
      <c r="N129" s="368" t="s">
        <v>128</v>
      </c>
      <c r="O129" s="356" t="s">
        <v>129</v>
      </c>
      <c r="P129" s="356" t="s">
        <v>114</v>
      </c>
      <c r="Q129" s="356" t="s">
        <v>128</v>
      </c>
      <c r="R129" s="370">
        <v>0</v>
      </c>
      <c r="T129" s="358"/>
      <c r="U129" s="356"/>
      <c r="W129" s="361"/>
      <c r="X129" s="370"/>
      <c r="Y129" s="370"/>
      <c r="AG129" s="443"/>
      <c r="AQ129" s="358"/>
      <c r="AR129" s="372" t="s">
        <v>914</v>
      </c>
      <c r="AT129" s="360"/>
    </row>
    <row r="130" spans="1:50" ht="15.75">
      <c r="A130" s="396"/>
      <c r="B130" s="396"/>
      <c r="C130" s="396"/>
      <c r="D130" s="396"/>
      <c r="K130" s="363" t="s">
        <v>117</v>
      </c>
      <c r="N130" s="358"/>
      <c r="Q130" s="360"/>
      <c r="R130" s="363" t="s">
        <v>117</v>
      </c>
      <c r="T130" s="358"/>
      <c r="W130" s="361"/>
      <c r="X130" s="363"/>
      <c r="Y130" s="363"/>
      <c r="AG130" s="443"/>
      <c r="AQ130" s="358"/>
      <c r="AR130" s="363" t="s">
        <v>117</v>
      </c>
      <c r="AT130" s="360"/>
    </row>
    <row r="131" spans="1:50" ht="30.75">
      <c r="A131" s="396"/>
      <c r="B131" s="396"/>
      <c r="C131" s="396"/>
      <c r="D131" s="396"/>
      <c r="F131" s="444"/>
      <c r="H131" s="445" t="s">
        <v>915</v>
      </c>
      <c r="I131" s="411" t="s">
        <v>145</v>
      </c>
      <c r="K131" s="367">
        <f>ROUND(K129/10,2)</f>
        <v>200.28</v>
      </c>
      <c r="N131" s="358"/>
      <c r="O131" s="356" t="s">
        <v>130</v>
      </c>
      <c r="Q131" s="360"/>
      <c r="R131" s="370">
        <f>SUM(R127:R129)</f>
        <v>769.13</v>
      </c>
      <c r="S131" s="446"/>
      <c r="T131" s="358"/>
      <c r="U131" s="445"/>
      <c r="V131" s="411"/>
      <c r="W131" s="361"/>
      <c r="X131" s="367"/>
      <c r="Y131" s="367"/>
      <c r="AG131" s="443"/>
      <c r="AP131" s="393">
        <v>10</v>
      </c>
      <c r="AQ131" s="368" t="s">
        <v>122</v>
      </c>
      <c r="AR131" s="356" t="s">
        <v>916</v>
      </c>
      <c r="AT131" s="360"/>
    </row>
    <row r="132" spans="1:50" ht="15.75">
      <c r="A132" s="396"/>
      <c r="B132" s="396"/>
      <c r="C132" s="396"/>
      <c r="D132" s="396"/>
      <c r="I132" s="411" t="s">
        <v>146</v>
      </c>
      <c r="K132" s="367">
        <f>ROUND(K131+C36,2)</f>
        <v>212.94</v>
      </c>
      <c r="T132" s="358"/>
      <c r="V132" s="411"/>
      <c r="W132" s="361"/>
      <c r="X132" s="367"/>
      <c r="Y132" s="367"/>
      <c r="AG132" s="443"/>
      <c r="AQ132" s="358"/>
      <c r="AR132" s="370" t="str">
        <f>AR61</f>
        <v>Bricks of size 23x11x7 cm</v>
      </c>
      <c r="AT132" s="360"/>
    </row>
    <row r="133" spans="1:50" ht="15.75">
      <c r="A133" s="396"/>
      <c r="B133" s="396"/>
      <c r="C133" s="396"/>
      <c r="D133" s="396"/>
      <c r="I133" s="411"/>
      <c r="K133" s="363"/>
      <c r="T133" s="358"/>
      <c r="V133" s="411"/>
      <c r="W133" s="361"/>
      <c r="X133" s="363"/>
      <c r="Y133" s="363"/>
      <c r="AG133" s="443"/>
      <c r="AQ133" s="358"/>
      <c r="AR133" s="363" t="s">
        <v>117</v>
      </c>
      <c r="AT133" s="360"/>
    </row>
    <row r="134" spans="1:50" ht="15.75">
      <c r="A134" s="396"/>
      <c r="B134" s="396"/>
      <c r="C134" s="396"/>
      <c r="D134" s="396"/>
      <c r="F134" s="412">
        <v>1.6</v>
      </c>
      <c r="H134" s="356" t="s">
        <v>917</v>
      </c>
      <c r="I134" s="411"/>
      <c r="S134" s="432">
        <v>1.6</v>
      </c>
      <c r="T134" s="358"/>
      <c r="U134" s="356" t="s">
        <v>917</v>
      </c>
      <c r="V134" s="411"/>
      <c r="W134" s="361"/>
      <c r="AG134" s="443"/>
      <c r="AP134" s="370">
        <f>AP63</f>
        <v>1300</v>
      </c>
      <c r="AQ134" s="368" t="s">
        <v>160</v>
      </c>
      <c r="AR134" s="370" t="str">
        <f>AR61</f>
        <v>Bricks of size 23x11x7 cm</v>
      </c>
      <c r="AS134" s="370">
        <f>AE45</f>
        <v>7342.45</v>
      </c>
      <c r="AT134" s="356" t="s">
        <v>161</v>
      </c>
      <c r="AU134" s="370">
        <f>(AP134*AS134)/1000</f>
        <v>9545.1849999999995</v>
      </c>
      <c r="AW134" s="35">
        <f t="shared" si="21"/>
        <v>2165.8024765</v>
      </c>
      <c r="AX134" s="35">
        <f t="shared" si="22"/>
        <v>7379.3825234999995</v>
      </c>
    </row>
    <row r="135" spans="1:50" ht="15.75">
      <c r="A135" s="396"/>
      <c r="B135" s="396"/>
      <c r="C135" s="396"/>
      <c r="D135" s="396"/>
      <c r="H135" s="356" t="s">
        <v>918</v>
      </c>
      <c r="I135" s="411" t="s">
        <v>145</v>
      </c>
      <c r="K135" s="369">
        <f>C61*1.5</f>
        <v>201.68999999999997</v>
      </c>
      <c r="L135" s="369"/>
      <c r="M135" s="35">
        <f>M118*1.5</f>
        <v>134.72999999999999</v>
      </c>
      <c r="T135" s="358"/>
      <c r="U135" s="356" t="s">
        <v>918</v>
      </c>
      <c r="V135" s="411" t="s">
        <v>145</v>
      </c>
      <c r="W135" s="361"/>
      <c r="X135" s="369">
        <f>V81*1.5</f>
        <v>134.72999999999999</v>
      </c>
      <c r="Y135" s="369"/>
      <c r="AG135" s="443"/>
      <c r="AP135" s="407">
        <v>0.70799999999999996</v>
      </c>
      <c r="AQ135" s="368" t="s">
        <v>108</v>
      </c>
      <c r="AR135" s="356" t="s">
        <v>133</v>
      </c>
      <c r="AS135" s="370">
        <f>K40</f>
        <v>4212.3004000000001</v>
      </c>
      <c r="AT135" s="356" t="s">
        <v>108</v>
      </c>
      <c r="AU135" s="370">
        <f>(AP135*AS135)</f>
        <v>2982.3086831999999</v>
      </c>
      <c r="AW135" s="35">
        <f t="shared" si="21"/>
        <v>676.68584021807999</v>
      </c>
      <c r="AX135" s="35">
        <f t="shared" si="22"/>
        <v>2305.6228429819198</v>
      </c>
    </row>
    <row r="136" spans="1:50" ht="15.75">
      <c r="A136" s="396"/>
      <c r="B136" s="396"/>
      <c r="C136" s="396"/>
      <c r="D136" s="396"/>
      <c r="F136" s="356" t="s">
        <v>114</v>
      </c>
      <c r="H136" s="356" t="s">
        <v>919</v>
      </c>
      <c r="I136" s="411" t="s">
        <v>146</v>
      </c>
      <c r="K136" s="367">
        <f>ROUND(K135+C36,2)</f>
        <v>214.35</v>
      </c>
      <c r="S136" s="434" t="s">
        <v>114</v>
      </c>
      <c r="T136" s="358"/>
      <c r="U136" s="356" t="s">
        <v>919</v>
      </c>
      <c r="V136" s="411" t="s">
        <v>146</v>
      </c>
      <c r="W136" s="361"/>
      <c r="X136" s="367">
        <f>ROUND(X135+C36,2)</f>
        <v>147.38999999999999</v>
      </c>
      <c r="Y136" s="367"/>
      <c r="AG136" s="443"/>
      <c r="AP136" s="370">
        <v>1</v>
      </c>
      <c r="AQ136" s="368" t="s">
        <v>151</v>
      </c>
      <c r="AR136" s="356" t="s">
        <v>162</v>
      </c>
      <c r="AS136" s="370">
        <f>AS111</f>
        <v>1198.8</v>
      </c>
      <c r="AT136" s="356" t="s">
        <v>151</v>
      </c>
      <c r="AU136" s="370">
        <f>(AP136*AS136)</f>
        <v>1198.8</v>
      </c>
      <c r="AW136" s="35">
        <f t="shared" si="21"/>
        <v>272.00772000000001</v>
      </c>
      <c r="AX136" s="35">
        <f t="shared" si="22"/>
        <v>926.79227999999989</v>
      </c>
    </row>
    <row r="137" spans="1:50" ht="15.75">
      <c r="A137" s="396"/>
      <c r="B137" s="396"/>
      <c r="C137" s="396"/>
      <c r="D137" s="396"/>
      <c r="K137" s="363" t="s">
        <v>156</v>
      </c>
      <c r="T137" s="358"/>
      <c r="W137" s="361"/>
      <c r="X137" s="363" t="s">
        <v>156</v>
      </c>
      <c r="Y137" s="363"/>
      <c r="AG137" s="443"/>
      <c r="AP137" s="370">
        <v>3</v>
      </c>
      <c r="AQ137" s="368" t="s">
        <v>151</v>
      </c>
      <c r="AR137" s="356" t="s">
        <v>152</v>
      </c>
      <c r="AS137" s="370">
        <f>AS112</f>
        <v>1118.3999999999999</v>
      </c>
      <c r="AT137" s="356" t="s">
        <v>151</v>
      </c>
      <c r="AU137" s="370">
        <f>(AP137*AS137)</f>
        <v>3355.2</v>
      </c>
      <c r="AW137" s="35">
        <f t="shared" si="21"/>
        <v>761.29487999999992</v>
      </c>
      <c r="AX137" s="35">
        <f t="shared" si="22"/>
        <v>2593.9051199999999</v>
      </c>
    </row>
    <row r="138" spans="1:50" ht="15.75">
      <c r="A138" s="396"/>
      <c r="B138" s="396"/>
      <c r="C138" s="396"/>
      <c r="D138" s="396"/>
      <c r="H138" s="359" t="s">
        <v>164</v>
      </c>
      <c r="I138" s="411" t="s">
        <v>145</v>
      </c>
      <c r="K138" s="369">
        <f>C61*1.25</f>
        <v>168.07499999999999</v>
      </c>
      <c r="T138" s="358"/>
      <c r="U138" s="359" t="s">
        <v>920</v>
      </c>
      <c r="V138" s="411" t="s">
        <v>145</v>
      </c>
      <c r="W138" s="361"/>
      <c r="X138" s="369">
        <f>V81*1.25</f>
        <v>112.27499999999999</v>
      </c>
      <c r="Y138" s="369"/>
      <c r="AG138" s="443"/>
      <c r="AP138" s="370">
        <v>2</v>
      </c>
      <c r="AQ138" s="368" t="s">
        <v>151</v>
      </c>
      <c r="AR138" s="356" t="s">
        <v>153</v>
      </c>
      <c r="AS138" s="370">
        <f>AS113</f>
        <v>781.19999999999993</v>
      </c>
      <c r="AT138" s="356" t="s">
        <v>151</v>
      </c>
      <c r="AU138" s="370">
        <f>(AP138*AS138)</f>
        <v>1562.3999999999999</v>
      </c>
      <c r="AW138" s="35">
        <f t="shared" si="21"/>
        <v>354.50855999999999</v>
      </c>
      <c r="AX138" s="35">
        <f t="shared" si="22"/>
        <v>1207.8914399999999</v>
      </c>
    </row>
    <row r="139" spans="1:50" ht="15.75">
      <c r="A139" s="382">
        <f>(A93+1)</f>
        <v>80</v>
      </c>
      <c r="B139" s="385" t="s">
        <v>921</v>
      </c>
      <c r="C139" s="384">
        <f>AE30</f>
        <v>12097.86</v>
      </c>
      <c r="D139" s="447">
        <v>13.87</v>
      </c>
      <c r="E139" s="356" t="s">
        <v>114</v>
      </c>
      <c r="F139" s="357" t="s">
        <v>165</v>
      </c>
      <c r="G139" s="368" t="s">
        <v>122</v>
      </c>
      <c r="H139" s="356" t="s">
        <v>166</v>
      </c>
      <c r="M139" s="357" t="s">
        <v>165</v>
      </c>
      <c r="N139" s="368" t="s">
        <v>122</v>
      </c>
      <c r="O139" s="356" t="s">
        <v>166</v>
      </c>
      <c r="Q139" s="360"/>
      <c r="W139" s="361"/>
      <c r="AG139" s="443"/>
      <c r="AI139" s="356"/>
      <c r="AP139" s="370">
        <v>6</v>
      </c>
      <c r="AQ139" s="368" t="s">
        <v>151</v>
      </c>
      <c r="AR139" s="356" t="s">
        <v>154</v>
      </c>
      <c r="AS139" s="370">
        <f>AS114</f>
        <v>640.79999999999995</v>
      </c>
      <c r="AT139" s="356" t="s">
        <v>151</v>
      </c>
      <c r="AU139" s="370">
        <f>(AP139*AS139)</f>
        <v>3844.7999999999997</v>
      </c>
      <c r="AW139" s="35">
        <f t="shared" si="21"/>
        <v>872.38512000000003</v>
      </c>
      <c r="AX139" s="35">
        <f t="shared" si="22"/>
        <v>2972.4148799999998</v>
      </c>
    </row>
    <row r="140" spans="1:50" ht="15.75">
      <c r="A140" s="382">
        <f t="shared" ref="A140:A145" si="24">(A139+1)</f>
        <v>81</v>
      </c>
      <c r="B140" s="385" t="s">
        <v>922</v>
      </c>
      <c r="C140" s="384">
        <f>AE33</f>
        <v>58332.14</v>
      </c>
      <c r="D140" s="385" t="s">
        <v>124</v>
      </c>
      <c r="H140" s="356" t="s">
        <v>923</v>
      </c>
      <c r="N140" s="358"/>
      <c r="O140" s="356" t="s">
        <v>924</v>
      </c>
      <c r="Q140" s="360"/>
      <c r="W140" s="361"/>
      <c r="AG140" s="443"/>
      <c r="AI140" s="356"/>
      <c r="AQ140" s="368" t="s">
        <v>128</v>
      </c>
      <c r="AR140" s="356" t="s">
        <v>129</v>
      </c>
      <c r="AS140" s="356" t="s">
        <v>114</v>
      </c>
      <c r="AT140" s="356" t="s">
        <v>128</v>
      </c>
      <c r="AU140" s="370">
        <v>5</v>
      </c>
      <c r="AW140" s="35">
        <f t="shared" si="21"/>
        <v>1.1345000000000001</v>
      </c>
      <c r="AX140" s="35">
        <f t="shared" si="22"/>
        <v>3.8654999999999999</v>
      </c>
    </row>
    <row r="141" spans="1:50" ht="15.75">
      <c r="A141" s="382">
        <f t="shared" si="24"/>
        <v>82</v>
      </c>
      <c r="B141" s="385" t="s">
        <v>925</v>
      </c>
      <c r="C141" s="384">
        <f>AE32</f>
        <v>58332.14</v>
      </c>
      <c r="D141" s="385" t="s">
        <v>124</v>
      </c>
      <c r="H141" s="363" t="s">
        <v>117</v>
      </c>
      <c r="N141" s="358"/>
      <c r="O141" s="363" t="s">
        <v>117</v>
      </c>
      <c r="Q141" s="360"/>
      <c r="W141" s="361"/>
      <c r="AG141" s="443"/>
      <c r="AI141" s="356"/>
      <c r="AQ141" s="358"/>
      <c r="AT141" s="360"/>
      <c r="AU141" s="363" t="s">
        <v>117</v>
      </c>
      <c r="AW141" s="35" t="e">
        <f t="shared" si="21"/>
        <v>#VALUE!</v>
      </c>
      <c r="AX141" s="35" t="e">
        <f t="shared" si="22"/>
        <v>#VALUE!</v>
      </c>
    </row>
    <row r="142" spans="1:50" ht="15.75">
      <c r="A142" s="382">
        <f t="shared" si="24"/>
        <v>83</v>
      </c>
      <c r="B142" s="385" t="s">
        <v>926</v>
      </c>
      <c r="C142" s="384">
        <f>AE33</f>
        <v>58332.14</v>
      </c>
      <c r="D142" s="385" t="s">
        <v>124</v>
      </c>
      <c r="F142" s="370">
        <v>1</v>
      </c>
      <c r="G142" s="368" t="s">
        <v>108</v>
      </c>
      <c r="H142" s="356" t="s">
        <v>168</v>
      </c>
      <c r="I142" s="370">
        <f>I36</f>
        <v>1779.13</v>
      </c>
      <c r="J142" s="356" t="s">
        <v>108</v>
      </c>
      <c r="K142" s="370">
        <f>(F142*I142)</f>
        <v>1779.13</v>
      </c>
      <c r="M142" s="370">
        <v>1</v>
      </c>
      <c r="N142" s="368" t="s">
        <v>108</v>
      </c>
      <c r="O142" s="356" t="s">
        <v>913</v>
      </c>
      <c r="P142" s="370">
        <f>AE38</f>
        <v>778.59</v>
      </c>
      <c r="Q142" s="356" t="s">
        <v>108</v>
      </c>
      <c r="R142" s="370">
        <f>(M142*P142)</f>
        <v>778.59</v>
      </c>
      <c r="W142" s="361"/>
      <c r="AG142" s="443"/>
      <c r="AI142" s="356"/>
      <c r="AQ142" s="358"/>
      <c r="AR142" s="356" t="s">
        <v>143</v>
      </c>
      <c r="AT142" s="360"/>
      <c r="AU142" s="370">
        <f>SUM(AU134:AU140)</f>
        <v>22493.693683199999</v>
      </c>
      <c r="AW142" s="35">
        <f t="shared" si="21"/>
        <v>5103.8190967180799</v>
      </c>
      <c r="AX142" s="35">
        <f t="shared" si="22"/>
        <v>17389.874586481921</v>
      </c>
    </row>
    <row r="143" spans="1:50" ht="15.75">
      <c r="A143" s="382">
        <f t="shared" si="24"/>
        <v>84</v>
      </c>
      <c r="B143" s="385" t="s">
        <v>927</v>
      </c>
      <c r="C143" s="384">
        <f>AE38</f>
        <v>778.59</v>
      </c>
      <c r="D143" s="385" t="s">
        <v>108</v>
      </c>
      <c r="F143" s="370">
        <v>1</v>
      </c>
      <c r="G143" s="368" t="s">
        <v>108</v>
      </c>
      <c r="H143" s="356" t="s">
        <v>169</v>
      </c>
      <c r="I143" s="370">
        <f>C27</f>
        <v>41.04</v>
      </c>
      <c r="J143" s="356" t="s">
        <v>108</v>
      </c>
      <c r="K143" s="370">
        <f>(F143*I143)</f>
        <v>41.04</v>
      </c>
      <c r="M143" s="370">
        <v>1</v>
      </c>
      <c r="N143" s="368" t="s">
        <v>108</v>
      </c>
      <c r="O143" s="356" t="s">
        <v>169</v>
      </c>
      <c r="P143" s="370">
        <f>C26</f>
        <v>46.74</v>
      </c>
      <c r="Q143" s="356" t="s">
        <v>108</v>
      </c>
      <c r="R143" s="370">
        <f>(M143*P143)</f>
        <v>46.74</v>
      </c>
      <c r="W143" s="361"/>
      <c r="AG143" s="443"/>
      <c r="AI143" s="356"/>
      <c r="AQ143" s="358"/>
      <c r="AT143" s="360"/>
      <c r="AU143" s="363" t="s">
        <v>117</v>
      </c>
      <c r="AW143" s="35" t="e">
        <f t="shared" si="21"/>
        <v>#VALUE!</v>
      </c>
      <c r="AX143" s="35" t="e">
        <f t="shared" si="22"/>
        <v>#VALUE!</v>
      </c>
    </row>
    <row r="144" spans="1:50" ht="15.75">
      <c r="A144" s="382">
        <f t="shared" si="24"/>
        <v>85</v>
      </c>
      <c r="B144" s="385" t="s">
        <v>928</v>
      </c>
      <c r="C144" s="402">
        <v>43563.69</v>
      </c>
      <c r="D144" s="385" t="s">
        <v>124</v>
      </c>
      <c r="G144" s="368" t="s">
        <v>128</v>
      </c>
      <c r="H144" s="356" t="s">
        <v>129</v>
      </c>
      <c r="I144" s="356" t="s">
        <v>114</v>
      </c>
      <c r="J144" s="356" t="s">
        <v>128</v>
      </c>
      <c r="K144" s="370">
        <v>0</v>
      </c>
      <c r="N144" s="368" t="s">
        <v>128</v>
      </c>
      <c r="O144" s="356" t="s">
        <v>129</v>
      </c>
      <c r="P144" s="356" t="s">
        <v>114</v>
      </c>
      <c r="Q144" s="356" t="s">
        <v>128</v>
      </c>
      <c r="R144" s="370">
        <v>0</v>
      </c>
      <c r="W144" s="361"/>
      <c r="AG144" s="443"/>
      <c r="AI144" s="356"/>
      <c r="AQ144" s="358"/>
      <c r="AR144" s="356" t="s">
        <v>155</v>
      </c>
      <c r="AT144" s="360"/>
      <c r="AU144" s="370">
        <f>(AU142/2.83168)</f>
        <v>7943.5860277997508</v>
      </c>
      <c r="AW144" s="35">
        <f t="shared" si="21"/>
        <v>1802.3996697077635</v>
      </c>
      <c r="AX144" s="35">
        <f t="shared" si="22"/>
        <v>6141.1863580919871</v>
      </c>
    </row>
    <row r="145" spans="1:50" ht="15.75">
      <c r="A145" s="382">
        <f t="shared" si="24"/>
        <v>86</v>
      </c>
      <c r="B145" s="356" t="s">
        <v>929</v>
      </c>
      <c r="C145" s="395">
        <f>56.35*1000</f>
        <v>56350</v>
      </c>
      <c r="D145" s="385" t="s">
        <v>124</v>
      </c>
      <c r="E145" s="35">
        <v>5</v>
      </c>
      <c r="K145" s="363" t="s">
        <v>117</v>
      </c>
      <c r="N145" s="358"/>
      <c r="Q145" s="360"/>
      <c r="R145" s="363" t="s">
        <v>117</v>
      </c>
      <c r="W145" s="361"/>
      <c r="AG145" s="443"/>
      <c r="AI145" s="356"/>
      <c r="AQ145" s="358"/>
      <c r="AT145" s="360"/>
      <c r="AU145" s="363" t="s">
        <v>156</v>
      </c>
      <c r="AW145" s="35" t="e">
        <f t="shared" si="21"/>
        <v>#VALUE!</v>
      </c>
      <c r="AX145" s="35" t="e">
        <f t="shared" si="22"/>
        <v>#VALUE!</v>
      </c>
    </row>
    <row r="146" spans="1:50" ht="15.75">
      <c r="A146" s="396"/>
      <c r="B146" s="385" t="s">
        <v>114</v>
      </c>
      <c r="C146" s="396"/>
      <c r="D146" s="396"/>
      <c r="H146" s="356" t="s">
        <v>170</v>
      </c>
      <c r="K146" s="369">
        <f>SUM(K140:K144)</f>
        <v>1820.17</v>
      </c>
      <c r="N146" s="358"/>
      <c r="O146" s="356" t="s">
        <v>130</v>
      </c>
      <c r="Q146" s="360"/>
      <c r="R146" s="370">
        <f>SUM(R142:R144)</f>
        <v>825.33</v>
      </c>
      <c r="W146" s="361"/>
      <c r="AG146" s="443"/>
      <c r="AI146" s="356"/>
      <c r="AQ146" s="358"/>
      <c r="AT146" s="360"/>
      <c r="AW146" s="35">
        <f t="shared" si="21"/>
        <v>0</v>
      </c>
      <c r="AX146" s="35">
        <f t="shared" si="22"/>
        <v>0</v>
      </c>
    </row>
    <row r="147" spans="1:50" ht="15.75">
      <c r="A147" s="382">
        <f>(A145+1)</f>
        <v>87</v>
      </c>
      <c r="B147" s="385" t="s">
        <v>930</v>
      </c>
      <c r="C147" s="401">
        <v>7.5</v>
      </c>
      <c r="D147" s="385" t="s">
        <v>128</v>
      </c>
      <c r="K147" s="363" t="s">
        <v>117</v>
      </c>
      <c r="N147" s="358"/>
      <c r="O147" s="356" t="s">
        <v>931</v>
      </c>
      <c r="Q147" s="360"/>
      <c r="R147" s="363" t="s">
        <v>117</v>
      </c>
      <c r="W147" s="361"/>
      <c r="AG147" s="443"/>
      <c r="AI147" s="356"/>
      <c r="AQ147" s="368" t="s">
        <v>932</v>
      </c>
      <c r="AR147" s="356" t="s">
        <v>933</v>
      </c>
      <c r="AT147" s="360"/>
      <c r="AW147" s="35">
        <f t="shared" si="21"/>
        <v>0</v>
      </c>
      <c r="AX147" s="35">
        <f t="shared" si="22"/>
        <v>0</v>
      </c>
    </row>
    <row r="148" spans="1:50" ht="15.75">
      <c r="A148" s="396"/>
      <c r="B148" s="356" t="s">
        <v>934</v>
      </c>
      <c r="C148" s="402">
        <v>15.5</v>
      </c>
      <c r="D148" s="396"/>
      <c r="F148" s="357" t="s">
        <v>935</v>
      </c>
      <c r="G148" s="368" t="s">
        <v>122</v>
      </c>
      <c r="H148" s="356" t="s">
        <v>936</v>
      </c>
      <c r="W148" s="361"/>
      <c r="AG148" s="443"/>
      <c r="AQ148" s="358"/>
      <c r="AR148" s="363" t="s">
        <v>117</v>
      </c>
      <c r="AT148" s="360"/>
      <c r="AW148" s="35">
        <f t="shared" si="21"/>
        <v>0</v>
      </c>
      <c r="AX148" s="35">
        <f t="shared" si="22"/>
        <v>0</v>
      </c>
    </row>
    <row r="149" spans="1:50" ht="15.75">
      <c r="A149" s="382">
        <f>(A147+1)</f>
        <v>88</v>
      </c>
      <c r="B149" s="385" t="s">
        <v>937</v>
      </c>
      <c r="C149" s="402">
        <v>15.25</v>
      </c>
      <c r="D149" s="385" t="s">
        <v>213</v>
      </c>
      <c r="H149" s="356" t="s">
        <v>938</v>
      </c>
      <c r="M149" s="357" t="s">
        <v>165</v>
      </c>
      <c r="N149" s="368" t="s">
        <v>122</v>
      </c>
      <c r="O149" s="356" t="s">
        <v>166</v>
      </c>
      <c r="Q149" s="360"/>
      <c r="W149" s="361"/>
      <c r="AG149" s="443"/>
      <c r="AP149" s="370">
        <v>1.1000000000000001</v>
      </c>
      <c r="AQ149" s="368" t="s">
        <v>108</v>
      </c>
      <c r="AR149" s="356" t="s">
        <v>939</v>
      </c>
      <c r="AS149" s="370">
        <f>(AU144)</f>
        <v>7943.5860277997508</v>
      </c>
      <c r="AT149" s="356" t="s">
        <v>108</v>
      </c>
      <c r="AU149" s="381">
        <f>(AP149*AS149)</f>
        <v>8737.9446305797264</v>
      </c>
      <c r="AW149" s="35">
        <f t="shared" si="21"/>
        <v>1982.63963667854</v>
      </c>
      <c r="AX149" s="35">
        <f t="shared" si="22"/>
        <v>6755.3049939011862</v>
      </c>
    </row>
    <row r="150" spans="1:50" ht="15.75">
      <c r="A150" s="382">
        <f>(A149+1)</f>
        <v>89</v>
      </c>
      <c r="B150" s="356" t="s">
        <v>940</v>
      </c>
      <c r="C150" s="394">
        <v>145.19999999999999</v>
      </c>
      <c r="D150" s="385" t="s">
        <v>213</v>
      </c>
      <c r="H150" s="356" t="s">
        <v>941</v>
      </c>
      <c r="N150" s="358"/>
      <c r="O150" s="356" t="s">
        <v>942</v>
      </c>
      <c r="Q150" s="360"/>
      <c r="W150" s="361"/>
      <c r="AG150" s="443"/>
      <c r="AP150" s="370">
        <v>1</v>
      </c>
      <c r="AQ150" s="368" t="s">
        <v>223</v>
      </c>
      <c r="AR150" s="356" t="s">
        <v>162</v>
      </c>
      <c r="AS150" s="370">
        <f>AS136</f>
        <v>1198.8</v>
      </c>
      <c r="AT150" s="356" t="s">
        <v>151</v>
      </c>
      <c r="AU150" s="381">
        <f>(AP150*AS150)</f>
        <v>1198.8</v>
      </c>
      <c r="AW150" s="35">
        <f t="shared" si="21"/>
        <v>272.00772000000001</v>
      </c>
      <c r="AX150" s="35">
        <f t="shared" si="22"/>
        <v>926.79227999999989</v>
      </c>
    </row>
    <row r="151" spans="1:50" ht="15.75">
      <c r="A151" s="396"/>
      <c r="B151" s="396" t="s">
        <v>943</v>
      </c>
      <c r="C151" s="448">
        <v>43.2</v>
      </c>
      <c r="D151" s="396" t="s">
        <v>213</v>
      </c>
      <c r="H151" s="356" t="s">
        <v>944</v>
      </c>
      <c r="N151" s="358"/>
      <c r="O151" s="363" t="s">
        <v>117</v>
      </c>
      <c r="Q151" s="360"/>
      <c r="W151" s="361"/>
      <c r="AG151" s="443"/>
      <c r="AQ151" s="368" t="s">
        <v>128</v>
      </c>
      <c r="AR151" s="356" t="s">
        <v>129</v>
      </c>
      <c r="AS151" s="356" t="s">
        <v>114</v>
      </c>
      <c r="AT151" s="356" t="s">
        <v>128</v>
      </c>
      <c r="AU151" s="381">
        <v>0</v>
      </c>
      <c r="AW151" s="35">
        <f t="shared" si="21"/>
        <v>0</v>
      </c>
      <c r="AX151" s="35">
        <f t="shared" si="22"/>
        <v>0</v>
      </c>
    </row>
    <row r="152" spans="1:50" ht="15.75">
      <c r="A152" s="396"/>
      <c r="B152" s="396"/>
      <c r="C152" s="396"/>
      <c r="D152" s="396"/>
      <c r="H152" s="356" t="s">
        <v>945</v>
      </c>
      <c r="M152" s="370">
        <v>1</v>
      </c>
      <c r="N152" s="368" t="s">
        <v>108</v>
      </c>
      <c r="O152" s="356" t="s">
        <v>946</v>
      </c>
      <c r="P152" s="370">
        <f>AE43</f>
        <v>375.15999999999997</v>
      </c>
      <c r="Q152" s="356" t="s">
        <v>108</v>
      </c>
      <c r="R152" s="370">
        <f>(M152*P152)</f>
        <v>375.15999999999997</v>
      </c>
      <c r="W152" s="361"/>
      <c r="AG152" s="443"/>
      <c r="AQ152" s="358"/>
      <c r="AT152" s="360"/>
      <c r="AU152" s="449" t="s">
        <v>117</v>
      </c>
      <c r="AW152" s="35" t="e">
        <f t="shared" si="21"/>
        <v>#VALUE!</v>
      </c>
      <c r="AX152" s="35" t="e">
        <f t="shared" si="22"/>
        <v>#VALUE!</v>
      </c>
    </row>
    <row r="153" spans="1:50" ht="15.75">
      <c r="A153" s="396"/>
      <c r="B153" s="396"/>
      <c r="C153" s="396"/>
      <c r="D153" s="396"/>
      <c r="H153" s="363" t="s">
        <v>117</v>
      </c>
      <c r="M153" s="370">
        <v>1</v>
      </c>
      <c r="N153" s="368" t="s">
        <v>108</v>
      </c>
      <c r="O153" s="356" t="s">
        <v>169</v>
      </c>
      <c r="P153" s="370">
        <f>AG28</f>
        <v>46.74</v>
      </c>
      <c r="Q153" s="356" t="s">
        <v>108</v>
      </c>
      <c r="R153" s="370">
        <f>(M153*P153)</f>
        <v>46.74</v>
      </c>
      <c r="W153" s="361"/>
      <c r="AG153" s="443"/>
      <c r="AQ153" s="358"/>
      <c r="AR153" s="356" t="s">
        <v>176</v>
      </c>
      <c r="AT153" s="360"/>
      <c r="AU153" s="369">
        <f>SUM(AU149:AU151)</f>
        <v>9936.7446305797257</v>
      </c>
      <c r="AW153" s="35">
        <f t="shared" si="21"/>
        <v>2254.6473566785398</v>
      </c>
      <c r="AX153" s="35">
        <f t="shared" si="22"/>
        <v>7682.0972739011859</v>
      </c>
    </row>
    <row r="154" spans="1:50" ht="15.75">
      <c r="A154" s="396"/>
      <c r="B154" s="396"/>
      <c r="C154" s="396"/>
      <c r="D154" s="396"/>
      <c r="F154" s="370">
        <v>0.7</v>
      </c>
      <c r="G154" s="368" t="s">
        <v>108</v>
      </c>
      <c r="H154" s="356" t="s">
        <v>711</v>
      </c>
      <c r="I154" s="370">
        <f>C79</f>
        <v>1779.13</v>
      </c>
      <c r="J154" s="356" t="s">
        <v>108</v>
      </c>
      <c r="K154" s="370">
        <f t="shared" ref="K154:K161" si="25">(F154*I154)</f>
        <v>1245.3910000000001</v>
      </c>
      <c r="N154" s="368" t="s">
        <v>128</v>
      </c>
      <c r="O154" s="356" t="s">
        <v>129</v>
      </c>
      <c r="P154" s="356" t="s">
        <v>114</v>
      </c>
      <c r="Q154" s="356" t="s">
        <v>128</v>
      </c>
      <c r="R154" s="370">
        <v>0</v>
      </c>
      <c r="W154" s="361"/>
      <c r="AG154" s="443"/>
      <c r="AQ154" s="358"/>
      <c r="AT154" s="360"/>
      <c r="AU154" s="449" t="s">
        <v>117</v>
      </c>
      <c r="AW154" s="35" t="e">
        <f t="shared" si="21"/>
        <v>#VALUE!</v>
      </c>
      <c r="AX154" s="35" t="e">
        <f t="shared" si="22"/>
        <v>#VALUE!</v>
      </c>
    </row>
    <row r="155" spans="1:50" ht="15.75">
      <c r="A155" s="396"/>
      <c r="B155" s="396"/>
      <c r="C155" s="396"/>
      <c r="D155" s="396"/>
      <c r="F155" s="370">
        <v>0.7</v>
      </c>
      <c r="G155" s="368" t="s">
        <v>108</v>
      </c>
      <c r="H155" s="450" t="s">
        <v>947</v>
      </c>
      <c r="I155" s="451">
        <f>C814</f>
        <v>3.15</v>
      </c>
      <c r="J155" s="356" t="s">
        <v>108</v>
      </c>
      <c r="K155" s="370">
        <f t="shared" si="25"/>
        <v>2.2049999999999996</v>
      </c>
      <c r="N155" s="358"/>
      <c r="Q155" s="360"/>
      <c r="R155" s="363" t="s">
        <v>117</v>
      </c>
      <c r="W155" s="361"/>
      <c r="AG155" s="443"/>
      <c r="AQ155" s="358"/>
      <c r="AR155" s="356" t="s">
        <v>177</v>
      </c>
      <c r="AT155" s="360"/>
      <c r="AU155" s="381">
        <f>(AU153/10)</f>
        <v>993.67446305797262</v>
      </c>
      <c r="AW155" s="35">
        <f t="shared" si="21"/>
        <v>225.464735667854</v>
      </c>
      <c r="AX155" s="35">
        <f t="shared" si="22"/>
        <v>768.20972739011859</v>
      </c>
    </row>
    <row r="156" spans="1:50" ht="15.75">
      <c r="A156" s="396"/>
      <c r="B156" s="396"/>
      <c r="C156" s="396"/>
      <c r="D156" s="396"/>
      <c r="F156" s="370">
        <v>0.72</v>
      </c>
      <c r="G156" s="368" t="s">
        <v>108</v>
      </c>
      <c r="H156" s="356" t="s">
        <v>948</v>
      </c>
      <c r="I156" s="370">
        <f>C35</f>
        <v>778.59</v>
      </c>
      <c r="J156" s="356" t="s">
        <v>108</v>
      </c>
      <c r="K156" s="370">
        <f t="shared" si="25"/>
        <v>560.58479999999997</v>
      </c>
      <c r="N156" s="358"/>
      <c r="O156" s="356" t="s">
        <v>130</v>
      </c>
      <c r="Q156" s="360"/>
      <c r="R156" s="370">
        <f>SUM(R152:R154)</f>
        <v>421.9</v>
      </c>
      <c r="W156" s="361"/>
      <c r="AG156" s="443"/>
      <c r="AQ156" s="358"/>
      <c r="AT156" s="360"/>
      <c r="AU156" s="449" t="s">
        <v>156</v>
      </c>
      <c r="AW156" s="35" t="e">
        <f t="shared" si="21"/>
        <v>#VALUE!</v>
      </c>
      <c r="AX156" s="35" t="e">
        <f t="shared" si="22"/>
        <v>#VALUE!</v>
      </c>
    </row>
    <row r="157" spans="1:50" ht="15.75">
      <c r="A157" s="396"/>
      <c r="B157" s="396"/>
      <c r="C157" s="396"/>
      <c r="D157" s="396"/>
      <c r="F157" s="370">
        <v>0.72</v>
      </c>
      <c r="G157" s="368" t="s">
        <v>108</v>
      </c>
      <c r="H157" s="450" t="s">
        <v>947</v>
      </c>
      <c r="I157" s="451">
        <f>C814</f>
        <v>3.15</v>
      </c>
      <c r="J157" s="356" t="s">
        <v>108</v>
      </c>
      <c r="K157" s="370">
        <f t="shared" si="25"/>
        <v>2.2679999999999998</v>
      </c>
      <c r="N157" s="358"/>
      <c r="O157" s="356" t="s">
        <v>931</v>
      </c>
      <c r="Q157" s="360"/>
      <c r="R157" s="363" t="s">
        <v>117</v>
      </c>
      <c r="W157" s="361"/>
      <c r="AG157" s="443"/>
      <c r="AQ157" s="358"/>
      <c r="AR157" s="356" t="s">
        <v>172</v>
      </c>
      <c r="AT157" s="360">
        <f>AU157-AU155</f>
        <v>10.414800000000014</v>
      </c>
      <c r="AU157" s="369">
        <f>(AU155+C19/10*AP149)</f>
        <v>1004.0892630579726</v>
      </c>
      <c r="AV157" s="35">
        <f>AU155-AU157</f>
        <v>-10.414800000000014</v>
      </c>
      <c r="AW157" s="35">
        <f t="shared" si="21"/>
        <v>227.827853787854</v>
      </c>
      <c r="AX157" s="35">
        <f t="shared" si="22"/>
        <v>776.26140927011863</v>
      </c>
    </row>
    <row r="158" spans="1:50" ht="15.75">
      <c r="A158" s="396"/>
      <c r="B158" s="396"/>
      <c r="C158" s="396"/>
      <c r="D158" s="396"/>
      <c r="F158" s="370">
        <v>1</v>
      </c>
      <c r="G158" s="368" t="s">
        <v>108</v>
      </c>
      <c r="H158" s="356" t="s">
        <v>721</v>
      </c>
      <c r="I158" s="370">
        <f>C18</f>
        <v>139.19999999999999</v>
      </c>
      <c r="J158" s="356" t="s">
        <v>108</v>
      </c>
      <c r="K158" s="370">
        <f t="shared" si="25"/>
        <v>139.19999999999999</v>
      </c>
      <c r="W158" s="361"/>
      <c r="AG158" s="443"/>
      <c r="AQ158" s="358"/>
      <c r="AR158" s="356" t="s">
        <v>873</v>
      </c>
      <c r="AT158" s="360">
        <f>AU158-AU157</f>
        <v>21.014400000000023</v>
      </c>
      <c r="AU158" s="369">
        <f>(AU157+C20/10*AP149)</f>
        <v>1025.1036630579727</v>
      </c>
      <c r="AV158" s="35">
        <f>AU158-AU157</f>
        <v>21.014400000000023</v>
      </c>
      <c r="AW158" s="35">
        <f t="shared" si="21"/>
        <v>232.596021147854</v>
      </c>
      <c r="AX158" s="35">
        <f t="shared" si="22"/>
        <v>792.50764191011865</v>
      </c>
    </row>
    <row r="159" spans="1:50" ht="15.75">
      <c r="A159" s="396"/>
      <c r="B159" s="396"/>
      <c r="C159" s="396"/>
      <c r="D159" s="396"/>
      <c r="F159" s="370">
        <v>1</v>
      </c>
      <c r="G159" s="368" t="s">
        <v>108</v>
      </c>
      <c r="H159" s="450" t="s">
        <v>949</v>
      </c>
      <c r="I159" s="452">
        <f>C148</f>
        <v>15.5</v>
      </c>
      <c r="J159" s="356" t="s">
        <v>108</v>
      </c>
      <c r="K159" s="370">
        <f t="shared" si="25"/>
        <v>15.5</v>
      </c>
      <c r="W159" s="361"/>
      <c r="AG159" s="443"/>
      <c r="AQ159" s="358"/>
      <c r="AR159" s="356" t="s">
        <v>876</v>
      </c>
      <c r="AT159" s="360">
        <f>AU159-AU158</f>
        <v>21.014400000000023</v>
      </c>
      <c r="AU159" s="369">
        <f>(AU158+C21/10*AP149)</f>
        <v>1046.1180630579727</v>
      </c>
      <c r="AW159" s="35">
        <f t="shared" si="21"/>
        <v>237.36418850785401</v>
      </c>
      <c r="AX159" s="35">
        <f t="shared" si="22"/>
        <v>808.75387455011867</v>
      </c>
    </row>
    <row r="160" spans="1:50" ht="15.75">
      <c r="A160" s="396"/>
      <c r="B160" s="396"/>
      <c r="C160" s="396"/>
      <c r="D160" s="396"/>
      <c r="H160" s="356" t="s">
        <v>950</v>
      </c>
      <c r="K160" s="370"/>
      <c r="W160" s="361"/>
      <c r="AG160" s="443"/>
      <c r="AQ160" s="358"/>
      <c r="AR160" s="356" t="s">
        <v>878</v>
      </c>
      <c r="AT160" s="360">
        <f>AU160-AU159</f>
        <v>21.014400000000023</v>
      </c>
      <c r="AU160" s="369">
        <f>(AU159+C21/10*AP149)</f>
        <v>1067.1324630579727</v>
      </c>
      <c r="AW160" s="35">
        <f t="shared" si="21"/>
        <v>242.13235586785402</v>
      </c>
      <c r="AX160" s="35">
        <f t="shared" si="22"/>
        <v>825.00010719011868</v>
      </c>
    </row>
    <row r="161" spans="1:50" ht="15.75">
      <c r="A161" s="396"/>
      <c r="B161" s="396"/>
      <c r="C161" s="396"/>
      <c r="D161" s="396"/>
      <c r="G161" s="368" t="s">
        <v>128</v>
      </c>
      <c r="H161" s="356" t="s">
        <v>129</v>
      </c>
      <c r="I161" s="356" t="s">
        <v>114</v>
      </c>
      <c r="J161" s="356" t="s">
        <v>128</v>
      </c>
      <c r="K161" s="370" t="e">
        <f t="shared" si="25"/>
        <v>#VALUE!</v>
      </c>
      <c r="W161" s="361"/>
      <c r="AG161" s="443"/>
      <c r="AQ161" s="358"/>
      <c r="AR161" s="356" t="s">
        <v>951</v>
      </c>
      <c r="AT161" s="360">
        <f>AU161-AU160</f>
        <v>21.014400000000023</v>
      </c>
      <c r="AU161" s="369">
        <f>(AU160+C21/10*AP149)</f>
        <v>1088.1468630579727</v>
      </c>
      <c r="AW161" s="35">
        <f t="shared" si="21"/>
        <v>246.90052322785402</v>
      </c>
      <c r="AX161" s="35">
        <f t="shared" si="22"/>
        <v>841.2463398301187</v>
      </c>
    </row>
    <row r="162" spans="1:50" ht="15.75">
      <c r="A162" s="396"/>
      <c r="B162" s="396"/>
      <c r="C162" s="396"/>
      <c r="D162" s="396"/>
      <c r="K162" s="363" t="s">
        <v>117</v>
      </c>
      <c r="M162" s="357" t="s">
        <v>147</v>
      </c>
      <c r="N162" s="368" t="s">
        <v>122</v>
      </c>
      <c r="O162" s="356" t="s">
        <v>952</v>
      </c>
      <c r="Q162" s="360"/>
      <c r="W162" s="361"/>
      <c r="AG162" s="443"/>
      <c r="AP162" s="453">
        <v>11</v>
      </c>
      <c r="AQ162" s="454" t="s">
        <v>122</v>
      </c>
      <c r="AR162" s="359" t="s">
        <v>953</v>
      </c>
      <c r="AS162" s="411"/>
      <c r="AT162" s="436"/>
      <c r="AU162" s="411"/>
      <c r="AW162" s="35">
        <f t="shared" si="21"/>
        <v>0</v>
      </c>
      <c r="AX162" s="35">
        <f t="shared" si="22"/>
        <v>0</v>
      </c>
    </row>
    <row r="163" spans="1:50" ht="15.75">
      <c r="A163" s="396"/>
      <c r="B163" s="396"/>
      <c r="C163" s="396"/>
      <c r="D163" s="396"/>
      <c r="H163" s="372" t="s">
        <v>170</v>
      </c>
      <c r="K163" s="369" t="e">
        <f>SUM(K154:K161)</f>
        <v>#VALUE!</v>
      </c>
      <c r="N163" s="358"/>
      <c r="O163" s="356" t="s">
        <v>149</v>
      </c>
      <c r="Q163" s="360"/>
      <c r="W163" s="361"/>
      <c r="AG163" s="443"/>
      <c r="AP163" s="411"/>
      <c r="AQ163" s="455"/>
      <c r="AR163" s="369" t="str">
        <f>AR61</f>
        <v>Bricks of size 23x11x7 cm</v>
      </c>
      <c r="AS163" s="411"/>
      <c r="AT163" s="436"/>
      <c r="AU163" s="411"/>
      <c r="AW163" s="35">
        <f t="shared" si="21"/>
        <v>0</v>
      </c>
      <c r="AX163" s="35">
        <f t="shared" si="22"/>
        <v>0</v>
      </c>
    </row>
    <row r="164" spans="1:50" ht="15.75">
      <c r="A164" s="396"/>
      <c r="B164" s="396"/>
      <c r="C164" s="396"/>
      <c r="D164" s="396"/>
      <c r="K164" s="363" t="s">
        <v>117</v>
      </c>
      <c r="N164" s="358"/>
      <c r="O164" s="363" t="s">
        <v>117</v>
      </c>
      <c r="Q164" s="360"/>
      <c r="W164" s="361"/>
      <c r="AG164" s="443"/>
      <c r="AQ164" s="358"/>
      <c r="AR164" s="363" t="s">
        <v>117</v>
      </c>
      <c r="AT164" s="360"/>
      <c r="AW164" s="35">
        <f t="shared" si="21"/>
        <v>0</v>
      </c>
      <c r="AX164" s="35">
        <f t="shared" si="22"/>
        <v>0</v>
      </c>
    </row>
    <row r="165" spans="1:50" ht="15.75">
      <c r="A165" s="396"/>
      <c r="B165" s="396"/>
      <c r="C165" s="396"/>
      <c r="D165" s="396"/>
      <c r="H165" s="356" t="s">
        <v>114</v>
      </c>
      <c r="K165" s="356" t="s">
        <v>114</v>
      </c>
      <c r="M165" s="370">
        <v>9</v>
      </c>
      <c r="N165" s="368" t="s">
        <v>108</v>
      </c>
      <c r="O165" s="356" t="s">
        <v>150</v>
      </c>
      <c r="P165" s="370">
        <f>I197</f>
        <v>1460.08</v>
      </c>
      <c r="Q165" s="356" t="s">
        <v>108</v>
      </c>
      <c r="R165" s="370">
        <f>(M165*P165)</f>
        <v>13140.72</v>
      </c>
      <c r="W165" s="361"/>
      <c r="AG165" s="443"/>
      <c r="AP165" s="370">
        <f>AP63</f>
        <v>1300</v>
      </c>
      <c r="AQ165" s="368" t="s">
        <v>160</v>
      </c>
      <c r="AR165" s="370" t="str">
        <f>AR61</f>
        <v>Bricks of size 23x11x7 cm</v>
      </c>
      <c r="AS165" s="370">
        <f>AE45</f>
        <v>7342.45</v>
      </c>
      <c r="AT165" s="356" t="s">
        <v>954</v>
      </c>
      <c r="AU165" s="370">
        <f>(AP165*AS165)/1000</f>
        <v>9545.1849999999995</v>
      </c>
      <c r="AW165" s="35">
        <f t="shared" si="21"/>
        <v>2165.8024765</v>
      </c>
      <c r="AX165" s="35">
        <f t="shared" si="22"/>
        <v>7379.3825234999995</v>
      </c>
    </row>
    <row r="166" spans="1:50" ht="15.75">
      <c r="A166" s="396"/>
      <c r="B166" s="396"/>
      <c r="C166" s="396"/>
      <c r="D166" s="396"/>
      <c r="K166" s="356" t="s">
        <v>114</v>
      </c>
      <c r="M166" s="370">
        <v>4.5</v>
      </c>
      <c r="N166" s="368" t="s">
        <v>108</v>
      </c>
      <c r="O166" s="356" t="s">
        <v>133</v>
      </c>
      <c r="P166" s="370">
        <f>K40</f>
        <v>4212.3004000000001</v>
      </c>
      <c r="Q166" s="356" t="s">
        <v>108</v>
      </c>
      <c r="R166" s="370">
        <f>(M166*P166)</f>
        <v>18955.3518</v>
      </c>
      <c r="W166" s="361"/>
      <c r="AG166" s="443"/>
      <c r="AP166" s="407">
        <f>AP135</f>
        <v>0.70799999999999996</v>
      </c>
      <c r="AQ166" s="368" t="s">
        <v>108</v>
      </c>
      <c r="AR166" s="356" t="s">
        <v>133</v>
      </c>
      <c r="AS166" s="370">
        <f>AS135</f>
        <v>4212.3004000000001</v>
      </c>
      <c r="AT166" s="356" t="s">
        <v>108</v>
      </c>
      <c r="AU166" s="370">
        <f>(AP166*AS166)</f>
        <v>2982.3086831999999</v>
      </c>
      <c r="AW166" s="35">
        <f t="shared" ref="AW166:AW219" si="26">AU166*22.69/100</f>
        <v>676.68584021807999</v>
      </c>
      <c r="AX166" s="35">
        <f t="shared" ref="AX166:AX219" si="27">AU166-AW166</f>
        <v>2305.6228429819198</v>
      </c>
    </row>
    <row r="167" spans="1:50" ht="15.75">
      <c r="A167" s="456">
        <v>2.2999999999999998</v>
      </c>
      <c r="B167" s="414" t="s">
        <v>955</v>
      </c>
      <c r="C167" s="457">
        <f>AE19+K170</f>
        <v>1117.18</v>
      </c>
      <c r="D167" s="396"/>
      <c r="F167" s="412">
        <v>2.6</v>
      </c>
      <c r="G167" s="368" t="s">
        <v>122</v>
      </c>
      <c r="H167" s="356" t="s">
        <v>421</v>
      </c>
      <c r="M167" s="370">
        <v>1.8</v>
      </c>
      <c r="N167" s="368" t="s">
        <v>151</v>
      </c>
      <c r="O167" s="356" t="s">
        <v>152</v>
      </c>
      <c r="P167" s="370">
        <f>I199</f>
        <v>1118.3999999999999</v>
      </c>
      <c r="Q167" s="356" t="s">
        <v>151</v>
      </c>
      <c r="R167" s="370">
        <f>(M167*P167)</f>
        <v>2013.12</v>
      </c>
      <c r="W167" s="361"/>
      <c r="AG167" s="443"/>
      <c r="AP167" s="370">
        <v>1</v>
      </c>
      <c r="AQ167" s="368" t="s">
        <v>151</v>
      </c>
      <c r="AR167" s="356" t="s">
        <v>162</v>
      </c>
      <c r="AS167" s="370">
        <f>AS136</f>
        <v>1198.8</v>
      </c>
      <c r="AT167" s="356" t="s">
        <v>151</v>
      </c>
      <c r="AU167" s="370">
        <f>(AP167*AS167)</f>
        <v>1198.8</v>
      </c>
      <c r="AW167" s="35">
        <f t="shared" si="26"/>
        <v>272.00772000000001</v>
      </c>
      <c r="AX167" s="35">
        <f t="shared" si="27"/>
        <v>926.79227999999989</v>
      </c>
    </row>
    <row r="168" spans="1:50" ht="15.75">
      <c r="A168" s="456">
        <v>2.4</v>
      </c>
      <c r="B168" s="414" t="s">
        <v>956</v>
      </c>
      <c r="C168" s="457">
        <f>AE20+K170</f>
        <v>1198.1799999999998</v>
      </c>
      <c r="D168" s="396"/>
      <c r="H168" s="363" t="s">
        <v>117</v>
      </c>
      <c r="M168" s="370">
        <v>17.7</v>
      </c>
      <c r="N168" s="368" t="s">
        <v>151</v>
      </c>
      <c r="O168" s="356" t="s">
        <v>153</v>
      </c>
      <c r="P168" s="370">
        <f>I200</f>
        <v>781.19999999999993</v>
      </c>
      <c r="Q168" s="356" t="s">
        <v>151</v>
      </c>
      <c r="R168" s="370">
        <f>(M168*P168)</f>
        <v>13827.239999999998</v>
      </c>
      <c r="W168" s="361"/>
      <c r="AG168" s="443"/>
      <c r="AP168" s="370">
        <v>3</v>
      </c>
      <c r="AQ168" s="368" t="s">
        <v>151</v>
      </c>
      <c r="AR168" s="356" t="s">
        <v>152</v>
      </c>
      <c r="AS168" s="370">
        <f>AS137</f>
        <v>1118.3999999999999</v>
      </c>
      <c r="AT168" s="356" t="s">
        <v>151</v>
      </c>
      <c r="AU168" s="370">
        <f>(AP168*AS168)</f>
        <v>3355.2</v>
      </c>
      <c r="AW168" s="35">
        <f t="shared" si="26"/>
        <v>761.29487999999992</v>
      </c>
      <c r="AX168" s="35">
        <f t="shared" si="27"/>
        <v>2593.9051199999999</v>
      </c>
    </row>
    <row r="169" spans="1:50" ht="15.75">
      <c r="A169" s="396"/>
      <c r="B169" s="396"/>
      <c r="C169" s="396"/>
      <c r="D169" s="396"/>
      <c r="F169" s="370">
        <v>1</v>
      </c>
      <c r="G169" s="368" t="s">
        <v>108</v>
      </c>
      <c r="H169" s="356" t="s">
        <v>422</v>
      </c>
      <c r="I169" s="370">
        <f>AE15</f>
        <v>1460.08</v>
      </c>
      <c r="J169" s="356" t="s">
        <v>108</v>
      </c>
      <c r="K169" s="370">
        <f>(F169*I169)</f>
        <v>1460.08</v>
      </c>
      <c r="M169" s="370">
        <v>14.1</v>
      </c>
      <c r="N169" s="368" t="s">
        <v>151</v>
      </c>
      <c r="O169" s="356" t="s">
        <v>154</v>
      </c>
      <c r="P169" s="370">
        <f>I201</f>
        <v>640.79999999999995</v>
      </c>
      <c r="Q169" s="356" t="s">
        <v>151</v>
      </c>
      <c r="R169" s="370">
        <f>(M169*P169)</f>
        <v>9035.2799999999988</v>
      </c>
      <c r="W169" s="361"/>
      <c r="AG169" s="443"/>
      <c r="AP169" s="370">
        <v>2</v>
      </c>
      <c r="AQ169" s="368" t="s">
        <v>151</v>
      </c>
      <c r="AR169" s="356" t="s">
        <v>153</v>
      </c>
      <c r="AS169" s="370">
        <f>AS138</f>
        <v>781.19999999999993</v>
      </c>
      <c r="AT169" s="356" t="s">
        <v>151</v>
      </c>
      <c r="AU169" s="370">
        <f>(AP169*AS169)</f>
        <v>1562.3999999999999</v>
      </c>
      <c r="AW169" s="35">
        <f t="shared" si="26"/>
        <v>354.50855999999999</v>
      </c>
      <c r="AX169" s="35">
        <f t="shared" si="27"/>
        <v>1207.8914399999999</v>
      </c>
    </row>
    <row r="170" spans="1:50" ht="15.75">
      <c r="A170" s="396"/>
      <c r="B170" s="396"/>
      <c r="C170" s="396"/>
      <c r="D170" s="396"/>
      <c r="F170" s="370">
        <v>1</v>
      </c>
      <c r="G170" s="368" t="s">
        <v>108</v>
      </c>
      <c r="H170" s="356" t="s">
        <v>169</v>
      </c>
      <c r="I170" s="370">
        <f>C26</f>
        <v>46.74</v>
      </c>
      <c r="J170" s="356" t="s">
        <v>108</v>
      </c>
      <c r="K170" s="370">
        <f>(F170*I170)</f>
        <v>46.74</v>
      </c>
      <c r="N170" s="368" t="s">
        <v>128</v>
      </c>
      <c r="O170" s="356" t="s">
        <v>129</v>
      </c>
      <c r="Q170" s="356" t="s">
        <v>128</v>
      </c>
      <c r="R170" s="370">
        <v>0</v>
      </c>
      <c r="W170" s="361"/>
      <c r="AG170" s="443"/>
      <c r="AP170" s="370">
        <v>6</v>
      </c>
      <c r="AQ170" s="368" t="s">
        <v>151</v>
      </c>
      <c r="AR170" s="356" t="s">
        <v>154</v>
      </c>
      <c r="AS170" s="370">
        <f>AS139</f>
        <v>640.79999999999995</v>
      </c>
      <c r="AT170" s="356" t="s">
        <v>151</v>
      </c>
      <c r="AU170" s="370">
        <f>(AP170*AS170)</f>
        <v>3844.7999999999997</v>
      </c>
      <c r="AW170" s="35">
        <f t="shared" si="26"/>
        <v>872.38512000000003</v>
      </c>
      <c r="AX170" s="35">
        <f t="shared" si="27"/>
        <v>2972.4148799999998</v>
      </c>
    </row>
    <row r="171" spans="1:50" ht="15.75">
      <c r="A171" s="396"/>
      <c r="B171" s="396"/>
      <c r="C171" s="396"/>
      <c r="D171" s="396"/>
      <c r="G171" s="368" t="s">
        <v>128</v>
      </c>
      <c r="H171" s="356" t="s">
        <v>129</v>
      </c>
      <c r="I171" s="356" t="s">
        <v>114</v>
      </c>
      <c r="J171" s="356" t="s">
        <v>128</v>
      </c>
      <c r="K171" s="370">
        <v>0</v>
      </c>
      <c r="N171" s="358"/>
      <c r="Q171" s="360"/>
      <c r="R171" s="363" t="s">
        <v>117</v>
      </c>
      <c r="W171" s="361"/>
      <c r="AG171" s="443"/>
      <c r="AQ171" s="368" t="s">
        <v>128</v>
      </c>
      <c r="AR171" s="356" t="s">
        <v>129</v>
      </c>
      <c r="AS171" s="356" t="s">
        <v>114</v>
      </c>
      <c r="AT171" s="356" t="s">
        <v>128</v>
      </c>
      <c r="AU171" s="370">
        <v>5</v>
      </c>
      <c r="AW171" s="35">
        <f t="shared" si="26"/>
        <v>1.1345000000000001</v>
      </c>
      <c r="AX171" s="35">
        <f t="shared" si="27"/>
        <v>3.8654999999999999</v>
      </c>
    </row>
    <row r="172" spans="1:50" ht="15.75">
      <c r="A172" s="396"/>
      <c r="B172" s="396"/>
      <c r="C172" s="396"/>
      <c r="D172" s="396"/>
      <c r="K172" s="363" t="s">
        <v>117</v>
      </c>
      <c r="N172" s="358"/>
      <c r="Q172" s="360"/>
      <c r="R172" s="370">
        <f>SUM(R165:R170)</f>
        <v>56971.711799999997</v>
      </c>
      <c r="W172" s="361"/>
      <c r="AG172" s="443"/>
      <c r="AQ172" s="358"/>
      <c r="AT172" s="360"/>
      <c r="AU172" s="363" t="s">
        <v>117</v>
      </c>
      <c r="AW172" s="35" t="e">
        <f t="shared" si="26"/>
        <v>#VALUE!</v>
      </c>
      <c r="AX172" s="35" t="e">
        <f t="shared" si="27"/>
        <v>#VALUE!</v>
      </c>
    </row>
    <row r="173" spans="1:50" ht="15.75">
      <c r="A173" s="396"/>
      <c r="B173" s="396"/>
      <c r="C173" s="396"/>
      <c r="D173" s="396"/>
      <c r="H173" s="372" t="s">
        <v>170</v>
      </c>
      <c r="K173" s="369">
        <f>SUM(K168:K171)</f>
        <v>1506.82</v>
      </c>
      <c r="N173" s="358"/>
      <c r="O173" s="458" t="s">
        <v>143</v>
      </c>
      <c r="Q173" s="360"/>
      <c r="R173" s="363" t="s">
        <v>117</v>
      </c>
      <c r="W173" s="361"/>
      <c r="AG173" s="443"/>
      <c r="AQ173" s="358"/>
      <c r="AR173" s="356" t="s">
        <v>143</v>
      </c>
      <c r="AT173" s="360"/>
      <c r="AU173" s="370">
        <f>SUM(AU165:AU171)</f>
        <v>22493.693683199999</v>
      </c>
      <c r="AW173" s="35">
        <f t="shared" si="26"/>
        <v>5103.8190967180799</v>
      </c>
      <c r="AX173" s="35">
        <f t="shared" si="27"/>
        <v>17389.874586481921</v>
      </c>
    </row>
    <row r="174" spans="1:50" ht="15.75">
      <c r="A174" s="396"/>
      <c r="B174" s="396"/>
      <c r="C174" s="396"/>
      <c r="D174" s="396"/>
      <c r="K174" s="363" t="s">
        <v>117</v>
      </c>
      <c r="N174" s="358"/>
      <c r="Q174" s="360"/>
      <c r="R174" s="369">
        <f>(R172/10)</f>
        <v>5697.1711799999994</v>
      </c>
      <c r="W174" s="361"/>
      <c r="AG174" s="443"/>
      <c r="AQ174" s="358"/>
      <c r="AT174" s="360"/>
      <c r="AU174" s="363" t="s">
        <v>117</v>
      </c>
      <c r="AW174" s="35" t="e">
        <f t="shared" si="26"/>
        <v>#VALUE!</v>
      </c>
      <c r="AX174" s="35" t="e">
        <f t="shared" si="27"/>
        <v>#VALUE!</v>
      </c>
    </row>
    <row r="175" spans="1:50" ht="15.75">
      <c r="A175" s="396"/>
      <c r="B175" s="396"/>
      <c r="C175" s="396"/>
      <c r="D175" s="396"/>
      <c r="F175" s="412">
        <v>2.7</v>
      </c>
      <c r="G175" s="368" t="s">
        <v>122</v>
      </c>
      <c r="H175" s="356" t="s">
        <v>423</v>
      </c>
      <c r="N175" s="358"/>
      <c r="O175" s="372" t="s">
        <v>155</v>
      </c>
      <c r="Q175" s="360"/>
      <c r="R175" s="363" t="s">
        <v>156</v>
      </c>
      <c r="W175" s="361"/>
      <c r="AG175" s="443"/>
      <c r="AQ175" s="358"/>
      <c r="AR175" s="356" t="s">
        <v>155</v>
      </c>
      <c r="AT175" s="360"/>
      <c r="AU175" s="370">
        <f>(AU173/2.83168)</f>
        <v>7943.5860277997508</v>
      </c>
      <c r="AW175" s="35">
        <f t="shared" si="26"/>
        <v>1802.3996697077635</v>
      </c>
      <c r="AX175" s="35">
        <f t="shared" si="27"/>
        <v>6141.1863580919871</v>
      </c>
    </row>
    <row r="176" spans="1:50" ht="15.75">
      <c r="A176" s="396"/>
      <c r="B176" s="396"/>
      <c r="C176" s="396"/>
      <c r="D176" s="396"/>
      <c r="H176" s="363" t="s">
        <v>117</v>
      </c>
      <c r="W176" s="361"/>
      <c r="AG176" s="443"/>
      <c r="AQ176" s="358"/>
      <c r="AT176" s="360"/>
      <c r="AU176" s="363" t="s">
        <v>156</v>
      </c>
      <c r="AW176" s="35" t="e">
        <f t="shared" si="26"/>
        <v>#VALUE!</v>
      </c>
      <c r="AX176" s="35" t="e">
        <f t="shared" si="27"/>
        <v>#VALUE!</v>
      </c>
    </row>
    <row r="177" spans="1:50" ht="15.75">
      <c r="A177" s="396"/>
      <c r="B177" s="396"/>
      <c r="C177" s="396"/>
      <c r="D177" s="396"/>
      <c r="F177" s="370">
        <v>1</v>
      </c>
      <c r="G177" s="368" t="s">
        <v>108</v>
      </c>
      <c r="H177" s="356" t="s">
        <v>424</v>
      </c>
      <c r="I177" s="370">
        <f>AE14</f>
        <v>1879.28</v>
      </c>
      <c r="J177" s="356" t="s">
        <v>108</v>
      </c>
      <c r="K177" s="370">
        <f>(F177*I177)</f>
        <v>1879.28</v>
      </c>
      <c r="W177" s="361"/>
      <c r="AG177" s="443"/>
      <c r="AP177" s="356" t="s">
        <v>620</v>
      </c>
      <c r="AQ177" s="358"/>
      <c r="AT177" s="360"/>
      <c r="AW177" s="35">
        <f t="shared" si="26"/>
        <v>0</v>
      </c>
      <c r="AX177" s="35">
        <f t="shared" si="27"/>
        <v>0</v>
      </c>
    </row>
    <row r="178" spans="1:50" ht="15.75">
      <c r="A178" s="396"/>
      <c r="B178" s="396"/>
      <c r="C178" s="396"/>
      <c r="D178" s="396"/>
      <c r="F178" s="370">
        <v>1</v>
      </c>
      <c r="G178" s="368" t="s">
        <v>108</v>
      </c>
      <c r="H178" s="356" t="s">
        <v>169</v>
      </c>
      <c r="I178" s="370">
        <f>C26</f>
        <v>46.74</v>
      </c>
      <c r="J178" s="356" t="s">
        <v>108</v>
      </c>
      <c r="K178" s="370">
        <f>(F178*I178)</f>
        <v>46.74</v>
      </c>
      <c r="W178" s="361"/>
      <c r="AG178" s="443"/>
      <c r="AQ178" s="358"/>
      <c r="AT178" s="360"/>
      <c r="AW178" s="35">
        <f t="shared" si="26"/>
        <v>0</v>
      </c>
      <c r="AX178" s="35">
        <f t="shared" si="27"/>
        <v>0</v>
      </c>
    </row>
    <row r="179" spans="1:50" ht="15.75">
      <c r="A179" s="396"/>
      <c r="B179" s="396"/>
      <c r="C179" s="396"/>
      <c r="D179" s="396"/>
      <c r="G179" s="368" t="s">
        <v>128</v>
      </c>
      <c r="H179" s="356" t="s">
        <v>129</v>
      </c>
      <c r="I179" s="356" t="s">
        <v>114</v>
      </c>
      <c r="J179" s="356" t="s">
        <v>128</v>
      </c>
      <c r="K179" s="370">
        <v>0</v>
      </c>
      <c r="W179" s="361"/>
      <c r="AG179" s="443"/>
      <c r="AQ179" s="368" t="s">
        <v>957</v>
      </c>
      <c r="AR179" s="356" t="s">
        <v>958</v>
      </c>
      <c r="AT179" s="360"/>
      <c r="AW179" s="35">
        <f t="shared" si="26"/>
        <v>0</v>
      </c>
      <c r="AX179" s="35">
        <f t="shared" si="27"/>
        <v>0</v>
      </c>
    </row>
    <row r="180" spans="1:50" ht="15.75">
      <c r="A180" s="396"/>
      <c r="B180" s="396"/>
      <c r="C180" s="396"/>
      <c r="D180" s="396"/>
      <c r="K180" s="363" t="s">
        <v>117</v>
      </c>
      <c r="W180" s="361"/>
      <c r="AG180" s="443"/>
      <c r="AQ180" s="358"/>
      <c r="AR180" s="363" t="s">
        <v>117</v>
      </c>
      <c r="AT180" s="360"/>
      <c r="AW180" s="35">
        <f t="shared" si="26"/>
        <v>0</v>
      </c>
      <c r="AX180" s="35">
        <f t="shared" si="27"/>
        <v>0</v>
      </c>
    </row>
    <row r="181" spans="1:50" ht="15.75">
      <c r="A181" s="396"/>
      <c r="B181" s="396"/>
      <c r="C181" s="396"/>
      <c r="D181" s="396"/>
      <c r="H181" s="372" t="s">
        <v>170</v>
      </c>
      <c r="K181" s="369">
        <f>SUM(K176:K179)</f>
        <v>1926.02</v>
      </c>
      <c r="W181" s="361"/>
      <c r="AG181" s="443"/>
      <c r="AP181" s="370">
        <v>0.7</v>
      </c>
      <c r="AQ181" s="368" t="s">
        <v>108</v>
      </c>
      <c r="AR181" s="356" t="s">
        <v>959</v>
      </c>
      <c r="AS181" s="370">
        <f>AS149</f>
        <v>7943.5860277997508</v>
      </c>
      <c r="AT181" s="356" t="s">
        <v>151</v>
      </c>
      <c r="AU181" s="370">
        <f>(AP181*AS181)</f>
        <v>5560.5102194598248</v>
      </c>
      <c r="AW181" s="35">
        <f t="shared" si="26"/>
        <v>1261.6797687954343</v>
      </c>
      <c r="AX181" s="35">
        <f t="shared" si="27"/>
        <v>4298.8304506643908</v>
      </c>
    </row>
    <row r="182" spans="1:50" ht="15.75">
      <c r="K182" s="363" t="s">
        <v>117</v>
      </c>
      <c r="M182" s="370">
        <v>2.5</v>
      </c>
      <c r="N182" s="356" t="s">
        <v>108</v>
      </c>
      <c r="O182" s="356" t="s">
        <v>135</v>
      </c>
      <c r="P182" s="370">
        <f>(K58)</f>
        <v>3447.6435999999999</v>
      </c>
      <c r="Q182" s="356" t="s">
        <v>108</v>
      </c>
      <c r="R182" s="370">
        <f>(M182*P182)</f>
        <v>8619.1090000000004</v>
      </c>
      <c r="W182" s="361"/>
      <c r="AG182" s="443"/>
      <c r="AI182" s="356"/>
      <c r="AP182" s="370">
        <v>1</v>
      </c>
      <c r="AQ182" s="368" t="s">
        <v>223</v>
      </c>
      <c r="AR182" s="356" t="s">
        <v>162</v>
      </c>
      <c r="AS182" s="370">
        <f>AS167</f>
        <v>1198.8</v>
      </c>
      <c r="AT182" s="356" t="s">
        <v>151</v>
      </c>
      <c r="AU182" s="370">
        <f>(AP182*AS182)</f>
        <v>1198.8</v>
      </c>
      <c r="AW182" s="35">
        <f t="shared" si="26"/>
        <v>272.00772000000001</v>
      </c>
      <c r="AX182" s="35">
        <f t="shared" si="27"/>
        <v>926.79227999999989</v>
      </c>
    </row>
    <row r="183" spans="1:50" ht="15.75">
      <c r="H183" s="356" t="s">
        <v>114</v>
      </c>
      <c r="M183" s="370">
        <v>3.5</v>
      </c>
      <c r="N183" s="356" t="s">
        <v>151</v>
      </c>
      <c r="O183" s="356" t="s">
        <v>162</v>
      </c>
      <c r="P183" s="370">
        <f>(C10)</f>
        <v>1198.8</v>
      </c>
      <c r="Q183" s="356" t="s">
        <v>151</v>
      </c>
      <c r="R183" s="370">
        <f>(M183*P183)</f>
        <v>4195.8</v>
      </c>
      <c r="W183" s="361"/>
      <c r="AG183" s="443"/>
      <c r="AI183" s="356"/>
      <c r="AQ183" s="368" t="s">
        <v>128</v>
      </c>
      <c r="AR183" s="356" t="s">
        <v>129</v>
      </c>
      <c r="AS183" s="356" t="s">
        <v>114</v>
      </c>
      <c r="AT183" s="356" t="s">
        <v>128</v>
      </c>
      <c r="AU183" s="370">
        <v>0</v>
      </c>
      <c r="AW183" s="35">
        <f t="shared" si="26"/>
        <v>0</v>
      </c>
      <c r="AX183" s="35">
        <f t="shared" si="27"/>
        <v>0</v>
      </c>
    </row>
    <row r="184" spans="1:50" ht="15.75">
      <c r="F184" s="357" t="s">
        <v>960</v>
      </c>
      <c r="H184" s="356" t="s">
        <v>961</v>
      </c>
      <c r="W184" s="361"/>
      <c r="AG184" s="443"/>
      <c r="AQ184" s="358"/>
      <c r="AT184" s="360"/>
      <c r="AU184" s="363" t="s">
        <v>117</v>
      </c>
      <c r="AW184" s="35" t="e">
        <f t="shared" si="26"/>
        <v>#VALUE!</v>
      </c>
      <c r="AX184" s="35" t="e">
        <f t="shared" si="27"/>
        <v>#VALUE!</v>
      </c>
    </row>
    <row r="185" spans="1:50" ht="15.75">
      <c r="A185" s="396"/>
      <c r="B185" s="396"/>
      <c r="C185" s="396"/>
      <c r="D185" s="396"/>
      <c r="W185" s="361"/>
      <c r="AG185" s="443"/>
      <c r="AQ185" s="358"/>
      <c r="AR185" s="356" t="s">
        <v>176</v>
      </c>
      <c r="AT185" s="360"/>
      <c r="AU185" s="369">
        <f>SUM(AU181:AU183)</f>
        <v>6759.310219459825</v>
      </c>
      <c r="AW185" s="35">
        <f t="shared" si="26"/>
        <v>1533.6874887954345</v>
      </c>
      <c r="AX185" s="35">
        <f t="shared" si="27"/>
        <v>5225.6227306643905</v>
      </c>
    </row>
    <row r="186" spans="1:50" ht="15.75">
      <c r="A186" s="396"/>
      <c r="B186" s="396"/>
      <c r="C186" s="396"/>
      <c r="D186" s="396"/>
      <c r="F186" s="370">
        <v>1</v>
      </c>
      <c r="G186" s="368" t="s">
        <v>108</v>
      </c>
      <c r="H186" s="356" t="s">
        <v>962</v>
      </c>
      <c r="I186" s="370">
        <f>C35</f>
        <v>778.59</v>
      </c>
      <c r="J186" s="356" t="s">
        <v>108</v>
      </c>
      <c r="K186" s="370">
        <f>(F186*I186)</f>
        <v>778.59</v>
      </c>
      <c r="W186" s="361"/>
      <c r="AG186" s="443"/>
      <c r="AQ186" s="358"/>
      <c r="AT186" s="360"/>
      <c r="AU186" s="363" t="s">
        <v>117</v>
      </c>
      <c r="AW186" s="35" t="e">
        <f t="shared" si="26"/>
        <v>#VALUE!</v>
      </c>
      <c r="AX186" s="35" t="e">
        <f t="shared" si="27"/>
        <v>#VALUE!</v>
      </c>
    </row>
    <row r="187" spans="1:50" ht="15.75">
      <c r="A187" s="396"/>
      <c r="B187" s="396"/>
      <c r="C187" s="396"/>
      <c r="D187" s="396"/>
      <c r="F187" s="370">
        <v>1</v>
      </c>
      <c r="G187" s="368" t="s">
        <v>108</v>
      </c>
      <c r="H187" s="356" t="s">
        <v>947</v>
      </c>
      <c r="I187" s="459">
        <f>C814</f>
        <v>3.15</v>
      </c>
      <c r="J187" s="356" t="s">
        <v>108</v>
      </c>
      <c r="K187" s="370">
        <f>(F187*I187)</f>
        <v>3.15</v>
      </c>
      <c r="W187" s="361"/>
      <c r="AG187" s="443"/>
      <c r="AQ187" s="358"/>
      <c r="AR187" s="356" t="s">
        <v>177</v>
      </c>
      <c r="AT187" s="360"/>
      <c r="AU187" s="370">
        <f>(AU185/10)</f>
        <v>675.93102194598248</v>
      </c>
      <c r="AW187" s="35">
        <f t="shared" si="26"/>
        <v>153.36874887954343</v>
      </c>
      <c r="AX187" s="35">
        <f t="shared" si="27"/>
        <v>522.56227306643905</v>
      </c>
    </row>
    <row r="188" spans="1:50" ht="15.75">
      <c r="A188" s="396"/>
      <c r="B188" s="396"/>
      <c r="C188" s="396"/>
      <c r="D188" s="396"/>
      <c r="F188" s="370">
        <v>1</v>
      </c>
      <c r="G188" s="368" t="s">
        <v>108</v>
      </c>
      <c r="H188" s="356" t="s">
        <v>949</v>
      </c>
      <c r="I188" s="459">
        <f>C148</f>
        <v>15.5</v>
      </c>
      <c r="J188" s="356" t="s">
        <v>108</v>
      </c>
      <c r="K188" s="370">
        <f>(F188*I188)</f>
        <v>15.5</v>
      </c>
      <c r="W188" s="361"/>
      <c r="AG188" s="443"/>
      <c r="AQ188" s="358"/>
      <c r="AT188" s="360"/>
      <c r="AU188" s="363" t="s">
        <v>156</v>
      </c>
      <c r="AW188" s="35" t="e">
        <f t="shared" si="26"/>
        <v>#VALUE!</v>
      </c>
      <c r="AX188" s="35" t="e">
        <f t="shared" si="27"/>
        <v>#VALUE!</v>
      </c>
    </row>
    <row r="189" spans="1:50" ht="15.75">
      <c r="A189" s="396"/>
      <c r="B189" s="396"/>
      <c r="C189" s="396"/>
      <c r="D189" s="396"/>
      <c r="H189" s="356" t="s">
        <v>950</v>
      </c>
      <c r="W189" s="361"/>
      <c r="AG189" s="443"/>
      <c r="AQ189" s="358"/>
      <c r="AR189" s="356" t="s">
        <v>172</v>
      </c>
      <c r="AT189" s="360">
        <f>AU189-AU187</f>
        <v>6.6276000000000295</v>
      </c>
      <c r="AU189" s="369">
        <f>(AU187+C19/10*AP181)</f>
        <v>682.55862194598251</v>
      </c>
      <c r="AW189" s="35">
        <f t="shared" si="26"/>
        <v>154.87255131954345</v>
      </c>
      <c r="AX189" s="35">
        <f t="shared" si="27"/>
        <v>527.686070626439</v>
      </c>
    </row>
    <row r="190" spans="1:50" ht="15.75">
      <c r="A190" s="396"/>
      <c r="B190" s="396"/>
      <c r="C190" s="396"/>
      <c r="D190" s="396"/>
      <c r="K190" s="363" t="s">
        <v>117</v>
      </c>
      <c r="W190" s="361"/>
      <c r="AG190" s="443"/>
      <c r="AQ190" s="358"/>
      <c r="AR190" s="356" t="s">
        <v>873</v>
      </c>
      <c r="AT190" s="360">
        <f>AU190-AU189</f>
        <v>13.372799999999984</v>
      </c>
      <c r="AU190" s="369">
        <f>(AU189+C20/10*AP181)</f>
        <v>695.93142194598249</v>
      </c>
      <c r="AW190" s="35">
        <f t="shared" si="26"/>
        <v>157.90683963954342</v>
      </c>
      <c r="AX190" s="35">
        <f t="shared" si="27"/>
        <v>538.02458230643902</v>
      </c>
    </row>
    <row r="191" spans="1:50" ht="15.75">
      <c r="A191" s="396"/>
      <c r="B191" s="396"/>
      <c r="C191" s="396"/>
      <c r="D191" s="396"/>
      <c r="H191" s="372" t="s">
        <v>170</v>
      </c>
      <c r="K191" s="369">
        <f>SUM(K184:K189)</f>
        <v>797.24</v>
      </c>
      <c r="W191" s="361"/>
      <c r="AG191" s="443"/>
      <c r="AQ191" s="358"/>
      <c r="AR191" s="356" t="s">
        <v>876</v>
      </c>
      <c r="AT191" s="360">
        <f>AU191-AU190</f>
        <v>13.372799999999984</v>
      </c>
      <c r="AU191" s="369">
        <f>(AU190+C21/10*AP181)</f>
        <v>709.30422194598248</v>
      </c>
      <c r="AW191" s="35">
        <f t="shared" si="26"/>
        <v>160.94112795954342</v>
      </c>
      <c r="AX191" s="35">
        <f t="shared" si="27"/>
        <v>548.36309398643903</v>
      </c>
    </row>
    <row r="192" spans="1:50" ht="15.75">
      <c r="A192" s="396"/>
      <c r="B192" s="396"/>
      <c r="C192" s="396"/>
      <c r="D192" s="396"/>
      <c r="F192" s="356" t="s">
        <v>114</v>
      </c>
      <c r="K192" s="363" t="s">
        <v>117</v>
      </c>
      <c r="W192" s="361"/>
      <c r="AG192" s="443"/>
      <c r="AQ192" s="358"/>
      <c r="AR192" s="356" t="s">
        <v>878</v>
      </c>
      <c r="AT192" s="360">
        <f>AU192-AU191</f>
        <v>13.372799999999984</v>
      </c>
      <c r="AU192" s="369">
        <f>(AU191+C21/10*AP181)</f>
        <v>722.67702194598246</v>
      </c>
      <c r="AW192" s="35">
        <f t="shared" si="26"/>
        <v>163.97541627954342</v>
      </c>
      <c r="AX192" s="35">
        <f t="shared" si="27"/>
        <v>558.70160566643904</v>
      </c>
    </row>
    <row r="193" spans="1:50" ht="15.75">
      <c r="A193" s="396"/>
      <c r="B193" s="396"/>
      <c r="C193" s="396"/>
      <c r="D193" s="396"/>
      <c r="K193" s="356" t="s">
        <v>114</v>
      </c>
      <c r="W193" s="361"/>
      <c r="AG193" s="443"/>
      <c r="AQ193" s="358"/>
      <c r="AR193" s="356" t="s">
        <v>963</v>
      </c>
      <c r="AT193" s="360">
        <f>AU193-AU192</f>
        <v>13.372799999999984</v>
      </c>
      <c r="AU193" s="369">
        <f>(AU192+C21/10*AP181)</f>
        <v>736.04982194598244</v>
      </c>
      <c r="AW193" s="35">
        <f t="shared" si="26"/>
        <v>167.00970459954343</v>
      </c>
      <c r="AX193" s="35">
        <f t="shared" si="27"/>
        <v>569.04011734643905</v>
      </c>
    </row>
    <row r="194" spans="1:50" ht="15.75">
      <c r="A194" s="382">
        <f>(A150+1)</f>
        <v>90</v>
      </c>
      <c r="B194" s="385" t="s">
        <v>964</v>
      </c>
      <c r="C194" s="402">
        <v>65</v>
      </c>
      <c r="D194" s="385" t="s">
        <v>965</v>
      </c>
      <c r="F194" s="357" t="s">
        <v>147</v>
      </c>
      <c r="G194" s="368" t="s">
        <v>122</v>
      </c>
      <c r="H194" s="356" t="s">
        <v>148</v>
      </c>
      <c r="M194" s="357" t="s">
        <v>147</v>
      </c>
      <c r="N194" s="368" t="s">
        <v>122</v>
      </c>
      <c r="O194" s="356" t="s">
        <v>966</v>
      </c>
      <c r="Q194" s="360"/>
      <c r="S194" s="357" t="s">
        <v>147</v>
      </c>
      <c r="T194" s="368" t="s">
        <v>122</v>
      </c>
      <c r="U194" s="356" t="s">
        <v>966</v>
      </c>
      <c r="W194" s="361"/>
      <c r="AG194" s="443"/>
      <c r="AI194" s="356"/>
      <c r="AR194" s="356"/>
      <c r="AT194" s="360"/>
      <c r="AU194" s="369"/>
      <c r="AW194" s="35">
        <f t="shared" si="26"/>
        <v>0</v>
      </c>
      <c r="AX194" s="35">
        <f t="shared" si="27"/>
        <v>0</v>
      </c>
    </row>
    <row r="195" spans="1:50" ht="15.75">
      <c r="A195" s="382">
        <f t="shared" ref="A195:A210" si="28">(A194+1)</f>
        <v>91</v>
      </c>
      <c r="B195" s="385" t="s">
        <v>967</v>
      </c>
      <c r="C195" s="402">
        <v>25</v>
      </c>
      <c r="D195" s="385" t="s">
        <v>965</v>
      </c>
      <c r="H195" s="356" t="s">
        <v>149</v>
      </c>
      <c r="N195" s="358"/>
      <c r="O195" s="356" t="s">
        <v>427</v>
      </c>
      <c r="Q195" s="360"/>
      <c r="S195" s="35"/>
      <c r="T195" s="358"/>
      <c r="U195" s="356" t="s">
        <v>149</v>
      </c>
      <c r="W195" s="361"/>
      <c r="AG195" s="443"/>
      <c r="AI195" s="356"/>
      <c r="AQ195" s="368" t="s">
        <v>957</v>
      </c>
      <c r="AR195" s="356" t="s">
        <v>958</v>
      </c>
      <c r="AT195" s="360"/>
      <c r="AW195" s="35">
        <f t="shared" si="26"/>
        <v>0</v>
      </c>
      <c r="AX195" s="35">
        <f t="shared" si="27"/>
        <v>0</v>
      </c>
    </row>
    <row r="196" spans="1:50" ht="15.75">
      <c r="A196" s="382">
        <f t="shared" si="28"/>
        <v>92</v>
      </c>
      <c r="B196" s="356" t="s">
        <v>968</v>
      </c>
      <c r="C196" s="394">
        <v>271.2</v>
      </c>
      <c r="D196" s="385" t="s">
        <v>965</v>
      </c>
      <c r="H196" s="363" t="s">
        <v>117</v>
      </c>
      <c r="N196" s="358"/>
      <c r="O196" s="363" t="s">
        <v>117</v>
      </c>
      <c r="Q196" s="360"/>
      <c r="S196" s="35"/>
      <c r="T196" s="358"/>
      <c r="U196" s="363" t="s">
        <v>117</v>
      </c>
      <c r="W196" s="361"/>
      <c r="AG196" s="443"/>
      <c r="AI196" s="356"/>
      <c r="AQ196" s="358"/>
      <c r="AR196" s="363" t="s">
        <v>117</v>
      </c>
      <c r="AT196" s="360"/>
      <c r="AW196" s="35">
        <f t="shared" si="26"/>
        <v>0</v>
      </c>
      <c r="AX196" s="35">
        <f t="shared" si="27"/>
        <v>0</v>
      </c>
    </row>
    <row r="197" spans="1:50" ht="15.75">
      <c r="A197" s="382">
        <f t="shared" si="28"/>
        <v>93</v>
      </c>
      <c r="B197" s="356" t="s">
        <v>969</v>
      </c>
      <c r="C197" s="394">
        <v>238.9</v>
      </c>
      <c r="D197" s="402">
        <v>96.11</v>
      </c>
      <c r="F197" s="370">
        <v>9</v>
      </c>
      <c r="G197" s="368" t="s">
        <v>108</v>
      </c>
      <c r="H197" s="356" t="s">
        <v>150</v>
      </c>
      <c r="I197" s="370">
        <f>(C74)</f>
        <v>1460.08</v>
      </c>
      <c r="J197" s="356" t="s">
        <v>108</v>
      </c>
      <c r="K197" s="370">
        <f>(F197*I197)</f>
        <v>13140.72</v>
      </c>
      <c r="M197" s="370">
        <v>9</v>
      </c>
      <c r="N197" s="368" t="s">
        <v>108</v>
      </c>
      <c r="O197" s="356" t="s">
        <v>428</v>
      </c>
      <c r="P197" s="370">
        <f>(C73)</f>
        <v>1879.28</v>
      </c>
      <c r="Q197" s="356" t="s">
        <v>108</v>
      </c>
      <c r="R197" s="370">
        <f>(M197*P197)</f>
        <v>16913.52</v>
      </c>
      <c r="S197" s="370">
        <v>9</v>
      </c>
      <c r="T197" s="368" t="s">
        <v>108</v>
      </c>
      <c r="U197" s="356" t="s">
        <v>150</v>
      </c>
      <c r="V197" s="370">
        <f>(C74)</f>
        <v>1460.08</v>
      </c>
      <c r="W197" s="357" t="s">
        <v>108</v>
      </c>
      <c r="X197" s="370">
        <f>(S197*V197)</f>
        <v>13140.72</v>
      </c>
      <c r="Y197" s="370"/>
      <c r="AG197" s="443"/>
      <c r="AI197" s="356"/>
      <c r="AP197" s="370">
        <v>0.7</v>
      </c>
      <c r="AQ197" s="368" t="s">
        <v>108</v>
      </c>
      <c r="AR197" s="356" t="s">
        <v>959</v>
      </c>
      <c r="AS197" s="370">
        <f>AS165</f>
        <v>7342.45</v>
      </c>
      <c r="AT197" s="356" t="s">
        <v>151</v>
      </c>
      <c r="AU197" s="370">
        <f>(AP197*AS197)</f>
        <v>5139.7149999999992</v>
      </c>
      <c r="AW197" s="35">
        <f t="shared" si="26"/>
        <v>1166.2013334999999</v>
      </c>
      <c r="AX197" s="35">
        <f t="shared" si="27"/>
        <v>3973.5136664999991</v>
      </c>
    </row>
    <row r="198" spans="1:50" ht="15.75">
      <c r="A198" s="382">
        <f t="shared" si="28"/>
        <v>94</v>
      </c>
      <c r="B198" s="356" t="s">
        <v>970</v>
      </c>
      <c r="C198" s="394">
        <v>147.5</v>
      </c>
      <c r="D198" s="385" t="s">
        <v>965</v>
      </c>
      <c r="F198" s="370">
        <v>4.5</v>
      </c>
      <c r="G198" s="368" t="s">
        <v>108</v>
      </c>
      <c r="H198" s="356" t="s">
        <v>134</v>
      </c>
      <c r="I198" s="370">
        <f>(K49)</f>
        <v>3753.50632</v>
      </c>
      <c r="J198" s="356" t="s">
        <v>108</v>
      </c>
      <c r="K198" s="370">
        <f>(F198*I198)</f>
        <v>16890.778439999998</v>
      </c>
      <c r="M198" s="370">
        <v>4.5</v>
      </c>
      <c r="N198" s="368" t="s">
        <v>108</v>
      </c>
      <c r="O198" s="356" t="s">
        <v>132</v>
      </c>
      <c r="P198" s="370">
        <f>K32</f>
        <v>4976.9571999999998</v>
      </c>
      <c r="Q198" s="356" t="s">
        <v>108</v>
      </c>
      <c r="R198" s="370">
        <f>(M198*P198)</f>
        <v>22396.307399999998</v>
      </c>
      <c r="S198" s="370">
        <v>4.5</v>
      </c>
      <c r="T198" s="368" t="s">
        <v>108</v>
      </c>
      <c r="U198" s="356" t="s">
        <v>132</v>
      </c>
      <c r="V198" s="370">
        <f>P198</f>
        <v>4976.9571999999998</v>
      </c>
      <c r="W198" s="357" t="s">
        <v>108</v>
      </c>
      <c r="X198" s="370">
        <f>(S198*V198)</f>
        <v>22396.307399999998</v>
      </c>
      <c r="Y198" s="370"/>
      <c r="AG198" s="443"/>
      <c r="AI198" s="356"/>
      <c r="AP198" s="370">
        <v>1</v>
      </c>
      <c r="AQ198" s="368" t="s">
        <v>223</v>
      </c>
      <c r="AR198" s="356" t="s">
        <v>162</v>
      </c>
      <c r="AS198" s="370">
        <f>AS182</f>
        <v>1198.8</v>
      </c>
      <c r="AT198" s="356" t="s">
        <v>151</v>
      </c>
      <c r="AU198" s="370">
        <f>(AP198*AS198)</f>
        <v>1198.8</v>
      </c>
      <c r="AW198" s="35">
        <f t="shared" si="26"/>
        <v>272.00772000000001</v>
      </c>
      <c r="AX198" s="35">
        <f t="shared" si="27"/>
        <v>926.79227999999989</v>
      </c>
    </row>
    <row r="199" spans="1:50" ht="15.75">
      <c r="A199" s="382">
        <f t="shared" si="28"/>
        <v>95</v>
      </c>
      <c r="B199" s="385" t="s">
        <v>971</v>
      </c>
      <c r="C199" s="402">
        <v>0.25</v>
      </c>
      <c r="D199" s="385" t="s">
        <v>151</v>
      </c>
      <c r="F199" s="370">
        <v>1.8</v>
      </c>
      <c r="G199" s="368" t="s">
        <v>151</v>
      </c>
      <c r="H199" s="356" t="s">
        <v>152</v>
      </c>
      <c r="I199" s="370">
        <f>(C11)</f>
        <v>1118.3999999999999</v>
      </c>
      <c r="J199" s="356" t="s">
        <v>151</v>
      </c>
      <c r="K199" s="370">
        <f>(F199*I199)</f>
        <v>2013.12</v>
      </c>
      <c r="M199" s="370">
        <v>1.8</v>
      </c>
      <c r="N199" s="368" t="s">
        <v>151</v>
      </c>
      <c r="O199" s="356" t="s">
        <v>152</v>
      </c>
      <c r="P199" s="370">
        <f>I199</f>
        <v>1118.3999999999999</v>
      </c>
      <c r="Q199" s="356" t="s">
        <v>151</v>
      </c>
      <c r="R199" s="370">
        <f>(M199*P199)</f>
        <v>2013.12</v>
      </c>
      <c r="S199" s="370">
        <v>1.8</v>
      </c>
      <c r="T199" s="368" t="s">
        <v>151</v>
      </c>
      <c r="U199" s="356" t="s">
        <v>152</v>
      </c>
      <c r="V199" s="370">
        <f>P199</f>
        <v>1118.3999999999999</v>
      </c>
      <c r="W199" s="357" t="s">
        <v>151</v>
      </c>
      <c r="X199" s="370">
        <f>(S199*V199)</f>
        <v>2013.12</v>
      </c>
      <c r="Y199" s="370"/>
      <c r="AG199" s="443"/>
      <c r="AI199" s="356"/>
      <c r="AQ199" s="368" t="s">
        <v>128</v>
      </c>
      <c r="AR199" s="356" t="s">
        <v>129</v>
      </c>
      <c r="AS199" s="356" t="s">
        <v>114</v>
      </c>
      <c r="AT199" s="356" t="s">
        <v>128</v>
      </c>
      <c r="AU199" s="370">
        <v>5</v>
      </c>
      <c r="AW199" s="35">
        <f t="shared" si="26"/>
        <v>1.1345000000000001</v>
      </c>
      <c r="AX199" s="35">
        <f t="shared" si="27"/>
        <v>3.8654999999999999</v>
      </c>
    </row>
    <row r="200" spans="1:50" ht="15.75">
      <c r="A200" s="382">
        <f t="shared" si="28"/>
        <v>96</v>
      </c>
      <c r="B200" s="356" t="s">
        <v>972</v>
      </c>
      <c r="C200" s="394">
        <v>40.65</v>
      </c>
      <c r="D200" s="383" t="s">
        <v>107</v>
      </c>
      <c r="F200" s="370">
        <v>17.7</v>
      </c>
      <c r="G200" s="368" t="s">
        <v>151</v>
      </c>
      <c r="H200" s="356" t="s">
        <v>153</v>
      </c>
      <c r="I200" s="370">
        <f>(C12)</f>
        <v>781.19999999999993</v>
      </c>
      <c r="J200" s="356" t="s">
        <v>151</v>
      </c>
      <c r="K200" s="370">
        <f>(F200*I200)</f>
        <v>13827.239999999998</v>
      </c>
      <c r="M200" s="370">
        <v>17.7</v>
      </c>
      <c r="N200" s="368" t="s">
        <v>151</v>
      </c>
      <c r="O200" s="356" t="s">
        <v>153</v>
      </c>
      <c r="P200" s="370">
        <f>I200</f>
        <v>781.19999999999993</v>
      </c>
      <c r="Q200" s="356" t="s">
        <v>151</v>
      </c>
      <c r="R200" s="370">
        <f>(M200*P200)</f>
        <v>13827.239999999998</v>
      </c>
      <c r="S200" s="370">
        <v>17.7</v>
      </c>
      <c r="T200" s="368" t="s">
        <v>151</v>
      </c>
      <c r="U200" s="356" t="s">
        <v>153</v>
      </c>
      <c r="V200" s="370">
        <f>P200</f>
        <v>781.19999999999993</v>
      </c>
      <c r="W200" s="357" t="s">
        <v>151</v>
      </c>
      <c r="X200" s="370">
        <f>(S200*V200)</f>
        <v>13827.239999999998</v>
      </c>
      <c r="Y200" s="370"/>
      <c r="AG200" s="443"/>
      <c r="AI200" s="356"/>
      <c r="AQ200" s="358"/>
      <c r="AT200" s="360"/>
      <c r="AU200" s="363" t="s">
        <v>117</v>
      </c>
      <c r="AW200" s="35" t="e">
        <f t="shared" si="26"/>
        <v>#VALUE!</v>
      </c>
      <c r="AX200" s="35" t="e">
        <f t="shared" si="27"/>
        <v>#VALUE!</v>
      </c>
    </row>
    <row r="201" spans="1:50" ht="15.75">
      <c r="A201" s="382">
        <f t="shared" si="28"/>
        <v>97</v>
      </c>
      <c r="B201" s="356" t="s">
        <v>973</v>
      </c>
      <c r="C201" s="394">
        <v>379.9</v>
      </c>
      <c r="D201" s="394">
        <v>116.55</v>
      </c>
      <c r="E201" s="385" t="s">
        <v>107</v>
      </c>
      <c r="F201" s="370">
        <v>14.1</v>
      </c>
      <c r="G201" s="368" t="s">
        <v>151</v>
      </c>
      <c r="H201" s="356" t="s">
        <v>154</v>
      </c>
      <c r="I201" s="370">
        <f>(C13)</f>
        <v>640.79999999999995</v>
      </c>
      <c r="J201" s="356" t="s">
        <v>151</v>
      </c>
      <c r="K201" s="370">
        <f>(F201*I201)</f>
        <v>9035.2799999999988</v>
      </c>
      <c r="M201" s="370">
        <v>14.1</v>
      </c>
      <c r="N201" s="368" t="s">
        <v>151</v>
      </c>
      <c r="O201" s="356" t="s">
        <v>154</v>
      </c>
      <c r="P201" s="370">
        <f>I201</f>
        <v>640.79999999999995</v>
      </c>
      <c r="Q201" s="356" t="s">
        <v>151</v>
      </c>
      <c r="R201" s="370">
        <f>(M201*P201)</f>
        <v>9035.2799999999988</v>
      </c>
      <c r="S201" s="370">
        <v>14.1</v>
      </c>
      <c r="T201" s="368" t="s">
        <v>151</v>
      </c>
      <c r="U201" s="356" t="s">
        <v>154</v>
      </c>
      <c r="V201" s="370">
        <f>P201</f>
        <v>640.79999999999995</v>
      </c>
      <c r="W201" s="357" t="s">
        <v>151</v>
      </c>
      <c r="X201" s="370">
        <f>(S201*V201)</f>
        <v>9035.2799999999988</v>
      </c>
      <c r="Y201" s="370"/>
      <c r="AG201" s="443"/>
      <c r="AI201" s="356"/>
      <c r="AQ201" s="358"/>
      <c r="AR201" s="356" t="s">
        <v>176</v>
      </c>
      <c r="AT201" s="360"/>
      <c r="AU201" s="369">
        <f>SUM(AU197:AU199)</f>
        <v>6343.5149999999994</v>
      </c>
      <c r="AW201" s="35">
        <f t="shared" si="26"/>
        <v>1439.3435534999999</v>
      </c>
      <c r="AX201" s="35">
        <f t="shared" si="27"/>
        <v>4904.1714464999995</v>
      </c>
    </row>
    <row r="202" spans="1:50" ht="15.75">
      <c r="A202" s="382">
        <f t="shared" si="28"/>
        <v>98</v>
      </c>
      <c r="B202" s="356" t="s">
        <v>974</v>
      </c>
      <c r="C202" s="394">
        <v>183.8</v>
      </c>
      <c r="D202" s="383" t="s">
        <v>223</v>
      </c>
      <c r="G202" s="368" t="s">
        <v>128</v>
      </c>
      <c r="H202" s="356" t="s">
        <v>129</v>
      </c>
      <c r="J202" s="356" t="s">
        <v>128</v>
      </c>
      <c r="K202" s="370">
        <v>0</v>
      </c>
      <c r="N202" s="368" t="s">
        <v>128</v>
      </c>
      <c r="O202" s="356" t="s">
        <v>129</v>
      </c>
      <c r="Q202" s="356" t="s">
        <v>128</v>
      </c>
      <c r="R202" s="370">
        <v>0</v>
      </c>
      <c r="S202" s="35"/>
      <c r="T202" s="368" t="s">
        <v>128</v>
      </c>
      <c r="U202" s="356" t="s">
        <v>129</v>
      </c>
      <c r="W202" s="357" t="s">
        <v>128</v>
      </c>
      <c r="X202" s="370">
        <v>0</v>
      </c>
      <c r="Y202" s="370"/>
      <c r="AG202" s="443"/>
      <c r="AI202" s="356"/>
      <c r="AQ202" s="358"/>
      <c r="AT202" s="360"/>
      <c r="AU202" s="363" t="s">
        <v>117</v>
      </c>
      <c r="AW202" s="35" t="e">
        <f t="shared" si="26"/>
        <v>#VALUE!</v>
      </c>
      <c r="AX202" s="35" t="e">
        <f t="shared" si="27"/>
        <v>#VALUE!</v>
      </c>
    </row>
    <row r="203" spans="1:50" ht="15.75">
      <c r="A203" s="382">
        <f t="shared" si="28"/>
        <v>99</v>
      </c>
      <c r="B203" s="356" t="s">
        <v>975</v>
      </c>
      <c r="C203" s="394">
        <v>1201</v>
      </c>
      <c r="D203" s="383" t="s">
        <v>223</v>
      </c>
      <c r="K203" s="363" t="s">
        <v>117</v>
      </c>
      <c r="N203" s="358"/>
      <c r="Q203" s="360"/>
      <c r="R203" s="363" t="s">
        <v>117</v>
      </c>
      <c r="S203" s="35"/>
      <c r="T203" s="358"/>
      <c r="W203" s="361"/>
      <c r="X203" s="363" t="s">
        <v>117</v>
      </c>
      <c r="Y203" s="363"/>
      <c r="AG203" s="443"/>
      <c r="AI203" s="356"/>
      <c r="AQ203" s="358"/>
      <c r="AR203" s="356" t="s">
        <v>177</v>
      </c>
      <c r="AT203" s="360"/>
      <c r="AU203" s="370">
        <f>(AU201/10)</f>
        <v>634.35149999999999</v>
      </c>
      <c r="AW203" s="35">
        <f t="shared" si="26"/>
        <v>143.93435535</v>
      </c>
      <c r="AX203" s="35">
        <f t="shared" si="27"/>
        <v>490.41714464999995</v>
      </c>
    </row>
    <row r="204" spans="1:50" ht="15.75">
      <c r="A204" s="382">
        <f t="shared" si="28"/>
        <v>100</v>
      </c>
      <c r="B204" s="385" t="s">
        <v>976</v>
      </c>
      <c r="C204" s="401">
        <v>47.2</v>
      </c>
      <c r="D204" s="385" t="s">
        <v>223</v>
      </c>
      <c r="K204" s="370">
        <f>SUM(K197:K202)</f>
        <v>54907.138439999995</v>
      </c>
      <c r="N204" s="358"/>
      <c r="Q204" s="360"/>
      <c r="R204" s="370">
        <f>SUM(R197:R202)</f>
        <v>64185.467399999994</v>
      </c>
      <c r="S204" s="35"/>
      <c r="T204" s="358"/>
      <c r="W204" s="361"/>
      <c r="X204" s="370">
        <f>SUM(X197:X202)</f>
        <v>60412.667399999998</v>
      </c>
      <c r="Y204" s="370"/>
      <c r="AG204" s="443"/>
      <c r="AI204" s="356"/>
      <c r="AQ204" s="358"/>
      <c r="AT204" s="360"/>
      <c r="AU204" s="363" t="s">
        <v>156</v>
      </c>
      <c r="AW204" s="35" t="e">
        <f t="shared" si="26"/>
        <v>#VALUE!</v>
      </c>
      <c r="AX204" s="35" t="e">
        <f t="shared" si="27"/>
        <v>#VALUE!</v>
      </c>
    </row>
    <row r="205" spans="1:50" ht="15.75">
      <c r="A205" s="382">
        <f t="shared" si="28"/>
        <v>101</v>
      </c>
      <c r="B205" s="356" t="s">
        <v>977</v>
      </c>
      <c r="C205" s="394">
        <v>128</v>
      </c>
      <c r="D205" s="385" t="s">
        <v>223</v>
      </c>
      <c r="E205" s="448">
        <v>166.15</v>
      </c>
      <c r="H205" s="458" t="s">
        <v>143</v>
      </c>
      <c r="K205" s="363" t="s">
        <v>117</v>
      </c>
      <c r="N205" s="358"/>
      <c r="O205" s="356" t="s">
        <v>143</v>
      </c>
      <c r="Q205" s="360"/>
      <c r="R205" s="363" t="s">
        <v>117</v>
      </c>
      <c r="S205" s="35"/>
      <c r="T205" s="358"/>
      <c r="U205" s="356" t="s">
        <v>143</v>
      </c>
      <c r="W205" s="361"/>
      <c r="X205" s="363" t="s">
        <v>117</v>
      </c>
      <c r="Y205" s="363"/>
      <c r="AG205" s="443"/>
      <c r="AI205" s="356"/>
      <c r="AQ205" s="358"/>
      <c r="AR205" s="356" t="s">
        <v>172</v>
      </c>
      <c r="AT205" s="360">
        <f>AT189</f>
        <v>6.6276000000000295</v>
      </c>
      <c r="AU205" s="369">
        <f>(AU203+C35/10*AP197)</f>
        <v>688.8528</v>
      </c>
      <c r="AW205" s="35">
        <f t="shared" si="26"/>
        <v>156.30070032</v>
      </c>
      <c r="AX205" s="35">
        <f t="shared" si="27"/>
        <v>532.55209967999997</v>
      </c>
    </row>
    <row r="206" spans="1:50" ht="15.75">
      <c r="A206" s="382">
        <f t="shared" si="28"/>
        <v>102</v>
      </c>
      <c r="B206" s="356" t="s">
        <v>978</v>
      </c>
      <c r="C206" s="394">
        <v>63.4</v>
      </c>
      <c r="D206" s="385" t="s">
        <v>223</v>
      </c>
      <c r="K206" s="369">
        <f>(K204/10)</f>
        <v>5490.7138439999999</v>
      </c>
      <c r="N206" s="358"/>
      <c r="Q206" s="360"/>
      <c r="R206" s="370">
        <f>(R204/10)</f>
        <v>6418.5467399999998</v>
      </c>
      <c r="S206" s="35"/>
      <c r="T206" s="358"/>
      <c r="W206" s="361"/>
      <c r="X206" s="370">
        <f>(X204/10)</f>
        <v>6041.26674</v>
      </c>
      <c r="Y206" s="370"/>
      <c r="AG206" s="443"/>
      <c r="AQ206" s="358"/>
      <c r="AR206" s="356" t="s">
        <v>873</v>
      </c>
      <c r="AT206" s="360">
        <f>AT190</f>
        <v>13.372799999999984</v>
      </c>
      <c r="AU206" s="369">
        <f>(AU205+C36/10*AP197)</f>
        <v>689.73900000000003</v>
      </c>
      <c r="AW206" s="35">
        <f t="shared" si="26"/>
        <v>156.50177910000002</v>
      </c>
      <c r="AX206" s="35">
        <f t="shared" si="27"/>
        <v>533.23722090000001</v>
      </c>
    </row>
    <row r="207" spans="1:50" ht="15.75">
      <c r="A207" s="382">
        <f t="shared" si="28"/>
        <v>103</v>
      </c>
      <c r="B207" s="356" t="s">
        <v>979</v>
      </c>
      <c r="C207" s="394">
        <v>102</v>
      </c>
      <c r="D207" s="385" t="s">
        <v>223</v>
      </c>
      <c r="H207" s="372" t="s">
        <v>155</v>
      </c>
      <c r="K207" s="363" t="s">
        <v>156</v>
      </c>
      <c r="N207" s="358"/>
      <c r="O207" s="356" t="s">
        <v>155</v>
      </c>
      <c r="Q207" s="360"/>
      <c r="R207" s="363" t="s">
        <v>156</v>
      </c>
      <c r="S207" s="35"/>
      <c r="T207" s="358"/>
      <c r="U207" s="356" t="s">
        <v>155</v>
      </c>
      <c r="W207" s="361"/>
      <c r="X207" s="363" t="s">
        <v>156</v>
      </c>
      <c r="Y207" s="363"/>
      <c r="AG207" s="443"/>
      <c r="AQ207" s="358"/>
      <c r="AR207" s="356" t="s">
        <v>876</v>
      </c>
      <c r="AT207" s="360">
        <f>AT191</f>
        <v>13.372799999999984</v>
      </c>
      <c r="AU207" s="369">
        <f>(AU206+C37/10*AP197)</f>
        <v>694.38840000000005</v>
      </c>
      <c r="AW207" s="35">
        <f t="shared" si="26"/>
        <v>157.55672796000002</v>
      </c>
      <c r="AX207" s="35">
        <f t="shared" si="27"/>
        <v>536.83167204000006</v>
      </c>
    </row>
    <row r="208" spans="1:50" ht="15.75">
      <c r="A208" s="382">
        <f t="shared" si="28"/>
        <v>104</v>
      </c>
      <c r="B208" s="356" t="s">
        <v>980</v>
      </c>
      <c r="C208" s="394">
        <v>101.6</v>
      </c>
      <c r="D208" s="385" t="s">
        <v>223</v>
      </c>
      <c r="E208" s="448">
        <v>140.65</v>
      </c>
      <c r="W208" s="361"/>
      <c r="AG208" s="443"/>
      <c r="AI208" s="356"/>
      <c r="AQ208" s="358"/>
      <c r="AR208" s="356" t="s">
        <v>878</v>
      </c>
      <c r="AT208" s="360">
        <f>AT192</f>
        <v>13.372799999999984</v>
      </c>
      <c r="AU208" s="369">
        <f>(AU207+C37/10*AP197)</f>
        <v>699.03780000000006</v>
      </c>
      <c r="AW208" s="35">
        <f t="shared" si="26"/>
        <v>158.61167682000004</v>
      </c>
      <c r="AX208" s="35">
        <f t="shared" si="27"/>
        <v>540.42612317999999</v>
      </c>
    </row>
    <row r="209" spans="1:50" ht="15.75">
      <c r="A209" s="382">
        <f t="shared" si="28"/>
        <v>105</v>
      </c>
      <c r="B209" s="356" t="s">
        <v>981</v>
      </c>
      <c r="C209" s="394">
        <v>227.6</v>
      </c>
      <c r="D209" s="385" t="s">
        <v>982</v>
      </c>
      <c r="F209" s="357" t="s">
        <v>425</v>
      </c>
      <c r="G209" s="368" t="s">
        <v>122</v>
      </c>
      <c r="H209" s="356" t="s">
        <v>983</v>
      </c>
      <c r="W209" s="361"/>
      <c r="AG209" s="443"/>
      <c r="AQ209" s="358"/>
      <c r="AR209" s="356" t="s">
        <v>963</v>
      </c>
      <c r="AT209" s="360">
        <f>AT193</f>
        <v>13.372799999999984</v>
      </c>
      <c r="AU209" s="369">
        <f>(AU208+C37/10*AP197)</f>
        <v>703.68720000000008</v>
      </c>
      <c r="AW209" s="35">
        <f t="shared" si="26"/>
        <v>159.66662568000004</v>
      </c>
      <c r="AX209" s="35">
        <f t="shared" si="27"/>
        <v>544.02057432000004</v>
      </c>
    </row>
    <row r="210" spans="1:50" ht="15.75">
      <c r="A210" s="382">
        <f t="shared" si="28"/>
        <v>106</v>
      </c>
      <c r="B210" s="356" t="s">
        <v>984</v>
      </c>
      <c r="C210" s="394">
        <v>166.15</v>
      </c>
      <c r="D210" s="385" t="s">
        <v>223</v>
      </c>
      <c r="H210" s="356" t="s">
        <v>427</v>
      </c>
      <c r="N210" s="356" t="s">
        <v>235</v>
      </c>
      <c r="O210" s="356" t="s">
        <v>985</v>
      </c>
      <c r="W210" s="361"/>
      <c r="AG210" s="443"/>
      <c r="AW210" s="35">
        <f t="shared" si="26"/>
        <v>0</v>
      </c>
      <c r="AX210" s="35">
        <f t="shared" si="27"/>
        <v>0</v>
      </c>
    </row>
    <row r="211" spans="1:50" ht="15.75">
      <c r="A211" s="396"/>
      <c r="B211" s="396"/>
      <c r="C211" s="396"/>
      <c r="D211" s="396"/>
      <c r="H211" s="363" t="s">
        <v>117</v>
      </c>
      <c r="O211" s="363" t="s">
        <v>117</v>
      </c>
      <c r="W211" s="361"/>
      <c r="AG211" s="443"/>
      <c r="AW211" s="35">
        <f t="shared" si="26"/>
        <v>0</v>
      </c>
      <c r="AX211" s="35">
        <f t="shared" si="27"/>
        <v>0</v>
      </c>
    </row>
    <row r="212" spans="1:50" ht="15.75">
      <c r="A212" s="396"/>
      <c r="B212" s="396"/>
      <c r="C212" s="396"/>
      <c r="D212" s="396"/>
      <c r="F212" s="370">
        <v>9</v>
      </c>
      <c r="G212" s="368" t="s">
        <v>108</v>
      </c>
      <c r="H212" s="356" t="s">
        <v>428</v>
      </c>
      <c r="I212" s="370">
        <f>C73</f>
        <v>1879.28</v>
      </c>
      <c r="J212" s="356" t="s">
        <v>108</v>
      </c>
      <c r="K212" s="370">
        <f>(F212*I212)</f>
        <v>16913.52</v>
      </c>
      <c r="M212" s="460">
        <v>1.153E-2</v>
      </c>
      <c r="N212" s="356" t="s">
        <v>108</v>
      </c>
      <c r="O212" s="356" t="s">
        <v>986</v>
      </c>
      <c r="P212" s="370">
        <f>C88</f>
        <v>111965.44</v>
      </c>
      <c r="Q212" s="356" t="s">
        <v>108</v>
      </c>
      <c r="R212" s="370">
        <f t="shared" ref="R212:R221" si="29">(M212*P212)</f>
        <v>1290.9615232000001</v>
      </c>
      <c r="W212" s="361"/>
      <c r="AG212" s="443"/>
      <c r="AW212" s="35">
        <f t="shared" si="26"/>
        <v>0</v>
      </c>
      <c r="AX212" s="35">
        <f t="shared" si="27"/>
        <v>0</v>
      </c>
    </row>
    <row r="213" spans="1:50" ht="15.75">
      <c r="A213" s="396"/>
      <c r="B213" s="396"/>
      <c r="C213" s="396"/>
      <c r="D213" s="396"/>
      <c r="F213" s="370">
        <v>4.5</v>
      </c>
      <c r="G213" s="368" t="s">
        <v>108</v>
      </c>
      <c r="H213" s="356" t="s">
        <v>131</v>
      </c>
      <c r="I213" s="370">
        <f>K23</f>
        <v>6506.2708000000002</v>
      </c>
      <c r="J213" s="356" t="s">
        <v>108</v>
      </c>
      <c r="K213" s="370">
        <f>(F213*I213)</f>
        <v>29278.2186</v>
      </c>
      <c r="M213" s="460">
        <v>1.013E-2</v>
      </c>
      <c r="N213" s="356" t="s">
        <v>108</v>
      </c>
      <c r="O213" s="356" t="s">
        <v>987</v>
      </c>
      <c r="P213" s="370">
        <f>C89</f>
        <v>99765.440000000002</v>
      </c>
      <c r="Q213" s="356" t="s">
        <v>108</v>
      </c>
      <c r="R213" s="370">
        <f t="shared" si="29"/>
        <v>1010.6239072000001</v>
      </c>
      <c r="W213" s="361"/>
      <c r="AG213" s="443"/>
      <c r="AW213" s="35">
        <f t="shared" si="26"/>
        <v>0</v>
      </c>
      <c r="AX213" s="35">
        <f t="shared" si="27"/>
        <v>0</v>
      </c>
    </row>
    <row r="214" spans="1:50" ht="15.75">
      <c r="A214" s="396"/>
      <c r="B214" s="396"/>
      <c r="C214" s="396"/>
      <c r="D214" s="396"/>
      <c r="F214" s="370">
        <v>1.8</v>
      </c>
      <c r="G214" s="368" t="s">
        <v>151</v>
      </c>
      <c r="H214" s="356" t="s">
        <v>152</v>
      </c>
      <c r="I214" s="370">
        <f>C11</f>
        <v>1118.3999999999999</v>
      </c>
      <c r="J214" s="356" t="s">
        <v>151</v>
      </c>
      <c r="K214" s="370">
        <f>(F214*I214)</f>
        <v>2013.12</v>
      </c>
      <c r="M214" s="460">
        <v>0.77780000000000005</v>
      </c>
      <c r="N214" s="356" t="s">
        <v>107</v>
      </c>
      <c r="O214" s="356" t="s">
        <v>988</v>
      </c>
      <c r="P214" s="370">
        <f>C785</f>
        <v>387.4</v>
      </c>
      <c r="Q214" s="356" t="s">
        <v>107</v>
      </c>
      <c r="R214" s="370">
        <f t="shared" si="29"/>
        <v>301.31972000000002</v>
      </c>
      <c r="W214" s="361"/>
      <c r="AG214" s="443"/>
      <c r="AW214" s="35">
        <f t="shared" si="26"/>
        <v>0</v>
      </c>
      <c r="AX214" s="35">
        <f t="shared" si="27"/>
        <v>0</v>
      </c>
    </row>
    <row r="215" spans="1:50" ht="15.75">
      <c r="A215" s="396"/>
      <c r="B215" s="396"/>
      <c r="C215" s="396"/>
      <c r="D215" s="396"/>
      <c r="F215" s="370">
        <v>17.7</v>
      </c>
      <c r="G215" s="368" t="s">
        <v>151</v>
      </c>
      <c r="H215" s="356" t="s">
        <v>153</v>
      </c>
      <c r="I215" s="370">
        <f>C12</f>
        <v>781.19999999999993</v>
      </c>
      <c r="J215" s="356" t="s">
        <v>151</v>
      </c>
      <c r="K215" s="370">
        <f>(F215*I215)</f>
        <v>13827.239999999998</v>
      </c>
      <c r="M215" s="460">
        <v>1.23</v>
      </c>
      <c r="N215" s="356" t="s">
        <v>107</v>
      </c>
      <c r="O215" s="356" t="s">
        <v>989</v>
      </c>
      <c r="P215" s="370">
        <f>D30</f>
        <v>1537.2</v>
      </c>
      <c r="Q215" s="356" t="s">
        <v>107</v>
      </c>
      <c r="R215" s="370">
        <f t="shared" si="29"/>
        <v>1890.7560000000001</v>
      </c>
      <c r="W215" s="361"/>
      <c r="AG215" s="443"/>
      <c r="AW215" s="35">
        <f t="shared" si="26"/>
        <v>0</v>
      </c>
      <c r="AX215" s="35">
        <f t="shared" si="27"/>
        <v>0</v>
      </c>
    </row>
    <row r="216" spans="1:50" ht="15.75">
      <c r="A216" s="396"/>
      <c r="B216" s="396"/>
      <c r="C216" s="396"/>
      <c r="D216" s="396"/>
      <c r="F216" s="370">
        <v>14.1</v>
      </c>
      <c r="G216" s="368" t="s">
        <v>151</v>
      </c>
      <c r="H216" s="356" t="s">
        <v>154</v>
      </c>
      <c r="I216" s="370">
        <f>C13</f>
        <v>640.79999999999995</v>
      </c>
      <c r="J216" s="356" t="s">
        <v>151</v>
      </c>
      <c r="K216" s="370">
        <f>(F216*I216)</f>
        <v>9035.2799999999988</v>
      </c>
      <c r="M216" s="370">
        <v>2</v>
      </c>
      <c r="N216" s="356" t="s">
        <v>151</v>
      </c>
      <c r="O216" s="356" t="s">
        <v>990</v>
      </c>
      <c r="P216" s="370">
        <f>C286</f>
        <v>64.8</v>
      </c>
      <c r="Q216" s="356" t="s">
        <v>151</v>
      </c>
      <c r="R216" s="370">
        <f t="shared" si="29"/>
        <v>129.6</v>
      </c>
      <c r="W216" s="361"/>
      <c r="AG216" s="443"/>
      <c r="AW216" s="35">
        <f t="shared" si="26"/>
        <v>0</v>
      </c>
      <c r="AX216" s="35">
        <f t="shared" si="27"/>
        <v>0</v>
      </c>
    </row>
    <row r="217" spans="1:50" ht="15.75">
      <c r="A217" s="396"/>
      <c r="B217" s="396"/>
      <c r="C217" s="396"/>
      <c r="D217" s="396"/>
      <c r="G217" s="368" t="s">
        <v>128</v>
      </c>
      <c r="H217" s="356" t="s">
        <v>129</v>
      </c>
      <c r="J217" s="356" t="s">
        <v>128</v>
      </c>
      <c r="K217" s="370">
        <v>0</v>
      </c>
      <c r="M217" s="370">
        <v>3</v>
      </c>
      <c r="N217" s="356" t="s">
        <v>151</v>
      </c>
      <c r="O217" s="356" t="s">
        <v>991</v>
      </c>
      <c r="P217" s="370">
        <f>C281</f>
        <v>89.6</v>
      </c>
      <c r="Q217" s="356" t="s">
        <v>151</v>
      </c>
      <c r="R217" s="370">
        <f t="shared" si="29"/>
        <v>268.79999999999995</v>
      </c>
      <c r="W217" s="361"/>
      <c r="AG217" s="443"/>
      <c r="AW217" s="35">
        <f t="shared" si="26"/>
        <v>0</v>
      </c>
      <c r="AX217" s="35">
        <f t="shared" si="27"/>
        <v>0</v>
      </c>
    </row>
    <row r="218" spans="1:50" ht="15.75">
      <c r="A218" s="396"/>
      <c r="B218" s="396"/>
      <c r="C218" s="396"/>
      <c r="D218" s="396"/>
      <c r="K218" s="363" t="s">
        <v>117</v>
      </c>
      <c r="M218" s="370">
        <v>1</v>
      </c>
      <c r="N218" s="356" t="s">
        <v>151</v>
      </c>
      <c r="O218" s="356" t="s">
        <v>992</v>
      </c>
      <c r="P218" s="370">
        <f>C288</f>
        <v>181</v>
      </c>
      <c r="Q218" s="356" t="s">
        <v>151</v>
      </c>
      <c r="R218" s="370">
        <f t="shared" si="29"/>
        <v>181</v>
      </c>
      <c r="T218" s="35">
        <v>0</v>
      </c>
      <c r="W218" s="361"/>
      <c r="AG218" s="443"/>
      <c r="AW218" s="35">
        <f t="shared" si="26"/>
        <v>0</v>
      </c>
      <c r="AX218" s="35">
        <f t="shared" si="27"/>
        <v>0</v>
      </c>
    </row>
    <row r="219" spans="1:50" ht="15.75">
      <c r="A219" s="396"/>
      <c r="B219" s="396"/>
      <c r="C219" s="396"/>
      <c r="D219" s="396"/>
      <c r="K219" s="370">
        <f>SUM(K212:K217)</f>
        <v>71067.378599999996</v>
      </c>
      <c r="M219" s="370">
        <v>1</v>
      </c>
      <c r="N219" s="356" t="s">
        <v>151</v>
      </c>
      <c r="O219" s="356" t="s">
        <v>993</v>
      </c>
      <c r="P219" s="370">
        <f>C290</f>
        <v>7.3</v>
      </c>
      <c r="Q219" s="356" t="s">
        <v>151</v>
      </c>
      <c r="R219" s="370">
        <f t="shared" si="29"/>
        <v>7.3</v>
      </c>
      <c r="W219" s="361"/>
      <c r="AG219" s="443"/>
      <c r="AW219" s="35">
        <f t="shared" si="26"/>
        <v>0</v>
      </c>
      <c r="AX219" s="35">
        <f t="shared" si="27"/>
        <v>0</v>
      </c>
    </row>
    <row r="220" spans="1:50" ht="15.75">
      <c r="A220" s="396"/>
      <c r="B220" s="396"/>
      <c r="C220" s="396"/>
      <c r="D220" s="396"/>
      <c r="H220" s="356" t="s">
        <v>143</v>
      </c>
      <c r="K220" s="363" t="s">
        <v>117</v>
      </c>
      <c r="M220" s="370">
        <v>1</v>
      </c>
      <c r="N220" s="356" t="s">
        <v>151</v>
      </c>
      <c r="O220" s="356" t="s">
        <v>994</v>
      </c>
      <c r="P220" s="370">
        <f>C600</f>
        <v>57.65</v>
      </c>
      <c r="Q220" s="356" t="s">
        <v>151</v>
      </c>
      <c r="R220" s="370">
        <f t="shared" si="29"/>
        <v>57.65</v>
      </c>
      <c r="W220" s="361"/>
      <c r="AG220" s="443"/>
    </row>
    <row r="221" spans="1:50" ht="15.75">
      <c r="A221" s="396"/>
      <c r="B221" s="396"/>
      <c r="C221" s="396"/>
      <c r="D221" s="396"/>
      <c r="K221" s="369">
        <f>(K219/10)</f>
        <v>7106.7378599999993</v>
      </c>
      <c r="M221" s="370">
        <v>1</v>
      </c>
      <c r="N221" s="356" t="s">
        <v>151</v>
      </c>
      <c r="O221" s="356" t="s">
        <v>995</v>
      </c>
      <c r="P221" s="370">
        <f>D600</f>
        <v>49.55</v>
      </c>
      <c r="Q221" s="356" t="s">
        <v>151</v>
      </c>
      <c r="R221" s="370">
        <f t="shared" si="29"/>
        <v>49.55</v>
      </c>
      <c r="W221" s="361"/>
      <c r="AG221" s="443"/>
    </row>
    <row r="222" spans="1:50" ht="15.75">
      <c r="A222" s="396"/>
      <c r="B222" s="396"/>
      <c r="C222" s="396"/>
      <c r="D222" s="396"/>
      <c r="H222" s="372" t="s">
        <v>155</v>
      </c>
      <c r="K222" s="363" t="s">
        <v>156</v>
      </c>
      <c r="R222" s="363" t="s">
        <v>117</v>
      </c>
      <c r="W222" s="361"/>
      <c r="AG222" s="443"/>
    </row>
    <row r="223" spans="1:50" ht="15.75">
      <c r="A223" s="396"/>
      <c r="B223" s="396"/>
      <c r="C223" s="396"/>
      <c r="D223" s="396"/>
      <c r="O223" s="357" t="s">
        <v>996</v>
      </c>
      <c r="R223" s="370">
        <f>SUM(R212:R221)</f>
        <v>5187.5611504000008</v>
      </c>
      <c r="W223" s="361"/>
      <c r="AG223" s="443"/>
    </row>
    <row r="224" spans="1:50" ht="15.75">
      <c r="A224" s="396"/>
      <c r="B224" s="396"/>
      <c r="C224" s="396"/>
      <c r="D224" s="396"/>
      <c r="F224" s="357" t="s">
        <v>997</v>
      </c>
      <c r="G224" s="368" t="s">
        <v>122</v>
      </c>
      <c r="H224" s="356" t="s">
        <v>998</v>
      </c>
      <c r="N224" s="356" t="s">
        <v>114</v>
      </c>
      <c r="R224" s="363" t="s">
        <v>117</v>
      </c>
      <c r="W224" s="361"/>
      <c r="AG224" s="443"/>
    </row>
    <row r="225" spans="1:33" ht="15.75">
      <c r="A225" s="396"/>
      <c r="B225" s="396"/>
      <c r="C225" s="396"/>
      <c r="D225" s="396"/>
      <c r="H225" s="356" t="s">
        <v>999</v>
      </c>
      <c r="M225" s="356" t="s">
        <v>114</v>
      </c>
      <c r="W225" s="361"/>
      <c r="AG225" s="443"/>
    </row>
    <row r="226" spans="1:33" ht="15.75">
      <c r="A226" s="396"/>
      <c r="B226" s="396"/>
      <c r="C226" s="396"/>
      <c r="D226" s="396"/>
      <c r="H226" s="363" t="s">
        <v>117</v>
      </c>
      <c r="O226" s="357" t="s">
        <v>177</v>
      </c>
      <c r="R226" s="370">
        <f>R223/M215</f>
        <v>4217.529390569106</v>
      </c>
      <c r="W226" s="361"/>
      <c r="AG226" s="443"/>
    </row>
    <row r="227" spans="1:33" ht="15.75">
      <c r="A227" s="396"/>
      <c r="B227" s="396"/>
      <c r="C227" s="396"/>
      <c r="D227" s="396"/>
      <c r="F227" s="370">
        <v>9</v>
      </c>
      <c r="G227" s="368" t="s">
        <v>108</v>
      </c>
      <c r="H227" s="356" t="s">
        <v>1000</v>
      </c>
      <c r="I227" s="370">
        <f>AE20</f>
        <v>1151.4399999999998</v>
      </c>
      <c r="J227" s="356" t="s">
        <v>108</v>
      </c>
      <c r="K227" s="370">
        <f>(F227*I227)</f>
        <v>10362.959999999999</v>
      </c>
      <c r="M227" s="356" t="s">
        <v>1001</v>
      </c>
      <c r="W227" s="361"/>
      <c r="AG227" s="443"/>
    </row>
    <row r="228" spans="1:33" ht="15.75">
      <c r="A228" s="396"/>
      <c r="B228" s="396"/>
      <c r="C228" s="396"/>
      <c r="D228" s="396"/>
      <c r="F228" s="370">
        <v>4.5</v>
      </c>
      <c r="G228" s="368" t="s">
        <v>108</v>
      </c>
      <c r="H228" s="356" t="s">
        <v>137</v>
      </c>
      <c r="I228" s="370">
        <f>K77</f>
        <v>3065.3152</v>
      </c>
      <c r="J228" s="356" t="s">
        <v>108</v>
      </c>
      <c r="K228" s="370">
        <f>(F228*I228)</f>
        <v>13793.9184</v>
      </c>
      <c r="W228" s="361"/>
      <c r="AG228" s="443"/>
    </row>
    <row r="229" spans="1:33" ht="15.75">
      <c r="A229" s="396"/>
      <c r="B229" s="396"/>
      <c r="C229" s="396"/>
      <c r="D229" s="396"/>
      <c r="F229" s="370">
        <v>1.8</v>
      </c>
      <c r="G229" s="368" t="s">
        <v>151</v>
      </c>
      <c r="H229" s="356" t="s">
        <v>152</v>
      </c>
      <c r="I229" s="370">
        <f>C11</f>
        <v>1118.3999999999999</v>
      </c>
      <c r="J229" s="356" t="s">
        <v>151</v>
      </c>
      <c r="K229" s="370">
        <f>(F229*I229)</f>
        <v>2013.12</v>
      </c>
      <c r="W229" s="361"/>
      <c r="AG229" s="443"/>
    </row>
    <row r="230" spans="1:33" ht="15.75">
      <c r="A230" s="396"/>
      <c r="B230" s="396"/>
      <c r="C230" s="396"/>
      <c r="D230" s="396"/>
      <c r="F230" s="370">
        <v>17.7</v>
      </c>
      <c r="G230" s="368" t="s">
        <v>151</v>
      </c>
      <c r="H230" s="356" t="s">
        <v>153</v>
      </c>
      <c r="I230" s="370">
        <f>C12</f>
        <v>781.19999999999993</v>
      </c>
      <c r="J230" s="356" t="s">
        <v>151</v>
      </c>
      <c r="K230" s="370">
        <f>(F230*I230)</f>
        <v>13827.239999999998</v>
      </c>
      <c r="M230" s="357" t="s">
        <v>997</v>
      </c>
      <c r="N230" s="368" t="s">
        <v>122</v>
      </c>
      <c r="O230" s="356" t="s">
        <v>1002</v>
      </c>
      <c r="Q230" s="360"/>
      <c r="W230" s="361"/>
      <c r="AG230" s="443"/>
    </row>
    <row r="231" spans="1:33" ht="15.75">
      <c r="A231" s="396"/>
      <c r="B231" s="396"/>
      <c r="C231" s="396"/>
      <c r="D231" s="396"/>
      <c r="F231" s="370">
        <v>14.1</v>
      </c>
      <c r="G231" s="368" t="s">
        <v>151</v>
      </c>
      <c r="H231" s="356" t="s">
        <v>154</v>
      </c>
      <c r="I231" s="370">
        <f>C13</f>
        <v>640.79999999999995</v>
      </c>
      <c r="J231" s="356" t="s">
        <v>151</v>
      </c>
      <c r="K231" s="370">
        <f>(F231*I231)</f>
        <v>9035.2799999999988</v>
      </c>
      <c r="N231" s="358"/>
      <c r="O231" s="356" t="s">
        <v>1003</v>
      </c>
      <c r="Q231" s="360"/>
      <c r="W231" s="361"/>
      <c r="AG231" s="443"/>
    </row>
    <row r="232" spans="1:33" ht="15.75">
      <c r="A232" s="396"/>
      <c r="B232" s="396"/>
      <c r="C232" s="396"/>
      <c r="D232" s="396"/>
      <c r="G232" s="368" t="s">
        <v>128</v>
      </c>
      <c r="H232" s="356" t="s">
        <v>129</v>
      </c>
      <c r="J232" s="356" t="s">
        <v>128</v>
      </c>
      <c r="K232" s="370">
        <v>0</v>
      </c>
      <c r="N232" s="358"/>
      <c r="O232" s="363" t="s">
        <v>117</v>
      </c>
      <c r="Q232" s="360"/>
      <c r="W232" s="361"/>
      <c r="AG232" s="443"/>
    </row>
    <row r="233" spans="1:33" ht="15.75">
      <c r="A233" s="396"/>
      <c r="B233" s="396"/>
      <c r="C233" s="396"/>
      <c r="D233" s="396"/>
      <c r="K233" s="363" t="s">
        <v>117</v>
      </c>
      <c r="M233" s="370">
        <v>9</v>
      </c>
      <c r="N233" s="368" t="s">
        <v>108</v>
      </c>
      <c r="O233" s="356" t="s">
        <v>1004</v>
      </c>
      <c r="P233" s="370">
        <f>AE15</f>
        <v>1460.08</v>
      </c>
      <c r="Q233" s="356" t="s">
        <v>108</v>
      </c>
      <c r="R233" s="370">
        <f>(M233*P233)</f>
        <v>13140.72</v>
      </c>
      <c r="W233" s="361"/>
      <c r="AG233" s="443"/>
    </row>
    <row r="234" spans="1:33" ht="15.75">
      <c r="A234" s="396"/>
      <c r="B234" s="396"/>
      <c r="C234" s="396"/>
      <c r="D234" s="396"/>
      <c r="K234" s="370">
        <f>SUM(K227:K232)</f>
        <v>49032.518400000001</v>
      </c>
      <c r="M234" s="370">
        <v>4.5</v>
      </c>
      <c r="N234" s="368" t="s">
        <v>108</v>
      </c>
      <c r="O234" s="356" t="s">
        <v>133</v>
      </c>
      <c r="P234" s="370">
        <f>K40</f>
        <v>4212.3004000000001</v>
      </c>
      <c r="Q234" s="356" t="s">
        <v>108</v>
      </c>
      <c r="R234" s="370">
        <f>(M234*P234)</f>
        <v>18955.3518</v>
      </c>
      <c r="W234" s="361"/>
      <c r="AG234" s="443"/>
    </row>
    <row r="235" spans="1:33" ht="15.75">
      <c r="A235" s="396"/>
      <c r="B235" s="396"/>
      <c r="C235" s="396"/>
      <c r="D235" s="396"/>
      <c r="H235" s="356" t="s">
        <v>143</v>
      </c>
      <c r="K235" s="363" t="s">
        <v>117</v>
      </c>
      <c r="M235" s="370">
        <v>1.8</v>
      </c>
      <c r="N235" s="368" t="s">
        <v>151</v>
      </c>
      <c r="O235" s="356" t="s">
        <v>152</v>
      </c>
      <c r="P235" s="370">
        <f>I229</f>
        <v>1118.3999999999999</v>
      </c>
      <c r="Q235" s="356" t="s">
        <v>151</v>
      </c>
      <c r="R235" s="370">
        <f>(M235*P235)</f>
        <v>2013.12</v>
      </c>
      <c r="W235" s="361"/>
      <c r="AG235" s="443"/>
    </row>
    <row r="236" spans="1:33" ht="15.75">
      <c r="A236" s="396"/>
      <c r="B236" s="396"/>
      <c r="C236" s="396"/>
      <c r="D236" s="396"/>
      <c r="K236" s="369">
        <f>(K234/10)</f>
        <v>4903.2518399999999</v>
      </c>
      <c r="M236" s="370">
        <v>17.7</v>
      </c>
      <c r="N236" s="368" t="s">
        <v>151</v>
      </c>
      <c r="O236" s="356" t="s">
        <v>153</v>
      </c>
      <c r="P236" s="370">
        <f>I230</f>
        <v>781.19999999999993</v>
      </c>
      <c r="Q236" s="356" t="s">
        <v>151</v>
      </c>
      <c r="R236" s="370">
        <f>(M236*P236)</f>
        <v>13827.239999999998</v>
      </c>
      <c r="W236" s="361"/>
      <c r="AG236" s="443"/>
    </row>
    <row r="237" spans="1:33" ht="15.75">
      <c r="A237" s="396"/>
      <c r="B237" s="396"/>
      <c r="C237" s="396"/>
      <c r="D237" s="396"/>
      <c r="H237" s="372" t="s">
        <v>155</v>
      </c>
      <c r="K237" s="363" t="s">
        <v>156</v>
      </c>
      <c r="M237" s="370">
        <v>14.1</v>
      </c>
      <c r="N237" s="368" t="s">
        <v>151</v>
      </c>
      <c r="O237" s="356" t="s">
        <v>154</v>
      </c>
      <c r="P237" s="370">
        <f>I231</f>
        <v>640.79999999999995</v>
      </c>
      <c r="Q237" s="356" t="s">
        <v>151</v>
      </c>
      <c r="R237" s="370">
        <f>(M237*P237)</f>
        <v>9035.2799999999988</v>
      </c>
      <c r="W237" s="361"/>
      <c r="AG237" s="443"/>
    </row>
    <row r="238" spans="1:33" ht="15.75">
      <c r="A238" s="396"/>
      <c r="B238" s="396"/>
      <c r="C238" s="396"/>
      <c r="D238" s="396"/>
      <c r="N238" s="368" t="s">
        <v>128</v>
      </c>
      <c r="O238" s="356" t="s">
        <v>129</v>
      </c>
      <c r="Q238" s="356" t="s">
        <v>128</v>
      </c>
      <c r="R238" s="370">
        <v>0</v>
      </c>
      <c r="W238" s="361"/>
      <c r="AG238" s="443"/>
    </row>
    <row r="239" spans="1:33" ht="15.75">
      <c r="A239" s="396"/>
      <c r="B239" s="396"/>
      <c r="C239" s="396"/>
      <c r="D239" s="396"/>
      <c r="N239" s="358"/>
      <c r="Q239" s="360"/>
      <c r="R239" s="363" t="s">
        <v>117</v>
      </c>
      <c r="W239" s="361"/>
      <c r="AG239" s="443"/>
    </row>
    <row r="240" spans="1:33" ht="15.75">
      <c r="A240" s="396"/>
      <c r="B240" s="396"/>
      <c r="C240" s="396"/>
      <c r="D240" s="396"/>
      <c r="F240" s="412">
        <v>3.6</v>
      </c>
      <c r="H240" s="356" t="s">
        <v>1005</v>
      </c>
      <c r="N240" s="358"/>
      <c r="Q240" s="360"/>
      <c r="R240" s="370">
        <f>SUM(R233:R238)</f>
        <v>56971.711799999997</v>
      </c>
      <c r="W240" s="361"/>
      <c r="AG240" s="443"/>
    </row>
    <row r="241" spans="1:33" ht="15.75">
      <c r="A241" s="396"/>
      <c r="B241" s="396"/>
      <c r="C241" s="396"/>
      <c r="D241" s="396"/>
      <c r="H241" s="356" t="s">
        <v>1006</v>
      </c>
      <c r="N241" s="358"/>
      <c r="O241" s="356" t="s">
        <v>143</v>
      </c>
      <c r="Q241" s="360"/>
      <c r="R241" s="363" t="s">
        <v>117</v>
      </c>
      <c r="W241" s="361"/>
      <c r="AG241" s="443"/>
    </row>
    <row r="242" spans="1:33" ht="15.75">
      <c r="A242" s="396"/>
      <c r="B242" s="396"/>
      <c r="C242" s="396"/>
      <c r="D242" s="396"/>
      <c r="H242" s="363" t="s">
        <v>156</v>
      </c>
      <c r="N242" s="358"/>
      <c r="Q242" s="360"/>
      <c r="R242" s="369">
        <f>(R240/10)</f>
        <v>5697.1711799999994</v>
      </c>
      <c r="W242" s="361"/>
      <c r="AG242" s="443"/>
    </row>
    <row r="243" spans="1:33" ht="15.75">
      <c r="A243" s="396"/>
      <c r="B243" s="396"/>
      <c r="C243" s="396"/>
      <c r="D243" s="396"/>
      <c r="F243" s="370">
        <v>1.25</v>
      </c>
      <c r="G243" s="368" t="s">
        <v>405</v>
      </c>
      <c r="H243" s="356" t="s">
        <v>1007</v>
      </c>
      <c r="I243" s="459">
        <f>C814</f>
        <v>3.15</v>
      </c>
      <c r="J243" s="356" t="s">
        <v>405</v>
      </c>
      <c r="K243" s="370">
        <f>(F243*I243)</f>
        <v>3.9375</v>
      </c>
      <c r="N243" s="358"/>
      <c r="O243" s="372" t="s">
        <v>155</v>
      </c>
      <c r="Q243" s="360"/>
      <c r="R243" s="363" t="s">
        <v>156</v>
      </c>
      <c r="W243" s="361"/>
      <c r="AG243" s="443"/>
    </row>
    <row r="244" spans="1:33" ht="15.75">
      <c r="A244" s="396"/>
      <c r="B244" s="396"/>
      <c r="C244" s="396"/>
      <c r="D244" s="396"/>
      <c r="F244" s="370">
        <v>0.75</v>
      </c>
      <c r="G244" s="368" t="s">
        <v>405</v>
      </c>
      <c r="H244" s="356" t="s">
        <v>1008</v>
      </c>
      <c r="I244" s="370">
        <f>AE37</f>
        <v>1305.73</v>
      </c>
      <c r="J244" s="356" t="s">
        <v>405</v>
      </c>
      <c r="K244" s="370">
        <f>(F244*I244)</f>
        <v>979.29750000000001</v>
      </c>
      <c r="W244" s="361"/>
      <c r="AG244" s="443"/>
    </row>
    <row r="245" spans="1:33" ht="15.75">
      <c r="A245" s="396"/>
      <c r="B245" s="396"/>
      <c r="C245" s="396"/>
      <c r="D245" s="396"/>
      <c r="F245" s="370">
        <v>0.5</v>
      </c>
      <c r="G245" s="368" t="s">
        <v>405</v>
      </c>
      <c r="H245" s="356" t="s">
        <v>1009</v>
      </c>
      <c r="I245" s="370">
        <f>AE36</f>
        <v>1472.78</v>
      </c>
      <c r="J245" s="356" t="s">
        <v>405</v>
      </c>
      <c r="K245" s="370">
        <f>(F245*I245)</f>
        <v>736.39</v>
      </c>
      <c r="W245" s="361"/>
      <c r="AG245" s="443"/>
    </row>
    <row r="246" spans="1:33" ht="15.75">
      <c r="A246" s="396"/>
      <c r="B246" s="396"/>
      <c r="C246" s="396"/>
      <c r="D246" s="396"/>
      <c r="F246" s="370">
        <v>0.45</v>
      </c>
      <c r="G246" s="368" t="s">
        <v>405</v>
      </c>
      <c r="H246" s="356" t="s">
        <v>1010</v>
      </c>
      <c r="I246" s="370">
        <f>AE38</f>
        <v>778.59</v>
      </c>
      <c r="J246" s="356" t="s">
        <v>405</v>
      </c>
      <c r="K246" s="370">
        <f>(F246*I246)</f>
        <v>350.3655</v>
      </c>
      <c r="W246" s="361"/>
      <c r="AG246" s="443"/>
    </row>
    <row r="247" spans="1:33" ht="15.75">
      <c r="A247" s="396"/>
      <c r="B247" s="396"/>
      <c r="C247" s="396"/>
      <c r="D247" s="396"/>
      <c r="F247" s="370">
        <v>10</v>
      </c>
      <c r="G247" s="368" t="s">
        <v>478</v>
      </c>
      <c r="H247" s="356" t="s">
        <v>1011</v>
      </c>
      <c r="I247" s="459">
        <v>17.82</v>
      </c>
      <c r="J247" s="356" t="s">
        <v>478</v>
      </c>
      <c r="K247" s="370">
        <f>(F247*I247)</f>
        <v>178.2</v>
      </c>
      <c r="W247" s="361"/>
      <c r="AG247" s="443"/>
    </row>
    <row r="248" spans="1:33" ht="15.75">
      <c r="A248" s="396"/>
      <c r="B248" s="396"/>
      <c r="C248" s="396"/>
      <c r="D248" s="396"/>
      <c r="H248" s="356" t="s">
        <v>1012</v>
      </c>
      <c r="K248" s="363" t="s">
        <v>117</v>
      </c>
      <c r="W248" s="361"/>
      <c r="AG248" s="443"/>
    </row>
    <row r="249" spans="1:33" ht="15.75">
      <c r="A249" s="396"/>
      <c r="B249" s="396"/>
      <c r="C249" s="396"/>
      <c r="D249" s="396"/>
      <c r="H249" s="356" t="s">
        <v>1013</v>
      </c>
      <c r="K249" s="370">
        <f>SUM(K243:K247)</f>
        <v>2248.1904999999997</v>
      </c>
      <c r="W249" s="361"/>
      <c r="AG249" s="443"/>
    </row>
    <row r="250" spans="1:33" ht="15.75">
      <c r="A250" s="396"/>
      <c r="B250" s="396"/>
      <c r="C250" s="396"/>
      <c r="D250" s="396"/>
      <c r="K250" s="363" t="s">
        <v>117</v>
      </c>
      <c r="W250" s="361"/>
      <c r="AG250" s="443"/>
    </row>
    <row r="251" spans="1:33" ht="15.75">
      <c r="A251" s="396"/>
      <c r="B251" s="396"/>
      <c r="C251" s="396"/>
      <c r="D251" s="396"/>
      <c r="H251" s="372" t="s">
        <v>1014</v>
      </c>
      <c r="K251" s="369">
        <f>K249/10</f>
        <v>224.81904999999998</v>
      </c>
      <c r="W251" s="361"/>
      <c r="AG251" s="443"/>
    </row>
    <row r="252" spans="1:33" ht="15.75">
      <c r="A252" s="396"/>
      <c r="B252" s="396"/>
      <c r="C252" s="396"/>
      <c r="D252" s="396"/>
      <c r="K252" s="363" t="s">
        <v>156</v>
      </c>
      <c r="W252" s="361"/>
      <c r="AG252" s="443"/>
    </row>
    <row r="253" spans="1:33" ht="15.75">
      <c r="A253" s="396"/>
      <c r="B253" s="396"/>
      <c r="C253" s="396"/>
      <c r="D253" s="396"/>
      <c r="W253" s="361"/>
      <c r="AG253" s="443"/>
    </row>
    <row r="254" spans="1:33" ht="15.75">
      <c r="A254" s="396"/>
      <c r="B254" s="396"/>
      <c r="C254" s="396"/>
      <c r="D254" s="396"/>
      <c r="F254" s="412">
        <v>3.7</v>
      </c>
      <c r="H254" s="356" t="s">
        <v>1015</v>
      </c>
      <c r="W254" s="361"/>
      <c r="AG254" s="443"/>
    </row>
    <row r="255" spans="1:33" ht="15.75">
      <c r="A255" s="396"/>
      <c r="B255" s="396"/>
      <c r="C255" s="396"/>
      <c r="D255" s="396"/>
      <c r="H255" s="363" t="s">
        <v>117</v>
      </c>
      <c r="W255" s="361"/>
      <c r="AG255" s="443"/>
    </row>
    <row r="256" spans="1:33" ht="15.75">
      <c r="A256" s="396"/>
      <c r="B256" s="396"/>
      <c r="C256" s="396"/>
      <c r="D256" s="396"/>
      <c r="F256" s="370">
        <v>2.7</v>
      </c>
      <c r="G256" s="368" t="s">
        <v>405</v>
      </c>
      <c r="H256" s="356" t="s">
        <v>1016</v>
      </c>
      <c r="I256" s="370">
        <f>AE35</f>
        <v>1351.28</v>
      </c>
      <c r="J256" s="356" t="s">
        <v>405</v>
      </c>
      <c r="K256" s="370">
        <f>(F256*I256)</f>
        <v>3648.4560000000001</v>
      </c>
      <c r="W256" s="361"/>
      <c r="AG256" s="443"/>
    </row>
    <row r="257" spans="1:35" ht="15.75">
      <c r="A257" s="396"/>
      <c r="B257" s="396"/>
      <c r="C257" s="396"/>
      <c r="D257" s="396"/>
      <c r="F257" s="461">
        <v>0.14499999999999999</v>
      </c>
      <c r="G257" s="368" t="s">
        <v>405</v>
      </c>
      <c r="H257" s="356" t="s">
        <v>1017</v>
      </c>
      <c r="I257" s="370">
        <f>AE17</f>
        <v>1779.13</v>
      </c>
      <c r="J257" s="356" t="s">
        <v>405</v>
      </c>
      <c r="K257" s="370">
        <f>(F257*I257)</f>
        <v>257.97384999999997</v>
      </c>
      <c r="W257" s="361"/>
      <c r="AG257" s="443"/>
    </row>
    <row r="258" spans="1:35" ht="15.75">
      <c r="A258" s="396"/>
      <c r="B258" s="396"/>
      <c r="C258" s="396"/>
      <c r="D258" s="396"/>
      <c r="F258" s="370">
        <v>218.8</v>
      </c>
      <c r="G258" s="368" t="s">
        <v>480</v>
      </c>
      <c r="H258" s="356" t="s">
        <v>1018</v>
      </c>
      <c r="I258" s="370">
        <f>C144</f>
        <v>43563.69</v>
      </c>
      <c r="J258" s="356" t="s">
        <v>443</v>
      </c>
      <c r="K258" s="370">
        <f>(F258*I258)/1000</f>
        <v>9531.735372000001</v>
      </c>
      <c r="W258" s="361"/>
      <c r="AG258" s="443"/>
    </row>
    <row r="259" spans="1:35" ht="15.75">
      <c r="A259" s="396"/>
      <c r="B259" s="396"/>
      <c r="C259" s="396"/>
      <c r="D259" s="396"/>
      <c r="F259" s="370">
        <v>100</v>
      </c>
      <c r="G259" s="368" t="s">
        <v>478</v>
      </c>
      <c r="H259" s="356" t="s">
        <v>315</v>
      </c>
      <c r="I259" s="459">
        <v>14.3</v>
      </c>
      <c r="J259" s="356" t="s">
        <v>478</v>
      </c>
      <c r="K259" s="370">
        <f>(F259*I259)</f>
        <v>1430</v>
      </c>
      <c r="W259" s="361"/>
      <c r="AG259" s="443"/>
    </row>
    <row r="260" spans="1:35" ht="15.75">
      <c r="A260" s="396"/>
      <c r="B260" s="396"/>
      <c r="C260" s="396"/>
      <c r="D260" s="396"/>
      <c r="K260" s="363" t="s">
        <v>117</v>
      </c>
      <c r="W260" s="361"/>
      <c r="AG260" s="443"/>
    </row>
    <row r="261" spans="1:35" ht="15.75">
      <c r="A261" s="396"/>
      <c r="B261" s="396"/>
      <c r="C261" s="396"/>
      <c r="D261" s="396"/>
      <c r="H261" s="356" t="s">
        <v>1019</v>
      </c>
      <c r="K261" s="370">
        <f>SUM(K256:K259)</f>
        <v>14868.165222000001</v>
      </c>
      <c r="W261" s="361"/>
      <c r="AG261" s="443"/>
    </row>
    <row r="262" spans="1:35" ht="15.75">
      <c r="A262" s="396"/>
      <c r="B262" s="396"/>
      <c r="C262" s="396"/>
      <c r="D262" s="396"/>
      <c r="K262" s="363" t="s">
        <v>117</v>
      </c>
      <c r="W262" s="361"/>
      <c r="AG262" s="443"/>
    </row>
    <row r="263" spans="1:35" ht="15.75">
      <c r="A263" s="396"/>
      <c r="B263" s="396"/>
      <c r="C263" s="396"/>
      <c r="D263" s="396"/>
      <c r="H263" s="372" t="s">
        <v>1014</v>
      </c>
      <c r="K263" s="369">
        <f>K261/100</f>
        <v>148.68165222000002</v>
      </c>
      <c r="W263" s="361"/>
      <c r="AG263" s="443"/>
    </row>
    <row r="264" spans="1:35" ht="15.75">
      <c r="A264" s="396"/>
      <c r="B264" s="396"/>
      <c r="C264" s="396"/>
      <c r="D264" s="396"/>
      <c r="F264" s="356" t="s">
        <v>114</v>
      </c>
      <c r="G264" s="368" t="s">
        <v>114</v>
      </c>
      <c r="K264" s="363" t="s">
        <v>156</v>
      </c>
      <c r="W264" s="361"/>
      <c r="AG264" s="443"/>
    </row>
    <row r="265" spans="1:35" ht="15.75">
      <c r="A265" s="396"/>
      <c r="B265" s="396"/>
      <c r="C265" s="396"/>
      <c r="D265" s="396"/>
      <c r="W265" s="361"/>
      <c r="AG265" s="443"/>
    </row>
    <row r="266" spans="1:35" ht="15.75">
      <c r="A266" s="396"/>
      <c r="B266" s="396"/>
      <c r="C266" s="396"/>
      <c r="D266" s="396"/>
      <c r="W266" s="361"/>
      <c r="AG266" s="443"/>
    </row>
    <row r="267" spans="1:35" ht="15.75">
      <c r="A267" s="382">
        <f>(A208+1)</f>
        <v>105</v>
      </c>
      <c r="B267" s="462" t="s">
        <v>1020</v>
      </c>
      <c r="C267" s="394">
        <v>140.65</v>
      </c>
      <c r="D267" s="385" t="s">
        <v>223</v>
      </c>
      <c r="F267" s="357" t="s">
        <v>1021</v>
      </c>
      <c r="H267" s="356" t="s">
        <v>1022</v>
      </c>
      <c r="N267" s="356" t="s">
        <v>932</v>
      </c>
      <c r="O267" s="356" t="s">
        <v>1023</v>
      </c>
      <c r="W267" s="361"/>
      <c r="AG267" s="443"/>
      <c r="AI267" s="356"/>
    </row>
    <row r="268" spans="1:35" ht="15.75">
      <c r="A268" s="382">
        <f t="shared" ref="A268:A282" si="30">(A267+1)</f>
        <v>106</v>
      </c>
      <c r="B268" s="462" t="s">
        <v>1024</v>
      </c>
      <c r="C268" s="394">
        <v>170.35</v>
      </c>
      <c r="D268" s="385" t="s">
        <v>223</v>
      </c>
      <c r="H268" s="363" t="s">
        <v>156</v>
      </c>
      <c r="O268" s="363" t="s">
        <v>117</v>
      </c>
      <c r="W268" s="361"/>
      <c r="AG268" s="443"/>
      <c r="AI268" s="356"/>
    </row>
    <row r="269" spans="1:35" ht="15.75">
      <c r="A269" s="382">
        <f t="shared" si="30"/>
        <v>107</v>
      </c>
      <c r="B269" s="463" t="s">
        <v>1025</v>
      </c>
      <c r="C269" s="464">
        <v>63</v>
      </c>
      <c r="D269" s="394">
        <v>156</v>
      </c>
      <c r="E269" s="35" t="s">
        <v>1026</v>
      </c>
      <c r="G269" s="368" t="s">
        <v>122</v>
      </c>
      <c r="H269" s="356" t="s">
        <v>1027</v>
      </c>
      <c r="M269" s="370">
        <v>1.1399999999999999</v>
      </c>
      <c r="N269" s="356" t="s">
        <v>108</v>
      </c>
      <c r="O269" s="356" t="s">
        <v>959</v>
      </c>
      <c r="P269" s="370">
        <f>(K422)</f>
        <v>7171.5069635999998</v>
      </c>
      <c r="Q269" s="356" t="s">
        <v>151</v>
      </c>
      <c r="R269" s="370">
        <f>(M269*P269)</f>
        <v>8175.5179385039992</v>
      </c>
      <c r="W269" s="361"/>
      <c r="AG269" s="443"/>
      <c r="AI269" s="356"/>
    </row>
    <row r="270" spans="1:35" ht="15.75">
      <c r="A270" s="382">
        <f t="shared" si="30"/>
        <v>108</v>
      </c>
      <c r="B270" s="440" t="s">
        <v>1028</v>
      </c>
      <c r="C270" s="394">
        <v>17600</v>
      </c>
      <c r="D270" s="385" t="s">
        <v>108</v>
      </c>
      <c r="H270" s="356" t="s">
        <v>1029</v>
      </c>
      <c r="M270" s="370">
        <v>1</v>
      </c>
      <c r="N270" s="356" t="s">
        <v>223</v>
      </c>
      <c r="O270" s="356" t="s">
        <v>162</v>
      </c>
      <c r="P270" s="370">
        <f>(C10)</f>
        <v>1198.8</v>
      </c>
      <c r="Q270" s="356" t="s">
        <v>151</v>
      </c>
      <c r="R270" s="370">
        <f>(M270*P270)</f>
        <v>1198.8</v>
      </c>
      <c r="W270" s="361"/>
      <c r="AG270" s="443"/>
      <c r="AI270" s="356"/>
    </row>
    <row r="271" spans="1:35" ht="15.75">
      <c r="A271" s="382">
        <f t="shared" si="30"/>
        <v>109</v>
      </c>
      <c r="B271" s="356" t="s">
        <v>1030</v>
      </c>
      <c r="C271" s="394">
        <v>15500</v>
      </c>
      <c r="D271" s="385" t="s">
        <v>108</v>
      </c>
      <c r="H271" s="363" t="s">
        <v>117</v>
      </c>
      <c r="N271" s="356" t="s">
        <v>128</v>
      </c>
      <c r="O271" s="356" t="s">
        <v>129</v>
      </c>
      <c r="P271" s="356" t="s">
        <v>114</v>
      </c>
      <c r="Q271" s="356" t="s">
        <v>128</v>
      </c>
      <c r="R271" s="370">
        <v>0.05</v>
      </c>
      <c r="W271" s="361"/>
      <c r="AG271" s="443"/>
      <c r="AI271" s="356"/>
    </row>
    <row r="272" spans="1:35" ht="15.75">
      <c r="A272" s="382">
        <f t="shared" si="30"/>
        <v>110</v>
      </c>
      <c r="B272" s="356" t="s">
        <v>1031</v>
      </c>
      <c r="C272" s="394">
        <v>25.2</v>
      </c>
      <c r="D272" s="385" t="s">
        <v>223</v>
      </c>
      <c r="F272" s="370">
        <v>9</v>
      </c>
      <c r="G272" s="368" t="s">
        <v>108</v>
      </c>
      <c r="H272" s="356" t="s">
        <v>1032</v>
      </c>
      <c r="I272" s="370">
        <f>(C73)</f>
        <v>1879.28</v>
      </c>
      <c r="J272" s="356" t="s">
        <v>108</v>
      </c>
      <c r="K272" s="370">
        <f t="shared" ref="K272:K277" si="31">(F272*I272)</f>
        <v>16913.52</v>
      </c>
      <c r="R272" s="363" t="s">
        <v>117</v>
      </c>
      <c r="W272" s="361"/>
      <c r="AG272" s="443"/>
      <c r="AI272" s="356"/>
    </row>
    <row r="273" spans="1:35" ht="15.75">
      <c r="A273" s="382">
        <f t="shared" si="30"/>
        <v>111</v>
      </c>
      <c r="B273" s="356" t="s">
        <v>1033</v>
      </c>
      <c r="C273" s="394">
        <v>49.85</v>
      </c>
      <c r="D273" s="385" t="s">
        <v>213</v>
      </c>
      <c r="E273" s="448">
        <v>158</v>
      </c>
      <c r="F273" s="407">
        <v>3.2309999999999999</v>
      </c>
      <c r="G273" s="368" t="s">
        <v>124</v>
      </c>
      <c r="H273" s="356" t="s">
        <v>125</v>
      </c>
      <c r="I273" s="370">
        <f>(C67)</f>
        <v>6372.14</v>
      </c>
      <c r="J273" s="356" t="s">
        <v>124</v>
      </c>
      <c r="K273" s="370">
        <f t="shared" si="31"/>
        <v>20588.384340000001</v>
      </c>
      <c r="O273" s="356" t="s">
        <v>176</v>
      </c>
      <c r="R273" s="370">
        <f>SUM(R269:R271)</f>
        <v>9374.3679385039977</v>
      </c>
      <c r="W273" s="361"/>
      <c r="AG273" s="443"/>
      <c r="AI273" s="356"/>
    </row>
    <row r="274" spans="1:35" ht="15.75">
      <c r="A274" s="382">
        <f t="shared" si="30"/>
        <v>112</v>
      </c>
      <c r="B274" s="356" t="s">
        <v>1034</v>
      </c>
      <c r="C274" s="394">
        <v>306.89999999999998</v>
      </c>
      <c r="D274" s="402">
        <v>452.09</v>
      </c>
      <c r="E274" s="465">
        <v>250</v>
      </c>
      <c r="F274" s="370">
        <v>4.5</v>
      </c>
      <c r="G274" s="368" t="s">
        <v>108</v>
      </c>
      <c r="H274" s="356" t="s">
        <v>126</v>
      </c>
      <c r="I274" s="370">
        <f>(C78)</f>
        <v>1779.13</v>
      </c>
      <c r="J274" s="356" t="s">
        <v>108</v>
      </c>
      <c r="K274" s="370">
        <f t="shared" si="31"/>
        <v>8006.0850000000009</v>
      </c>
      <c r="R274" s="363" t="s">
        <v>117</v>
      </c>
      <c r="W274" s="361"/>
      <c r="AG274" s="443"/>
      <c r="AI274" s="356"/>
    </row>
    <row r="275" spans="1:35" ht="15.75">
      <c r="A275" s="382">
        <f t="shared" si="30"/>
        <v>113</v>
      </c>
      <c r="B275" s="356" t="s">
        <v>1035</v>
      </c>
      <c r="C275" s="394">
        <v>144.1</v>
      </c>
      <c r="D275" s="385" t="s">
        <v>110</v>
      </c>
      <c r="F275" s="370">
        <v>3.5</v>
      </c>
      <c r="G275" s="368" t="s">
        <v>151</v>
      </c>
      <c r="H275" s="356" t="s">
        <v>152</v>
      </c>
      <c r="I275" s="370">
        <f>(C11)</f>
        <v>1118.3999999999999</v>
      </c>
      <c r="J275" s="356" t="s">
        <v>151</v>
      </c>
      <c r="K275" s="370">
        <f t="shared" si="31"/>
        <v>3914.3999999999996</v>
      </c>
      <c r="O275" s="356" t="s">
        <v>177</v>
      </c>
      <c r="R275" s="370">
        <f>(R273/10)</f>
        <v>937.43679385039979</v>
      </c>
      <c r="W275" s="361"/>
      <c r="AG275" s="443"/>
      <c r="AI275" s="356"/>
    </row>
    <row r="276" spans="1:35" ht="15.75">
      <c r="A276" s="382">
        <f t="shared" si="30"/>
        <v>114</v>
      </c>
      <c r="B276" s="356" t="s">
        <v>1036</v>
      </c>
      <c r="C276" s="394">
        <v>52.3</v>
      </c>
      <c r="D276" s="385" t="s">
        <v>223</v>
      </c>
      <c r="F276" s="370">
        <v>21.2</v>
      </c>
      <c r="G276" s="368" t="s">
        <v>151</v>
      </c>
      <c r="H276" s="356" t="s">
        <v>153</v>
      </c>
      <c r="I276" s="370">
        <f>(C12)</f>
        <v>781.19999999999993</v>
      </c>
      <c r="J276" s="356" t="s">
        <v>151</v>
      </c>
      <c r="K276" s="370">
        <f t="shared" si="31"/>
        <v>16561.439999999999</v>
      </c>
      <c r="R276" s="363" t="s">
        <v>156</v>
      </c>
      <c r="W276" s="361"/>
      <c r="Z276" s="36"/>
      <c r="AA276" s="36"/>
      <c r="AB276" s="36"/>
      <c r="AG276" s="443"/>
      <c r="AI276" s="356"/>
    </row>
    <row r="277" spans="1:35" ht="15.75">
      <c r="A277" s="382">
        <f t="shared" si="30"/>
        <v>115</v>
      </c>
      <c r="B277" s="356" t="s">
        <v>1037</v>
      </c>
      <c r="C277" s="394">
        <v>45.7</v>
      </c>
      <c r="D277" s="385" t="s">
        <v>223</v>
      </c>
      <c r="F277" s="370">
        <v>35.299999999999997</v>
      </c>
      <c r="G277" s="368" t="s">
        <v>151</v>
      </c>
      <c r="H277" s="356" t="s">
        <v>154</v>
      </c>
      <c r="I277" s="370">
        <f>(C13)</f>
        <v>640.79999999999995</v>
      </c>
      <c r="J277" s="356" t="s">
        <v>151</v>
      </c>
      <c r="K277" s="370">
        <f t="shared" si="31"/>
        <v>22620.239999999998</v>
      </c>
      <c r="N277" s="356" t="s">
        <v>1038</v>
      </c>
      <c r="O277" s="356" t="s">
        <v>172</v>
      </c>
      <c r="R277" s="370">
        <f>(R275+C19/10*M269)</f>
        <v>948.23031385039974</v>
      </c>
      <c r="W277" s="361"/>
      <c r="Z277" s="36"/>
      <c r="AA277" s="36"/>
      <c r="AB277" s="36"/>
      <c r="AG277" s="443"/>
      <c r="AI277" s="356"/>
    </row>
    <row r="278" spans="1:35" ht="15.75">
      <c r="A278" s="382">
        <f t="shared" si="30"/>
        <v>116</v>
      </c>
      <c r="B278" s="385" t="s">
        <v>1039</v>
      </c>
      <c r="C278" s="401">
        <v>16.440000000000001</v>
      </c>
      <c r="D278" s="385" t="s">
        <v>223</v>
      </c>
      <c r="G278" s="368" t="s">
        <v>128</v>
      </c>
      <c r="H278" s="356" t="s">
        <v>129</v>
      </c>
      <c r="I278" s="356" t="s">
        <v>114</v>
      </c>
      <c r="J278" s="356" t="s">
        <v>128</v>
      </c>
      <c r="K278" s="370">
        <v>0</v>
      </c>
      <c r="N278" s="356" t="s">
        <v>1040</v>
      </c>
      <c r="O278" s="356" t="s">
        <v>873</v>
      </c>
      <c r="R278" s="370">
        <f>(R277+C20/10*M269)</f>
        <v>970.00887385039971</v>
      </c>
      <c r="W278" s="361"/>
      <c r="Z278" s="36"/>
      <c r="AA278" s="36"/>
      <c r="AB278" s="36"/>
      <c r="AG278" s="443"/>
      <c r="AI278" s="356"/>
    </row>
    <row r="279" spans="1:35" ht="15.75">
      <c r="A279" s="382">
        <f t="shared" si="30"/>
        <v>117</v>
      </c>
      <c r="B279" s="356" t="s">
        <v>1041</v>
      </c>
      <c r="C279" s="394">
        <v>32.1</v>
      </c>
      <c r="D279" s="466">
        <v>6.25</v>
      </c>
      <c r="K279" s="363" t="s">
        <v>117</v>
      </c>
      <c r="N279" s="356" t="s">
        <v>1042</v>
      </c>
      <c r="O279" s="356" t="s">
        <v>876</v>
      </c>
      <c r="R279" s="370">
        <f>(R278+C21/10*M269)</f>
        <v>991.78743385039968</v>
      </c>
      <c r="W279" s="361"/>
      <c r="Z279" s="36"/>
      <c r="AA279" s="36"/>
      <c r="AB279" s="36"/>
      <c r="AG279" s="443"/>
      <c r="AI279" s="356"/>
    </row>
    <row r="280" spans="1:35" ht="15.75">
      <c r="A280" s="382">
        <f t="shared" si="30"/>
        <v>118</v>
      </c>
      <c r="B280" s="356" t="s">
        <v>1043</v>
      </c>
      <c r="C280" s="394">
        <v>364.6</v>
      </c>
      <c r="D280" s="385" t="s">
        <v>107</v>
      </c>
      <c r="H280" s="356" t="s">
        <v>1044</v>
      </c>
      <c r="K280" s="370">
        <f>SUM(K272:K278)</f>
        <v>88604.069339999987</v>
      </c>
      <c r="N280" s="356" t="s">
        <v>1045</v>
      </c>
      <c r="O280" s="356" t="s">
        <v>878</v>
      </c>
      <c r="R280" s="370">
        <f>(R279+C21/10*M269)</f>
        <v>1013.5659938503997</v>
      </c>
      <c r="W280" s="361"/>
      <c r="Z280" s="36"/>
      <c r="AA280" s="36"/>
      <c r="AB280" s="36"/>
      <c r="AG280" s="443"/>
      <c r="AI280" s="356"/>
    </row>
    <row r="281" spans="1:35" ht="15.75">
      <c r="A281" s="382">
        <f t="shared" si="30"/>
        <v>119</v>
      </c>
      <c r="B281" s="356" t="s">
        <v>1046</v>
      </c>
      <c r="C281" s="394">
        <v>89.6</v>
      </c>
      <c r="D281" s="385" t="s">
        <v>223</v>
      </c>
      <c r="K281" s="363" t="s">
        <v>117</v>
      </c>
      <c r="W281" s="361"/>
      <c r="AA281" s="36"/>
      <c r="AB281" s="36"/>
      <c r="AG281" s="443"/>
      <c r="AI281" s="356"/>
    </row>
    <row r="282" spans="1:35" ht="15.75">
      <c r="A282" s="382">
        <f t="shared" si="30"/>
        <v>120</v>
      </c>
      <c r="B282" s="356" t="s">
        <v>1047</v>
      </c>
      <c r="C282" s="394">
        <v>71.900000000000006</v>
      </c>
      <c r="D282" s="385" t="s">
        <v>223</v>
      </c>
      <c r="H282" s="372" t="s">
        <v>155</v>
      </c>
      <c r="K282" s="369">
        <f>(K280/10)</f>
        <v>8860.4069339999987</v>
      </c>
      <c r="R282" s="356" t="s">
        <v>114</v>
      </c>
      <c r="W282" s="361"/>
      <c r="AG282" s="443"/>
      <c r="AI282" s="356"/>
    </row>
    <row r="283" spans="1:35" ht="15.75">
      <c r="A283" s="396"/>
      <c r="B283" s="404"/>
      <c r="C283" s="448"/>
      <c r="D283" s="396"/>
      <c r="F283" s="356" t="s">
        <v>114</v>
      </c>
      <c r="N283" s="356" t="s">
        <v>932</v>
      </c>
      <c r="O283" s="356" t="s">
        <v>1048</v>
      </c>
      <c r="W283" s="361"/>
      <c r="AG283" s="443"/>
    </row>
    <row r="284" spans="1:35" ht="15.75">
      <c r="A284" s="382">
        <f>(A282+1)</f>
        <v>121</v>
      </c>
      <c r="B284" s="356" t="s">
        <v>1049</v>
      </c>
      <c r="C284" s="394">
        <v>49.35</v>
      </c>
      <c r="D284" s="385" t="s">
        <v>223</v>
      </c>
      <c r="O284" s="356" t="s">
        <v>1050</v>
      </c>
      <c r="W284" s="361"/>
      <c r="AG284" s="443"/>
      <c r="AI284" s="356"/>
    </row>
    <row r="285" spans="1:35" ht="15.75">
      <c r="A285" s="382">
        <f t="shared" ref="A285:A348" si="32">(A284+1)</f>
        <v>122</v>
      </c>
      <c r="B285" s="356" t="s">
        <v>1051</v>
      </c>
      <c r="C285" s="394">
        <v>39.85</v>
      </c>
      <c r="D285" s="385" t="s">
        <v>223</v>
      </c>
      <c r="F285" s="370">
        <v>1</v>
      </c>
      <c r="G285" s="368" t="s">
        <v>108</v>
      </c>
      <c r="H285" s="356" t="s">
        <v>1052</v>
      </c>
      <c r="K285" s="370">
        <f>(C25)</f>
        <v>113.04</v>
      </c>
      <c r="O285" s="363" t="s">
        <v>117</v>
      </c>
      <c r="W285" s="361"/>
      <c r="AG285" s="443"/>
      <c r="AI285" s="356"/>
    </row>
    <row r="286" spans="1:35" ht="15.75">
      <c r="A286" s="382">
        <f t="shared" si="32"/>
        <v>123</v>
      </c>
      <c r="B286" s="356" t="s">
        <v>1053</v>
      </c>
      <c r="C286" s="394">
        <v>64.8</v>
      </c>
      <c r="D286" s="385" t="s">
        <v>223</v>
      </c>
      <c r="K286" s="363" t="s">
        <v>117</v>
      </c>
      <c r="M286" s="370">
        <v>10</v>
      </c>
      <c r="N286" s="356" t="s">
        <v>107</v>
      </c>
      <c r="O286" s="356" t="s">
        <v>1054</v>
      </c>
      <c r="P286" s="370">
        <f>(K1243)</f>
        <v>1423.4960692</v>
      </c>
      <c r="Q286" s="356" t="s">
        <v>107</v>
      </c>
      <c r="R286" s="370">
        <f>(M286*P286)</f>
        <v>14234.960692000001</v>
      </c>
      <c r="W286" s="361"/>
      <c r="AG286" s="443"/>
      <c r="AI286" s="356"/>
    </row>
    <row r="287" spans="1:35" ht="15.75">
      <c r="A287" s="382">
        <f t="shared" si="32"/>
        <v>124</v>
      </c>
      <c r="B287" s="356" t="s">
        <v>1055</v>
      </c>
      <c r="C287" s="394">
        <v>39.700000000000003</v>
      </c>
      <c r="D287" s="385" t="s">
        <v>223</v>
      </c>
      <c r="E287" s="448">
        <v>57</v>
      </c>
      <c r="H287" s="356" t="s">
        <v>1056</v>
      </c>
      <c r="K287" s="369">
        <f>SUM(K282:K285)</f>
        <v>8973.4469339999996</v>
      </c>
      <c r="M287" s="370">
        <v>1.1000000000000001</v>
      </c>
      <c r="N287" s="356" t="s">
        <v>151</v>
      </c>
      <c r="O287" s="356" t="s">
        <v>152</v>
      </c>
      <c r="P287" s="370">
        <f>(C11)</f>
        <v>1118.3999999999999</v>
      </c>
      <c r="Q287" s="356" t="s">
        <v>151</v>
      </c>
      <c r="R287" s="370">
        <f>(M287*P287)</f>
        <v>1230.24</v>
      </c>
      <c r="W287" s="361"/>
      <c r="AG287" s="443"/>
      <c r="AI287" s="356"/>
    </row>
    <row r="288" spans="1:35" ht="15.75">
      <c r="A288" s="382">
        <f t="shared" si="32"/>
        <v>125</v>
      </c>
      <c r="B288" s="356" t="s">
        <v>1057</v>
      </c>
      <c r="C288" s="394">
        <v>181</v>
      </c>
      <c r="D288" s="385" t="s">
        <v>223</v>
      </c>
      <c r="K288" s="363" t="s">
        <v>117</v>
      </c>
      <c r="M288" s="370">
        <v>1.1000000000000001</v>
      </c>
      <c r="N288" s="356" t="s">
        <v>151</v>
      </c>
      <c r="O288" s="356" t="s">
        <v>153</v>
      </c>
      <c r="P288" s="370">
        <f>(C12)</f>
        <v>781.19999999999993</v>
      </c>
      <c r="Q288" s="356" t="s">
        <v>151</v>
      </c>
      <c r="R288" s="370">
        <f>(M288*P288)</f>
        <v>859.32</v>
      </c>
      <c r="W288" s="361"/>
      <c r="AG288" s="443"/>
      <c r="AI288" s="356"/>
    </row>
    <row r="289" spans="1:35" ht="15.75">
      <c r="A289" s="382">
        <f t="shared" si="32"/>
        <v>126</v>
      </c>
      <c r="B289" s="356" t="s">
        <v>1058</v>
      </c>
      <c r="C289" s="394">
        <v>101.6</v>
      </c>
      <c r="D289" s="385" t="s">
        <v>223</v>
      </c>
      <c r="H289" s="356" t="s">
        <v>172</v>
      </c>
      <c r="K289" s="369">
        <f>(K287+C22)</f>
        <v>9117.2669339999993</v>
      </c>
      <c r="L289" s="35">
        <v>54</v>
      </c>
      <c r="M289" s="370">
        <v>1.1000000000000001</v>
      </c>
      <c r="N289" s="356" t="s">
        <v>151</v>
      </c>
      <c r="O289" s="356" t="s">
        <v>620</v>
      </c>
      <c r="P289" s="370">
        <f>(C13)</f>
        <v>640.79999999999995</v>
      </c>
      <c r="Q289" s="356" t="s">
        <v>151</v>
      </c>
      <c r="R289" s="370">
        <f>(M289*P289)</f>
        <v>704.88</v>
      </c>
      <c r="W289" s="361"/>
      <c r="AG289" s="443"/>
      <c r="AI289" s="356"/>
    </row>
    <row r="290" spans="1:35" ht="15.75">
      <c r="A290" s="382">
        <f t="shared" si="32"/>
        <v>127</v>
      </c>
      <c r="B290" s="385" t="s">
        <v>1059</v>
      </c>
      <c r="C290" s="402">
        <v>7.3</v>
      </c>
      <c r="D290" s="385" t="s">
        <v>223</v>
      </c>
      <c r="H290" s="356" t="s">
        <v>873</v>
      </c>
      <c r="K290" s="369">
        <f>(K289+C23)</f>
        <v>9400.586933999999</v>
      </c>
      <c r="L290" s="35">
        <v>107</v>
      </c>
      <c r="R290" s="363" t="s">
        <v>117</v>
      </c>
      <c r="W290" s="361"/>
      <c r="AG290" s="443"/>
      <c r="AI290" s="356"/>
    </row>
    <row r="291" spans="1:35" ht="15.75">
      <c r="A291" s="382">
        <f t="shared" si="32"/>
        <v>128</v>
      </c>
      <c r="B291" s="385" t="s">
        <v>1060</v>
      </c>
      <c r="C291" s="402">
        <v>7.3</v>
      </c>
      <c r="D291" s="385" t="s">
        <v>223</v>
      </c>
      <c r="H291" s="356" t="s">
        <v>876</v>
      </c>
      <c r="K291" s="369">
        <f>(K290+C24)</f>
        <v>9683.9069339999987</v>
      </c>
      <c r="O291" s="356" t="s">
        <v>176</v>
      </c>
      <c r="R291" s="370">
        <f>SUM(R286:R289)</f>
        <v>17029.400691999999</v>
      </c>
      <c r="W291" s="361"/>
      <c r="AG291" s="443"/>
      <c r="AI291" s="356"/>
    </row>
    <row r="292" spans="1:35" ht="15.75">
      <c r="A292" s="382">
        <f t="shared" si="32"/>
        <v>129</v>
      </c>
      <c r="B292" s="385" t="s">
        <v>1061</v>
      </c>
      <c r="C292" s="401">
        <v>2.9</v>
      </c>
      <c r="D292" s="385" t="s">
        <v>1062</v>
      </c>
      <c r="H292" s="356" t="s">
        <v>878</v>
      </c>
      <c r="K292" s="369">
        <f>(K291+C24)</f>
        <v>9967.2269339999984</v>
      </c>
      <c r="R292" s="363" t="s">
        <v>117</v>
      </c>
      <c r="W292" s="361"/>
      <c r="AG292" s="443"/>
      <c r="AI292" s="356"/>
    </row>
    <row r="293" spans="1:35" ht="15.75">
      <c r="A293" s="382">
        <f t="shared" si="32"/>
        <v>130</v>
      </c>
      <c r="B293" s="385" t="s">
        <v>1063</v>
      </c>
      <c r="C293" s="402">
        <v>11.8</v>
      </c>
      <c r="D293" s="385" t="s">
        <v>1062</v>
      </c>
      <c r="H293" s="356" t="s">
        <v>881</v>
      </c>
      <c r="K293" s="369">
        <f>(K292+C24)</f>
        <v>10250.546933999998</v>
      </c>
      <c r="O293" s="356" t="s">
        <v>177</v>
      </c>
      <c r="R293" s="370">
        <f>(R291/10)</f>
        <v>1702.9400691999999</v>
      </c>
      <c r="W293" s="361"/>
      <c r="AG293" s="443"/>
      <c r="AI293" s="356"/>
    </row>
    <row r="294" spans="1:35" ht="15.75">
      <c r="A294" s="382">
        <f t="shared" si="32"/>
        <v>131</v>
      </c>
      <c r="B294" s="385" t="s">
        <v>1064</v>
      </c>
      <c r="C294" s="402">
        <v>8.9</v>
      </c>
      <c r="D294" s="385" t="s">
        <v>223</v>
      </c>
      <c r="R294" s="363" t="s">
        <v>156</v>
      </c>
      <c r="W294" s="361"/>
      <c r="AG294" s="443"/>
      <c r="AI294" s="356"/>
    </row>
    <row r="295" spans="1:35" ht="15.75">
      <c r="A295" s="382">
        <f t="shared" si="32"/>
        <v>132</v>
      </c>
      <c r="B295" s="385" t="s">
        <v>1065</v>
      </c>
      <c r="C295" s="402">
        <v>6.1</v>
      </c>
      <c r="D295" s="385" t="s">
        <v>223</v>
      </c>
      <c r="F295" s="357" t="s">
        <v>666</v>
      </c>
      <c r="G295" s="368" t="s">
        <v>122</v>
      </c>
      <c r="H295" s="356" t="s">
        <v>1066</v>
      </c>
      <c r="W295" s="361"/>
      <c r="AG295" s="443"/>
      <c r="AI295" s="356"/>
    </row>
    <row r="296" spans="1:35" ht="15.75">
      <c r="A296" s="382">
        <f t="shared" si="32"/>
        <v>133</v>
      </c>
      <c r="B296" s="385" t="s">
        <v>1067</v>
      </c>
      <c r="C296" s="401">
        <v>5.75</v>
      </c>
      <c r="D296" s="385" t="s">
        <v>223</v>
      </c>
      <c r="H296" s="363" t="s">
        <v>156</v>
      </c>
      <c r="N296" s="356" t="s">
        <v>122</v>
      </c>
      <c r="O296" s="356" t="s">
        <v>1068</v>
      </c>
      <c r="W296" s="361"/>
      <c r="AG296" s="443"/>
      <c r="AI296" s="356"/>
    </row>
    <row r="297" spans="1:35" ht="15.75">
      <c r="A297" s="382">
        <f t="shared" si="32"/>
        <v>134</v>
      </c>
      <c r="B297" s="385" t="s">
        <v>1069</v>
      </c>
      <c r="C297" s="401">
        <v>8.5</v>
      </c>
      <c r="D297" s="385" t="s">
        <v>223</v>
      </c>
      <c r="F297" s="370">
        <v>10</v>
      </c>
      <c r="G297" s="368" t="s">
        <v>108</v>
      </c>
      <c r="H297" s="356" t="s">
        <v>1070</v>
      </c>
      <c r="I297" s="370">
        <f>(C68)</f>
        <v>839.68</v>
      </c>
      <c r="J297" s="356" t="s">
        <v>108</v>
      </c>
      <c r="K297" s="370">
        <f t="shared" ref="K297:K303" si="33">(F297*I297)</f>
        <v>8396.7999999999993</v>
      </c>
      <c r="O297" s="363" t="s">
        <v>117</v>
      </c>
      <c r="W297" s="361"/>
      <c r="AG297" s="443"/>
      <c r="AI297" s="356"/>
    </row>
    <row r="298" spans="1:35" ht="15.75">
      <c r="A298" s="382">
        <f t="shared" si="32"/>
        <v>135</v>
      </c>
      <c r="B298" s="385" t="s">
        <v>1071</v>
      </c>
      <c r="C298" s="401">
        <v>10</v>
      </c>
      <c r="D298" s="385" t="s">
        <v>223</v>
      </c>
      <c r="F298" s="370">
        <v>1</v>
      </c>
      <c r="G298" s="368" t="s">
        <v>108</v>
      </c>
      <c r="H298" s="356" t="s">
        <v>852</v>
      </c>
      <c r="I298" s="370">
        <f>(C69)</f>
        <v>1038.6799999999998</v>
      </c>
      <c r="J298" s="356" t="s">
        <v>108</v>
      </c>
      <c r="K298" s="370">
        <f t="shared" si="33"/>
        <v>1038.6799999999998</v>
      </c>
      <c r="M298" s="370">
        <v>0.14000000000000001</v>
      </c>
      <c r="N298" s="356" t="s">
        <v>108</v>
      </c>
      <c r="O298" s="356" t="s">
        <v>132</v>
      </c>
      <c r="P298" s="370">
        <f>(K32)</f>
        <v>4976.9571999999998</v>
      </c>
      <c r="Q298" s="356" t="s">
        <v>108</v>
      </c>
      <c r="R298" s="370">
        <f>(M298*P298)</f>
        <v>696.77400800000009</v>
      </c>
      <c r="W298" s="361"/>
      <c r="AG298" s="443"/>
      <c r="AI298" s="356"/>
    </row>
    <row r="299" spans="1:35" ht="15.75">
      <c r="A299" s="382">
        <f t="shared" si="32"/>
        <v>136</v>
      </c>
      <c r="B299" s="385" t="s">
        <v>1072</v>
      </c>
      <c r="C299" s="402">
        <v>7</v>
      </c>
      <c r="D299" s="385" t="s">
        <v>223</v>
      </c>
      <c r="F299" s="370">
        <v>3.4</v>
      </c>
      <c r="G299" s="368" t="s">
        <v>108</v>
      </c>
      <c r="H299" s="356" t="s">
        <v>134</v>
      </c>
      <c r="I299" s="370">
        <f>(K49)</f>
        <v>3753.50632</v>
      </c>
      <c r="J299" s="356" t="s">
        <v>108</v>
      </c>
      <c r="K299" s="370">
        <f t="shared" si="33"/>
        <v>12761.921488</v>
      </c>
      <c r="M299" s="370">
        <v>1.1000000000000001</v>
      </c>
      <c r="N299" s="356" t="s">
        <v>151</v>
      </c>
      <c r="O299" s="356" t="s">
        <v>162</v>
      </c>
      <c r="P299" s="370">
        <f>(C10)</f>
        <v>1198.8</v>
      </c>
      <c r="Q299" s="356" t="s">
        <v>151</v>
      </c>
      <c r="R299" s="370">
        <f>(M299*P299)</f>
        <v>1318.68</v>
      </c>
      <c r="W299" s="361"/>
      <c r="AG299" s="443"/>
      <c r="AI299" s="356"/>
    </row>
    <row r="300" spans="1:35" ht="15.75">
      <c r="A300" s="382">
        <f t="shared" si="32"/>
        <v>137</v>
      </c>
      <c r="B300" s="385" t="s">
        <v>1073</v>
      </c>
      <c r="C300" s="401">
        <v>2.2000000000000002</v>
      </c>
      <c r="D300" s="385" t="s">
        <v>223</v>
      </c>
      <c r="F300" s="370">
        <v>7.1</v>
      </c>
      <c r="G300" s="368" t="s">
        <v>151</v>
      </c>
      <c r="H300" s="356" t="s">
        <v>162</v>
      </c>
      <c r="I300" s="370">
        <f>(C10)</f>
        <v>1198.8</v>
      </c>
      <c r="J300" s="356" t="s">
        <v>151</v>
      </c>
      <c r="K300" s="370">
        <f t="shared" si="33"/>
        <v>8511.48</v>
      </c>
      <c r="M300" s="370">
        <v>0.5</v>
      </c>
      <c r="N300" s="356" t="s">
        <v>151</v>
      </c>
      <c r="O300" s="356" t="s">
        <v>153</v>
      </c>
      <c r="P300" s="370">
        <f>(C12)</f>
        <v>781.19999999999993</v>
      </c>
      <c r="Q300" s="356" t="s">
        <v>151</v>
      </c>
      <c r="R300" s="370">
        <f>(M300*P300)</f>
        <v>390.59999999999997</v>
      </c>
      <c r="W300" s="361"/>
      <c r="AG300" s="443"/>
      <c r="AI300" s="356"/>
    </row>
    <row r="301" spans="1:35" ht="15.75">
      <c r="A301" s="382">
        <f t="shared" si="32"/>
        <v>138</v>
      </c>
      <c r="B301" s="385" t="s">
        <v>1074</v>
      </c>
      <c r="C301" s="401">
        <v>10.5</v>
      </c>
      <c r="D301" s="385" t="s">
        <v>223</v>
      </c>
      <c r="F301" s="370">
        <v>10.6</v>
      </c>
      <c r="G301" s="368" t="s">
        <v>151</v>
      </c>
      <c r="H301" s="356" t="s">
        <v>152</v>
      </c>
      <c r="I301" s="370">
        <f>(C11)</f>
        <v>1118.3999999999999</v>
      </c>
      <c r="J301" s="356" t="s">
        <v>151</v>
      </c>
      <c r="K301" s="370">
        <f t="shared" si="33"/>
        <v>11855.039999999999</v>
      </c>
      <c r="M301" s="370">
        <v>1.1000000000000001</v>
      </c>
      <c r="N301" s="356" t="s">
        <v>151</v>
      </c>
      <c r="O301" s="356" t="s">
        <v>154</v>
      </c>
      <c r="P301" s="370">
        <f>(C13)</f>
        <v>640.79999999999995</v>
      </c>
      <c r="Q301" s="356" t="s">
        <v>151</v>
      </c>
      <c r="R301" s="370">
        <f>(M301*P301)</f>
        <v>704.88</v>
      </c>
      <c r="W301" s="361"/>
      <c r="AG301" s="443"/>
      <c r="AI301" s="356"/>
    </row>
    <row r="302" spans="1:35" ht="15.75">
      <c r="A302" s="382">
        <f t="shared" si="32"/>
        <v>139</v>
      </c>
      <c r="B302" s="385" t="s">
        <v>1075</v>
      </c>
      <c r="C302" s="401">
        <v>5.5</v>
      </c>
      <c r="D302" s="385" t="s">
        <v>223</v>
      </c>
      <c r="F302" s="370">
        <v>14.1</v>
      </c>
      <c r="G302" s="368" t="s">
        <v>151</v>
      </c>
      <c r="H302" s="356" t="s">
        <v>153</v>
      </c>
      <c r="I302" s="370">
        <f>(C12)</f>
        <v>781.19999999999993</v>
      </c>
      <c r="J302" s="356" t="s">
        <v>151</v>
      </c>
      <c r="K302" s="370">
        <f t="shared" si="33"/>
        <v>11014.919999999998</v>
      </c>
      <c r="N302" s="356" t="s">
        <v>128</v>
      </c>
      <c r="O302" s="356" t="s">
        <v>129</v>
      </c>
      <c r="P302" s="356" t="s">
        <v>114</v>
      </c>
      <c r="Q302" s="356" t="s">
        <v>128</v>
      </c>
      <c r="R302" s="370">
        <v>0</v>
      </c>
      <c r="W302" s="361"/>
      <c r="AG302" s="443"/>
      <c r="AI302" s="356"/>
    </row>
    <row r="303" spans="1:35" ht="15.75">
      <c r="A303" s="382">
        <f t="shared" si="32"/>
        <v>140</v>
      </c>
      <c r="B303" s="385" t="s">
        <v>1076</v>
      </c>
      <c r="C303" s="401">
        <v>21</v>
      </c>
      <c r="D303" s="385" t="s">
        <v>223</v>
      </c>
      <c r="F303" s="370">
        <v>14.1</v>
      </c>
      <c r="G303" s="368" t="s">
        <v>151</v>
      </c>
      <c r="H303" s="356" t="s">
        <v>154</v>
      </c>
      <c r="I303" s="370">
        <f>(C13)</f>
        <v>640.79999999999995</v>
      </c>
      <c r="J303" s="356" t="s">
        <v>151</v>
      </c>
      <c r="K303" s="370">
        <f t="shared" si="33"/>
        <v>9035.2799999999988</v>
      </c>
      <c r="R303" s="363" t="s">
        <v>117</v>
      </c>
      <c r="W303" s="361"/>
      <c r="AG303" s="443"/>
      <c r="AI303" s="356"/>
    </row>
    <row r="304" spans="1:35" ht="15.75">
      <c r="A304" s="382">
        <f t="shared" si="32"/>
        <v>141</v>
      </c>
      <c r="B304" s="385" t="s">
        <v>1077</v>
      </c>
      <c r="C304" s="401">
        <v>10</v>
      </c>
      <c r="D304" s="385" t="s">
        <v>223</v>
      </c>
      <c r="G304" s="368" t="s">
        <v>128</v>
      </c>
      <c r="H304" s="356" t="s">
        <v>129</v>
      </c>
      <c r="J304" s="356" t="s">
        <v>128</v>
      </c>
      <c r="K304" s="370">
        <v>0</v>
      </c>
      <c r="O304" s="356" t="s">
        <v>114</v>
      </c>
      <c r="R304" s="370">
        <f>SUM(R298:R302)</f>
        <v>3110.9340080000002</v>
      </c>
      <c r="W304" s="361"/>
      <c r="AG304" s="443"/>
      <c r="AI304" s="356"/>
    </row>
    <row r="305" spans="1:35" ht="15.75">
      <c r="A305" s="382">
        <f t="shared" si="32"/>
        <v>142</v>
      </c>
      <c r="B305" s="385" t="s">
        <v>1078</v>
      </c>
      <c r="C305" s="401">
        <v>4</v>
      </c>
      <c r="D305" s="385" t="s">
        <v>223</v>
      </c>
      <c r="K305" s="363" t="s">
        <v>117</v>
      </c>
      <c r="R305" s="363" t="s">
        <v>117</v>
      </c>
      <c r="W305" s="361"/>
      <c r="AG305" s="443"/>
      <c r="AI305" s="356"/>
    </row>
    <row r="306" spans="1:35" ht="15.75">
      <c r="A306" s="382">
        <f t="shared" si="32"/>
        <v>143</v>
      </c>
      <c r="B306" s="385" t="s">
        <v>1060</v>
      </c>
      <c r="C306" s="401">
        <v>8</v>
      </c>
      <c r="D306" s="385" t="s">
        <v>151</v>
      </c>
      <c r="H306" s="356" t="s">
        <v>143</v>
      </c>
      <c r="K306" s="370">
        <f>SUM(K297:K304)</f>
        <v>62614.121487999997</v>
      </c>
      <c r="O306" s="356" t="s">
        <v>177</v>
      </c>
      <c r="R306" s="370">
        <f>(R304/10)</f>
        <v>311.09340080000004</v>
      </c>
      <c r="W306" s="361"/>
      <c r="AG306" s="443"/>
      <c r="AI306" s="356"/>
    </row>
    <row r="307" spans="1:35" ht="15.75">
      <c r="A307" s="382">
        <f t="shared" si="32"/>
        <v>144</v>
      </c>
      <c r="B307" s="385" t="s">
        <v>1061</v>
      </c>
      <c r="C307" s="401">
        <v>8.5</v>
      </c>
      <c r="D307" s="385" t="s">
        <v>223</v>
      </c>
      <c r="K307" s="363" t="s">
        <v>117</v>
      </c>
      <c r="N307" s="356" t="s">
        <v>122</v>
      </c>
      <c r="O307" s="356" t="s">
        <v>1079</v>
      </c>
      <c r="R307" s="363" t="s">
        <v>156</v>
      </c>
      <c r="W307" s="361"/>
      <c r="AG307" s="443"/>
      <c r="AI307" s="356"/>
    </row>
    <row r="308" spans="1:35" ht="15.75">
      <c r="A308" s="382">
        <f t="shared" si="32"/>
        <v>145</v>
      </c>
      <c r="B308" s="385" t="s">
        <v>1080</v>
      </c>
      <c r="C308" s="401">
        <v>2.8</v>
      </c>
      <c r="D308" s="385" t="s">
        <v>223</v>
      </c>
      <c r="H308" s="372" t="s">
        <v>155</v>
      </c>
      <c r="K308" s="369">
        <f>(K306/10)</f>
        <v>6261.4121488000001</v>
      </c>
      <c r="O308" s="363" t="s">
        <v>117</v>
      </c>
      <c r="W308" s="361"/>
      <c r="AG308" s="443"/>
      <c r="AI308" s="356"/>
    </row>
    <row r="309" spans="1:35" ht="15.75">
      <c r="A309" s="382">
        <f t="shared" si="32"/>
        <v>146</v>
      </c>
      <c r="B309" s="385" t="s">
        <v>1081</v>
      </c>
      <c r="C309" s="401">
        <v>1.8</v>
      </c>
      <c r="D309" s="385" t="s">
        <v>223</v>
      </c>
      <c r="K309" s="363" t="s">
        <v>156</v>
      </c>
      <c r="M309" s="370">
        <v>0.14000000000000001</v>
      </c>
      <c r="N309" s="356" t="s">
        <v>108</v>
      </c>
      <c r="O309" s="356" t="s">
        <v>131</v>
      </c>
      <c r="P309" s="370">
        <f>(K23)</f>
        <v>6506.2708000000002</v>
      </c>
      <c r="Q309" s="356" t="s">
        <v>108</v>
      </c>
      <c r="R309" s="370">
        <f>(M309*P309)</f>
        <v>910.87791200000015</v>
      </c>
      <c r="W309" s="361"/>
      <c r="AG309" s="443"/>
      <c r="AI309" s="356"/>
    </row>
    <row r="310" spans="1:35" ht="15.75">
      <c r="A310" s="382">
        <f t="shared" si="32"/>
        <v>147</v>
      </c>
      <c r="B310" s="402" t="s">
        <v>1082</v>
      </c>
      <c r="C310" s="402">
        <v>3</v>
      </c>
      <c r="D310" s="385" t="s">
        <v>223</v>
      </c>
      <c r="F310" s="412">
        <v>6.5</v>
      </c>
      <c r="G310" s="368" t="s">
        <v>122</v>
      </c>
      <c r="H310" s="356" t="s">
        <v>1083</v>
      </c>
      <c r="M310" s="370">
        <v>1.1000000000000001</v>
      </c>
      <c r="N310" s="356" t="s">
        <v>151</v>
      </c>
      <c r="O310" s="356" t="s">
        <v>162</v>
      </c>
      <c r="P310" s="370">
        <f>(C10)</f>
        <v>1198.8</v>
      </c>
      <c r="Q310" s="356" t="s">
        <v>151</v>
      </c>
      <c r="R310" s="370">
        <f>(M310*P310)</f>
        <v>1318.68</v>
      </c>
      <c r="S310" s="36">
        <v>6.1</v>
      </c>
      <c r="T310" s="35" t="s">
        <v>122</v>
      </c>
      <c r="U310" s="35" t="s">
        <v>1084</v>
      </c>
      <c r="W310" s="361"/>
      <c r="AD310" s="393">
        <v>6</v>
      </c>
      <c r="AE310" s="368" t="s">
        <v>122</v>
      </c>
      <c r="AF310" s="356" t="s">
        <v>1085</v>
      </c>
      <c r="AH310" s="360"/>
    </row>
    <row r="311" spans="1:35" ht="15.75">
      <c r="A311" s="382">
        <f t="shared" si="32"/>
        <v>148</v>
      </c>
      <c r="B311" s="385" t="s">
        <v>1086</v>
      </c>
      <c r="C311" s="467" t="s">
        <v>114</v>
      </c>
      <c r="D311" s="468"/>
      <c r="H311" s="356" t="s">
        <v>1087</v>
      </c>
      <c r="M311" s="370">
        <v>0.5</v>
      </c>
      <c r="N311" s="356" t="s">
        <v>151</v>
      </c>
      <c r="O311" s="356" t="s">
        <v>153</v>
      </c>
      <c r="P311" s="370">
        <f>(C12)</f>
        <v>781.19999999999993</v>
      </c>
      <c r="Q311" s="356" t="s">
        <v>151</v>
      </c>
      <c r="R311" s="370">
        <f>(M311*P311)</f>
        <v>390.59999999999997</v>
      </c>
      <c r="U311" s="35" t="s">
        <v>1088</v>
      </c>
      <c r="W311" s="361"/>
      <c r="AE311" s="358"/>
      <c r="AF311" s="356" t="s">
        <v>1089</v>
      </c>
      <c r="AH311" s="360"/>
    </row>
    <row r="312" spans="1:35" ht="15.75">
      <c r="A312" s="382">
        <f t="shared" si="32"/>
        <v>149</v>
      </c>
      <c r="B312" s="385" t="s">
        <v>1090</v>
      </c>
      <c r="C312" s="469">
        <v>66.44</v>
      </c>
      <c r="D312" s="470" t="s">
        <v>110</v>
      </c>
      <c r="H312" s="363" t="s">
        <v>117</v>
      </c>
      <c r="M312" s="370">
        <v>1.1000000000000001</v>
      </c>
      <c r="N312" s="356" t="s">
        <v>151</v>
      </c>
      <c r="O312" s="356" t="s">
        <v>154</v>
      </c>
      <c r="P312" s="370">
        <f>(C13)</f>
        <v>640.79999999999995</v>
      </c>
      <c r="Q312" s="356" t="s">
        <v>151</v>
      </c>
      <c r="R312" s="370">
        <f>(M312*P312)</f>
        <v>704.88</v>
      </c>
      <c r="U312" s="35" t="s">
        <v>117</v>
      </c>
      <c r="W312" s="361"/>
      <c r="AE312" s="358"/>
      <c r="AF312" s="363" t="s">
        <v>117</v>
      </c>
      <c r="AH312" s="360"/>
    </row>
    <row r="313" spans="1:35" ht="15.75">
      <c r="A313" s="382">
        <f t="shared" si="32"/>
        <v>150</v>
      </c>
      <c r="B313" s="385" t="s">
        <v>1091</v>
      </c>
      <c r="C313" s="469">
        <v>83.5</v>
      </c>
      <c r="D313" s="470" t="s">
        <v>110</v>
      </c>
      <c r="F313" s="370">
        <v>4800</v>
      </c>
      <c r="G313" s="368" t="s">
        <v>160</v>
      </c>
      <c r="H313" s="370" t="str">
        <f>H311</f>
        <v>Bricks of size 22x11x7 cm</v>
      </c>
      <c r="I313" s="370">
        <f>C80</f>
        <v>6157.04</v>
      </c>
      <c r="J313" s="356" t="s">
        <v>161</v>
      </c>
      <c r="K313" s="370">
        <f>(F313*I313)/1000</f>
        <v>29553.792000000001</v>
      </c>
      <c r="N313" s="356" t="s">
        <v>128</v>
      </c>
      <c r="O313" s="356" t="s">
        <v>129</v>
      </c>
      <c r="P313" s="356" t="s">
        <v>114</v>
      </c>
      <c r="Q313" s="356" t="s">
        <v>128</v>
      </c>
      <c r="R313" s="370">
        <v>0</v>
      </c>
      <c r="S313" s="36">
        <v>4600</v>
      </c>
      <c r="T313" s="35" t="s">
        <v>160</v>
      </c>
      <c r="U313" s="35" t="s">
        <v>1088</v>
      </c>
      <c r="V313" s="471">
        <f>AE41</f>
        <v>7342.45</v>
      </c>
      <c r="W313" s="472" t="s">
        <v>1092</v>
      </c>
      <c r="X313" s="35">
        <f>(V313*S313)/1000</f>
        <v>33775.269999999997</v>
      </c>
      <c r="AD313" s="370">
        <v>4240</v>
      </c>
      <c r="AE313" s="368" t="s">
        <v>160</v>
      </c>
      <c r="AF313" s="370" t="str">
        <f>AF311</f>
        <v>Bricks of size 23x11.4x7.5 cm</v>
      </c>
      <c r="AG313" s="370">
        <f>AE42</f>
        <v>7542.45</v>
      </c>
      <c r="AH313" s="356" t="s">
        <v>161</v>
      </c>
      <c r="AI313" s="370">
        <f>(AD313*AG313)/1000</f>
        <v>31979.988000000001</v>
      </c>
    </row>
    <row r="314" spans="1:35" ht="15.75">
      <c r="A314" s="382">
        <f t="shared" si="32"/>
        <v>151</v>
      </c>
      <c r="B314" s="385" t="s">
        <v>1093</v>
      </c>
      <c r="C314" s="469">
        <v>102.12</v>
      </c>
      <c r="D314" s="470" t="s">
        <v>110</v>
      </c>
      <c r="F314" s="370">
        <v>2.5</v>
      </c>
      <c r="G314" s="368" t="s">
        <v>108</v>
      </c>
      <c r="H314" s="356" t="s">
        <v>134</v>
      </c>
      <c r="I314" s="370">
        <f>K49</f>
        <v>3753.50632</v>
      </c>
      <c r="J314" s="356" t="s">
        <v>108</v>
      </c>
      <c r="K314" s="370">
        <f>(F314*I314)</f>
        <v>9383.7657999999992</v>
      </c>
      <c r="R314" s="363" t="s">
        <v>117</v>
      </c>
      <c r="S314" s="36">
        <v>2.5</v>
      </c>
      <c r="T314" s="35" t="s">
        <v>108</v>
      </c>
      <c r="U314" s="35" t="s">
        <v>134</v>
      </c>
      <c r="V314" s="471">
        <f>K49</f>
        <v>3753.50632</v>
      </c>
      <c r="W314" s="361" t="s">
        <v>108</v>
      </c>
      <c r="X314" s="35">
        <f>V314*S314</f>
        <v>9383.7657999999992</v>
      </c>
      <c r="AD314" s="370">
        <v>2</v>
      </c>
      <c r="AE314" s="368" t="s">
        <v>108</v>
      </c>
      <c r="AF314" s="356" t="s">
        <v>134</v>
      </c>
      <c r="AG314" s="370">
        <f>K49</f>
        <v>3753.50632</v>
      </c>
      <c r="AH314" s="356" t="s">
        <v>108</v>
      </c>
      <c r="AI314" s="370">
        <f>(AD314*AG314)</f>
        <v>7507.0126399999999</v>
      </c>
    </row>
    <row r="315" spans="1:35" ht="15.75">
      <c r="A315" s="382">
        <f t="shared" si="32"/>
        <v>152</v>
      </c>
      <c r="B315" s="385" t="s">
        <v>1094</v>
      </c>
      <c r="C315" s="469">
        <v>182.52</v>
      </c>
      <c r="D315" s="470" t="s">
        <v>110</v>
      </c>
      <c r="F315" s="370">
        <v>3.5</v>
      </c>
      <c r="G315" s="368" t="s">
        <v>151</v>
      </c>
      <c r="H315" s="356" t="s">
        <v>162</v>
      </c>
      <c r="I315" s="370">
        <f>C10</f>
        <v>1198.8</v>
      </c>
      <c r="J315" s="356" t="s">
        <v>151</v>
      </c>
      <c r="K315" s="370">
        <f>(F315*I315)</f>
        <v>4195.8</v>
      </c>
      <c r="O315" s="356" t="s">
        <v>176</v>
      </c>
      <c r="R315" s="370">
        <f>SUM(R309:R313)</f>
        <v>3325.0379120000002</v>
      </c>
      <c r="S315" s="36">
        <v>3.5</v>
      </c>
      <c r="T315" s="35" t="s">
        <v>151</v>
      </c>
      <c r="U315" s="35" t="s">
        <v>162</v>
      </c>
      <c r="V315" s="471">
        <f>I315</f>
        <v>1198.8</v>
      </c>
      <c r="W315" s="361" t="s">
        <v>151</v>
      </c>
      <c r="X315" s="35">
        <f>V315*S315</f>
        <v>4195.8</v>
      </c>
      <c r="AD315" s="370">
        <v>3.5</v>
      </c>
      <c r="AE315" s="368" t="s">
        <v>151</v>
      </c>
      <c r="AF315" s="356" t="s">
        <v>162</v>
      </c>
      <c r="AG315" s="370">
        <f>V315</f>
        <v>1198.8</v>
      </c>
      <c r="AH315" s="356" t="s">
        <v>151</v>
      </c>
      <c r="AI315" s="370">
        <f>(AD315*AG315)</f>
        <v>4195.8</v>
      </c>
    </row>
    <row r="316" spans="1:35" ht="15.75">
      <c r="A316" s="382">
        <f t="shared" si="32"/>
        <v>153</v>
      </c>
      <c r="B316" s="385" t="s">
        <v>1095</v>
      </c>
      <c r="C316" s="473"/>
      <c r="D316" s="474"/>
      <c r="F316" s="370">
        <v>10.6</v>
      </c>
      <c r="G316" s="368" t="s">
        <v>151</v>
      </c>
      <c r="H316" s="356" t="s">
        <v>152</v>
      </c>
      <c r="I316" s="370">
        <f>C11</f>
        <v>1118.3999999999999</v>
      </c>
      <c r="J316" s="356" t="s">
        <v>151</v>
      </c>
      <c r="K316" s="370">
        <f>(F316*I316)</f>
        <v>11855.039999999999</v>
      </c>
      <c r="R316" s="363" t="s">
        <v>117</v>
      </c>
      <c r="S316" s="36">
        <v>10.6</v>
      </c>
      <c r="T316" s="35" t="s">
        <v>151</v>
      </c>
      <c r="U316" s="35" t="s">
        <v>152</v>
      </c>
      <c r="V316" s="471">
        <f>I316</f>
        <v>1118.3999999999999</v>
      </c>
      <c r="W316" s="361" t="s">
        <v>151</v>
      </c>
      <c r="X316" s="35">
        <f>V316*S316</f>
        <v>11855.039999999999</v>
      </c>
      <c r="AD316" s="370">
        <v>10.6</v>
      </c>
      <c r="AE316" s="368" t="s">
        <v>151</v>
      </c>
      <c r="AF316" s="356" t="s">
        <v>152</v>
      </c>
      <c r="AG316" s="370">
        <f>V316</f>
        <v>1118.3999999999999</v>
      </c>
      <c r="AH316" s="356" t="s">
        <v>151</v>
      </c>
      <c r="AI316" s="370">
        <f>(AD316*AG316)</f>
        <v>11855.039999999999</v>
      </c>
    </row>
    <row r="317" spans="1:35" ht="15.75">
      <c r="A317" s="382">
        <f t="shared" si="32"/>
        <v>154</v>
      </c>
      <c r="B317" s="385" t="s">
        <v>1090</v>
      </c>
      <c r="C317" s="469">
        <v>26.62</v>
      </c>
      <c r="D317" s="470" t="s">
        <v>223</v>
      </c>
      <c r="F317" s="370">
        <v>7.1</v>
      </c>
      <c r="G317" s="368" t="s">
        <v>151</v>
      </c>
      <c r="H317" s="356" t="s">
        <v>153</v>
      </c>
      <c r="I317" s="370">
        <f>C12</f>
        <v>781.19999999999993</v>
      </c>
      <c r="J317" s="356" t="s">
        <v>151</v>
      </c>
      <c r="K317" s="370">
        <f>(F317*I317)</f>
        <v>5546.5199999999995</v>
      </c>
      <c r="O317" s="356" t="s">
        <v>177</v>
      </c>
      <c r="R317" s="370">
        <f>(R315/10)</f>
        <v>332.50379120000002</v>
      </c>
      <c r="S317" s="36">
        <v>7.1</v>
      </c>
      <c r="T317" s="35" t="s">
        <v>151</v>
      </c>
      <c r="U317" s="35" t="s">
        <v>153</v>
      </c>
      <c r="V317" s="471">
        <f>I317</f>
        <v>781.19999999999993</v>
      </c>
      <c r="W317" s="361" t="s">
        <v>151</v>
      </c>
      <c r="X317" s="35">
        <f>V317*S317</f>
        <v>5546.5199999999995</v>
      </c>
      <c r="AD317" s="370">
        <v>7.1</v>
      </c>
      <c r="AE317" s="368" t="s">
        <v>151</v>
      </c>
      <c r="AF317" s="356" t="s">
        <v>153</v>
      </c>
      <c r="AG317" s="370">
        <f>V317</f>
        <v>781.19999999999993</v>
      </c>
      <c r="AH317" s="356" t="s">
        <v>151</v>
      </c>
      <c r="AI317" s="370">
        <f>(AD317*AG317)</f>
        <v>5546.5199999999995</v>
      </c>
    </row>
    <row r="318" spans="1:35" ht="15.75">
      <c r="A318" s="382">
        <f t="shared" si="32"/>
        <v>155</v>
      </c>
      <c r="B318" s="385" t="s">
        <v>1091</v>
      </c>
      <c r="C318" s="469">
        <v>34.869999999999997</v>
      </c>
      <c r="D318" s="470" t="s">
        <v>223</v>
      </c>
      <c r="F318" s="370">
        <v>21.2</v>
      </c>
      <c r="G318" s="368" t="s">
        <v>151</v>
      </c>
      <c r="H318" s="356" t="s">
        <v>154</v>
      </c>
      <c r="I318" s="370">
        <f>C13</f>
        <v>640.79999999999995</v>
      </c>
      <c r="J318" s="356" t="s">
        <v>151</v>
      </c>
      <c r="K318" s="370">
        <f>(F318*I318)</f>
        <v>13584.96</v>
      </c>
      <c r="R318" s="363" t="s">
        <v>156</v>
      </c>
      <c r="S318" s="36">
        <v>21.2</v>
      </c>
      <c r="T318" s="35" t="s">
        <v>151</v>
      </c>
      <c r="U318" s="35" t="s">
        <v>154</v>
      </c>
      <c r="V318" s="471">
        <f>I318</f>
        <v>640.79999999999995</v>
      </c>
      <c r="W318" s="361" t="s">
        <v>151</v>
      </c>
      <c r="X318" s="35">
        <f>V318*S318</f>
        <v>13584.96</v>
      </c>
      <c r="AD318" s="370">
        <v>21.2</v>
      </c>
      <c r="AE318" s="368" t="s">
        <v>151</v>
      </c>
      <c r="AF318" s="356" t="s">
        <v>154</v>
      </c>
      <c r="AG318" s="370">
        <f>V318</f>
        <v>640.79999999999995</v>
      </c>
      <c r="AH318" s="356" t="s">
        <v>151</v>
      </c>
      <c r="AI318" s="370">
        <f>(AD318*AG318)</f>
        <v>13584.96</v>
      </c>
    </row>
    <row r="319" spans="1:35" ht="15.75">
      <c r="A319" s="382">
        <f t="shared" si="32"/>
        <v>156</v>
      </c>
      <c r="B319" s="385" t="s">
        <v>1093</v>
      </c>
      <c r="C319" s="469">
        <v>45</v>
      </c>
      <c r="D319" s="470" t="s">
        <v>223</v>
      </c>
      <c r="G319" s="368" t="s">
        <v>128</v>
      </c>
      <c r="H319" s="356" t="s">
        <v>129</v>
      </c>
      <c r="J319" s="356" t="s">
        <v>128</v>
      </c>
      <c r="K319" s="370">
        <v>5</v>
      </c>
      <c r="N319" s="356" t="s">
        <v>122</v>
      </c>
      <c r="O319" s="356" t="s">
        <v>1096</v>
      </c>
      <c r="T319" s="35" t="s">
        <v>128</v>
      </c>
      <c r="U319" s="35" t="s">
        <v>129</v>
      </c>
      <c r="W319" s="361" t="s">
        <v>128</v>
      </c>
      <c r="X319" s="35">
        <v>0</v>
      </c>
      <c r="AE319" s="368" t="s">
        <v>128</v>
      </c>
      <c r="AF319" s="356" t="s">
        <v>129</v>
      </c>
      <c r="AH319" s="356" t="s">
        <v>128</v>
      </c>
      <c r="AI319" s="370">
        <v>5</v>
      </c>
    </row>
    <row r="320" spans="1:35" ht="15.75">
      <c r="A320" s="382">
        <f t="shared" si="32"/>
        <v>157</v>
      </c>
      <c r="B320" s="385" t="s">
        <v>1094</v>
      </c>
      <c r="C320" s="469">
        <v>99.75</v>
      </c>
      <c r="D320" s="470" t="s">
        <v>223</v>
      </c>
      <c r="K320" s="363" t="s">
        <v>117</v>
      </c>
      <c r="O320" s="363" t="s">
        <v>117</v>
      </c>
      <c r="W320" s="361"/>
      <c r="X320" s="35" t="s">
        <v>117</v>
      </c>
      <c r="AE320" s="358"/>
      <c r="AH320" s="360"/>
      <c r="AI320" s="363" t="s">
        <v>117</v>
      </c>
    </row>
    <row r="321" spans="1:36" ht="15.75">
      <c r="A321" s="382">
        <f t="shared" si="32"/>
        <v>158</v>
      </c>
      <c r="B321" s="385" t="s">
        <v>1097</v>
      </c>
      <c r="C321" s="473"/>
      <c r="D321" s="474"/>
      <c r="H321" s="356" t="s">
        <v>143</v>
      </c>
      <c r="K321" s="370">
        <f>SUM(K313:K319)</f>
        <v>74124.877800000002</v>
      </c>
      <c r="M321" s="370">
        <v>0.1</v>
      </c>
      <c r="N321" s="356" t="s">
        <v>108</v>
      </c>
      <c r="O321" s="356" t="s">
        <v>131</v>
      </c>
      <c r="P321" s="370">
        <f>(K23)</f>
        <v>6506.2708000000002</v>
      </c>
      <c r="Q321" s="356" t="s">
        <v>108</v>
      </c>
      <c r="R321" s="370">
        <f>(M321*P321)</f>
        <v>650.62708000000009</v>
      </c>
      <c r="U321" s="35" t="s">
        <v>143</v>
      </c>
      <c r="W321" s="361"/>
      <c r="X321" s="35">
        <f>SUM(X313:X320)</f>
        <v>78341.35579999999</v>
      </c>
      <c r="AE321" s="358"/>
      <c r="AF321" s="356" t="s">
        <v>143</v>
      </c>
      <c r="AH321" s="360"/>
      <c r="AI321" s="370">
        <f>SUM(AI313:AI319)</f>
        <v>74674.320639999991</v>
      </c>
    </row>
    <row r="322" spans="1:36" ht="15.75">
      <c r="A322" s="382">
        <f t="shared" si="32"/>
        <v>159</v>
      </c>
      <c r="B322" s="385" t="s">
        <v>1090</v>
      </c>
      <c r="C322" s="469">
        <v>43.47</v>
      </c>
      <c r="D322" s="470" t="s">
        <v>223</v>
      </c>
      <c r="K322" s="363" t="s">
        <v>117</v>
      </c>
      <c r="M322" s="370">
        <v>1.1000000000000001</v>
      </c>
      <c r="N322" s="356" t="s">
        <v>151</v>
      </c>
      <c r="O322" s="356" t="s">
        <v>162</v>
      </c>
      <c r="P322" s="370">
        <f>(C10)</f>
        <v>1198.8</v>
      </c>
      <c r="Q322" s="356" t="s">
        <v>151</v>
      </c>
      <c r="R322" s="370">
        <f>(M322*P322)</f>
        <v>1318.68</v>
      </c>
      <c r="W322" s="361"/>
      <c r="X322" s="35" t="s">
        <v>117</v>
      </c>
      <c r="AE322" s="358"/>
      <c r="AH322" s="360"/>
      <c r="AI322" s="363" t="s">
        <v>117</v>
      </c>
    </row>
    <row r="323" spans="1:36" ht="15.75">
      <c r="A323" s="382">
        <f t="shared" si="32"/>
        <v>160</v>
      </c>
      <c r="B323" s="385" t="s">
        <v>1091</v>
      </c>
      <c r="C323" s="469">
        <v>50.34</v>
      </c>
      <c r="D323" s="470" t="s">
        <v>223</v>
      </c>
      <c r="H323" s="372" t="s">
        <v>155</v>
      </c>
      <c r="K323" s="369">
        <f>(K321/10)</f>
        <v>7412.4877800000004</v>
      </c>
      <c r="M323" s="370">
        <v>1.1000000000000001</v>
      </c>
      <c r="N323" s="356" t="s">
        <v>151</v>
      </c>
      <c r="O323" s="356" t="s">
        <v>153</v>
      </c>
      <c r="P323" s="370">
        <f>(C12)</f>
        <v>781.19999999999993</v>
      </c>
      <c r="Q323" s="356" t="s">
        <v>151</v>
      </c>
      <c r="R323" s="370">
        <f>(M323*P323)</f>
        <v>859.32</v>
      </c>
      <c r="U323" s="35" t="s">
        <v>155</v>
      </c>
      <c r="W323" s="361"/>
      <c r="X323" s="411">
        <f>X321/10</f>
        <v>7834.1355799999992</v>
      </c>
      <c r="Y323" s="411"/>
      <c r="AE323" s="358"/>
      <c r="AF323" s="372" t="s">
        <v>155</v>
      </c>
      <c r="AH323" s="360"/>
      <c r="AI323" s="369">
        <f>(AI321/10)</f>
        <v>7467.4320639999987</v>
      </c>
    </row>
    <row r="324" spans="1:36" ht="15.75">
      <c r="A324" s="382">
        <f t="shared" si="32"/>
        <v>161</v>
      </c>
      <c r="B324" s="385" t="s">
        <v>1093</v>
      </c>
      <c r="C324" s="469">
        <v>65.209999999999994</v>
      </c>
      <c r="D324" s="470" t="s">
        <v>223</v>
      </c>
      <c r="K324" s="363" t="s">
        <v>156</v>
      </c>
      <c r="M324" s="370">
        <v>1.1000000000000001</v>
      </c>
      <c r="N324" s="356" t="s">
        <v>151</v>
      </c>
      <c r="O324" s="356" t="s">
        <v>154</v>
      </c>
      <c r="P324" s="370">
        <f>(C13)</f>
        <v>640.79999999999995</v>
      </c>
      <c r="Q324" s="356" t="s">
        <v>151</v>
      </c>
      <c r="R324" s="370">
        <f>(M324*P324)</f>
        <v>704.88</v>
      </c>
      <c r="W324" s="361"/>
      <c r="AE324" s="358"/>
      <c r="AH324" s="360"/>
      <c r="AI324" s="363" t="s">
        <v>156</v>
      </c>
    </row>
    <row r="325" spans="1:36" ht="15.75">
      <c r="A325" s="382">
        <f t="shared" si="32"/>
        <v>162</v>
      </c>
      <c r="B325" s="385" t="s">
        <v>1094</v>
      </c>
      <c r="C325" s="469">
        <v>145.29</v>
      </c>
      <c r="D325" s="470" t="s">
        <v>223</v>
      </c>
      <c r="H325" s="356" t="s">
        <v>172</v>
      </c>
      <c r="K325" s="370">
        <f>(K323+C19)</f>
        <v>7507.1677800000007</v>
      </c>
      <c r="L325" s="35">
        <f>K325-K323</f>
        <v>94.680000000000291</v>
      </c>
      <c r="N325" s="356" t="s">
        <v>128</v>
      </c>
      <c r="O325" s="356" t="s">
        <v>129</v>
      </c>
      <c r="P325" s="356" t="s">
        <v>114</v>
      </c>
      <c r="Q325" s="356" t="s">
        <v>128</v>
      </c>
      <c r="R325" s="370">
        <v>0</v>
      </c>
      <c r="U325" s="35" t="s">
        <v>172</v>
      </c>
      <c r="W325" s="361"/>
      <c r="X325" s="35">
        <f>X323+C19</f>
        <v>7928.8155799999995</v>
      </c>
      <c r="Z325" s="35">
        <f>X325-X323</f>
        <v>94.680000000000291</v>
      </c>
      <c r="AE325" s="358"/>
      <c r="AF325" s="356" t="s">
        <v>172</v>
      </c>
      <c r="AH325" s="360"/>
      <c r="AI325" s="370">
        <f>AI323+C19</f>
        <v>7562.112063999999</v>
      </c>
      <c r="AJ325" s="35">
        <f>AI325-AI323</f>
        <v>94.680000000000291</v>
      </c>
    </row>
    <row r="326" spans="1:36" ht="15.75">
      <c r="A326" s="382">
        <f t="shared" si="32"/>
        <v>163</v>
      </c>
      <c r="B326" s="385" t="s">
        <v>1098</v>
      </c>
      <c r="C326" s="473"/>
      <c r="D326" s="474"/>
      <c r="H326" s="356" t="s">
        <v>873</v>
      </c>
      <c r="K326" s="370">
        <f>(K325+C20)</f>
        <v>7698.2077800000006</v>
      </c>
      <c r="L326" s="35">
        <f>K326-K325</f>
        <v>191.03999999999996</v>
      </c>
      <c r="R326" s="363" t="s">
        <v>117</v>
      </c>
      <c r="U326" s="35" t="s">
        <v>873</v>
      </c>
      <c r="W326" s="361"/>
      <c r="X326" s="35">
        <f>X325+C20</f>
        <v>8119.8555799999995</v>
      </c>
      <c r="Z326" s="35">
        <f>X326-X325</f>
        <v>191.03999999999996</v>
      </c>
      <c r="AE326" s="358"/>
      <c r="AF326" s="356" t="s">
        <v>873</v>
      </c>
      <c r="AH326" s="360"/>
      <c r="AI326" s="370">
        <f>AI325+C20</f>
        <v>7753.152063999999</v>
      </c>
      <c r="AJ326" s="35">
        <f>AI326-AI325</f>
        <v>191.03999999999996</v>
      </c>
    </row>
    <row r="327" spans="1:36" ht="15.75">
      <c r="A327" s="382">
        <f t="shared" si="32"/>
        <v>164</v>
      </c>
      <c r="B327" s="385" t="s">
        <v>1090</v>
      </c>
      <c r="C327" s="469">
        <v>14.91</v>
      </c>
      <c r="D327" s="470" t="s">
        <v>110</v>
      </c>
      <c r="H327" s="356" t="s">
        <v>876</v>
      </c>
      <c r="K327" s="370">
        <f>(K326+C21)</f>
        <v>7889.2477800000006</v>
      </c>
      <c r="M327" s="35">
        <f>(K327+K326)/2</f>
        <v>7793.7277800000011</v>
      </c>
      <c r="O327" s="356" t="s">
        <v>176</v>
      </c>
      <c r="R327" s="370">
        <f>SUM(R321:R325)</f>
        <v>3533.5070800000003</v>
      </c>
      <c r="U327" s="35" t="s">
        <v>876</v>
      </c>
      <c r="W327" s="361"/>
      <c r="X327" s="35">
        <f>X326+C20</f>
        <v>8310.8955800000003</v>
      </c>
      <c r="AE327" s="358"/>
      <c r="AF327" s="356" t="s">
        <v>876</v>
      </c>
      <c r="AH327" s="360"/>
      <c r="AI327" s="370">
        <f>AI326+C20</f>
        <v>7944.1920639999989</v>
      </c>
      <c r="AJ327" s="35">
        <f>AI326-AI325</f>
        <v>191.03999999999996</v>
      </c>
    </row>
    <row r="328" spans="1:36" ht="15.75">
      <c r="A328" s="382">
        <f t="shared" si="32"/>
        <v>165</v>
      </c>
      <c r="B328" s="385" t="s">
        <v>1091</v>
      </c>
      <c r="C328" s="469">
        <v>19.41</v>
      </c>
      <c r="D328" s="470" t="s">
        <v>110</v>
      </c>
      <c r="H328" s="356" t="s">
        <v>878</v>
      </c>
      <c r="K328" s="370">
        <f>(K327+C21)</f>
        <v>8080.2877800000006</v>
      </c>
      <c r="R328" s="363" t="s">
        <v>117</v>
      </c>
      <c r="U328" s="35" t="s">
        <v>878</v>
      </c>
      <c r="W328" s="361"/>
      <c r="X328" s="35">
        <f>X327+C20</f>
        <v>8501.9355800000012</v>
      </c>
      <c r="AE328" s="358"/>
      <c r="AF328" s="356" t="s">
        <v>878</v>
      </c>
      <c r="AH328" s="360"/>
      <c r="AI328" s="370">
        <f>AI327+C20</f>
        <v>8135.2320639999989</v>
      </c>
    </row>
    <row r="329" spans="1:36" ht="15.75">
      <c r="A329" s="382">
        <f t="shared" si="32"/>
        <v>166</v>
      </c>
      <c r="B329" s="385" t="s">
        <v>1093</v>
      </c>
      <c r="C329" s="469">
        <v>22.22</v>
      </c>
      <c r="D329" s="470" t="s">
        <v>110</v>
      </c>
      <c r="H329" s="356" t="s">
        <v>881</v>
      </c>
      <c r="K329" s="370">
        <f>(K328+C21)</f>
        <v>8271.3277800000014</v>
      </c>
      <c r="O329" s="356" t="s">
        <v>177</v>
      </c>
      <c r="R329" s="370">
        <f>(R327/10)</f>
        <v>353.35070800000005</v>
      </c>
      <c r="U329" s="35" t="s">
        <v>881</v>
      </c>
      <c r="W329" s="361"/>
      <c r="X329" s="35">
        <f>X328+C20</f>
        <v>8692.9755800000021</v>
      </c>
      <c r="AE329" s="358"/>
      <c r="AF329" s="356" t="s">
        <v>881</v>
      </c>
      <c r="AH329" s="360"/>
      <c r="AI329" s="370">
        <f>AI328+C20</f>
        <v>8326.2720639999989</v>
      </c>
    </row>
    <row r="330" spans="1:36" ht="15.75">
      <c r="A330" s="382"/>
      <c r="B330" s="385"/>
      <c r="C330" s="469"/>
      <c r="D330" s="470"/>
      <c r="H330" s="356"/>
      <c r="K330" s="370"/>
      <c r="O330" s="356"/>
      <c r="R330" s="370"/>
      <c r="W330" s="361"/>
      <c r="AG330" s="395"/>
      <c r="AI330" s="356"/>
    </row>
    <row r="331" spans="1:36" ht="15.75">
      <c r="A331" s="382"/>
      <c r="B331" s="385"/>
      <c r="C331" s="469"/>
      <c r="D331" s="470"/>
      <c r="F331" s="357" t="s">
        <v>1099</v>
      </c>
      <c r="H331" s="356" t="s">
        <v>1100</v>
      </c>
      <c r="K331" s="475">
        <v>719</v>
      </c>
      <c r="L331" s="35" t="s">
        <v>1101</v>
      </c>
      <c r="O331" s="356"/>
      <c r="R331" s="370"/>
      <c r="W331" s="361"/>
      <c r="AG331" s="395"/>
      <c r="AI331" s="356"/>
    </row>
    <row r="332" spans="1:36" ht="15.75">
      <c r="A332" s="382"/>
      <c r="B332" s="385"/>
      <c r="C332" s="469"/>
      <c r="D332" s="470"/>
      <c r="H332" s="356" t="s">
        <v>1102</v>
      </c>
      <c r="K332" s="363" t="s">
        <v>156</v>
      </c>
      <c r="O332" s="356"/>
      <c r="R332" s="370"/>
      <c r="W332" s="361"/>
      <c r="AG332" s="395"/>
      <c r="AI332" s="356"/>
    </row>
    <row r="333" spans="1:36" ht="15.75">
      <c r="A333" s="382"/>
      <c r="B333" s="385"/>
      <c r="C333" s="469"/>
      <c r="D333" s="470"/>
      <c r="H333" s="356"/>
      <c r="K333" s="370"/>
      <c r="O333" s="356"/>
      <c r="R333" s="370"/>
      <c r="W333" s="361"/>
      <c r="AG333" s="395"/>
      <c r="AI333" s="356"/>
    </row>
    <row r="334" spans="1:36" ht="15.75">
      <c r="A334" s="382">
        <f>(A329+1)</f>
        <v>167</v>
      </c>
      <c r="B334" s="385" t="s">
        <v>1094</v>
      </c>
      <c r="C334" s="469">
        <v>46.42</v>
      </c>
      <c r="D334" s="470" t="s">
        <v>110</v>
      </c>
      <c r="F334" s="393">
        <v>9</v>
      </c>
      <c r="G334" s="368" t="s">
        <v>122</v>
      </c>
      <c r="H334" s="356" t="s">
        <v>1103</v>
      </c>
      <c r="R334" s="363" t="s">
        <v>156</v>
      </c>
      <c r="S334" s="36">
        <v>9</v>
      </c>
      <c r="T334" s="35" t="s">
        <v>122</v>
      </c>
      <c r="U334" s="35" t="s">
        <v>1104</v>
      </c>
      <c r="W334" s="361"/>
      <c r="AD334" s="393">
        <v>9</v>
      </c>
      <c r="AE334" s="368" t="s">
        <v>122</v>
      </c>
      <c r="AF334" s="356" t="s">
        <v>1105</v>
      </c>
      <c r="AH334" s="360"/>
    </row>
    <row r="335" spans="1:36" ht="15.75">
      <c r="A335" s="382">
        <f t="shared" si="32"/>
        <v>168</v>
      </c>
      <c r="B335" s="385" t="s">
        <v>1106</v>
      </c>
      <c r="C335" s="473"/>
      <c r="D335" s="474"/>
      <c r="H335" s="356" t="str">
        <f>H311</f>
        <v>Bricks of size 22x11x7 cm</v>
      </c>
      <c r="U335" s="35" t="s">
        <v>1088</v>
      </c>
      <c r="W335" s="361"/>
      <c r="AE335" s="358"/>
      <c r="AF335" s="356" t="str">
        <f>AF311</f>
        <v>Bricks of size 23x11.4x7.5 cm</v>
      </c>
      <c r="AH335" s="360"/>
    </row>
    <row r="336" spans="1:36" ht="15.75">
      <c r="A336" s="382">
        <f t="shared" si="32"/>
        <v>169</v>
      </c>
      <c r="B336" s="385" t="s">
        <v>1090</v>
      </c>
      <c r="C336" s="469">
        <v>8.58</v>
      </c>
      <c r="D336" s="470" t="s">
        <v>223</v>
      </c>
      <c r="H336" s="363" t="s">
        <v>117</v>
      </c>
      <c r="N336" s="356" t="s">
        <v>122</v>
      </c>
      <c r="O336" s="356" t="s">
        <v>175</v>
      </c>
      <c r="U336" s="35" t="s">
        <v>117</v>
      </c>
      <c r="W336" s="361"/>
      <c r="AE336" s="358"/>
      <c r="AF336" s="363" t="s">
        <v>117</v>
      </c>
      <c r="AH336" s="360"/>
    </row>
    <row r="337" spans="1:35" ht="15.75">
      <c r="A337" s="382">
        <f t="shared" si="32"/>
        <v>170</v>
      </c>
      <c r="B337" s="385" t="s">
        <v>1091</v>
      </c>
      <c r="C337" s="469">
        <v>12.26</v>
      </c>
      <c r="D337" s="470" t="s">
        <v>223</v>
      </c>
      <c r="F337" s="370">
        <f>F313</f>
        <v>4800</v>
      </c>
      <c r="G337" s="368" t="s">
        <v>160</v>
      </c>
      <c r="H337" s="370" t="str">
        <f>H311</f>
        <v>Bricks of size 22x11x7 cm</v>
      </c>
      <c r="I337" s="370">
        <f>C80</f>
        <v>6157.04</v>
      </c>
      <c r="J337" s="356" t="s">
        <v>161</v>
      </c>
      <c r="K337" s="370">
        <f>(F337*I337)/1000</f>
        <v>29553.792000000001</v>
      </c>
      <c r="O337" s="363" t="s">
        <v>117</v>
      </c>
      <c r="S337" s="36">
        <v>4600</v>
      </c>
      <c r="T337" s="35" t="s">
        <v>160</v>
      </c>
      <c r="U337" s="35" t="s">
        <v>1088</v>
      </c>
      <c r="V337" s="35">
        <f>AE41</f>
        <v>7342.45</v>
      </c>
      <c r="W337" s="361" t="s">
        <v>161</v>
      </c>
      <c r="X337" s="35">
        <f>V337*S337/1000</f>
        <v>33775.269999999997</v>
      </c>
      <c r="AD337" s="370">
        <f>AD313</f>
        <v>4240</v>
      </c>
      <c r="AE337" s="368" t="s">
        <v>160</v>
      </c>
      <c r="AF337" s="370" t="str">
        <f>AF311</f>
        <v>Bricks of size 23x11.4x7.5 cm</v>
      </c>
      <c r="AG337" s="370">
        <f>AE42</f>
        <v>7542.45</v>
      </c>
      <c r="AH337" s="356" t="s">
        <v>161</v>
      </c>
      <c r="AI337" s="370">
        <f>AG337*AD337/1000</f>
        <v>31979.988000000001</v>
      </c>
    </row>
    <row r="338" spans="1:35" ht="15.75">
      <c r="A338" s="382">
        <f t="shared" si="32"/>
        <v>171</v>
      </c>
      <c r="B338" s="385" t="s">
        <v>1093</v>
      </c>
      <c r="C338" s="469">
        <v>13.89</v>
      </c>
      <c r="D338" s="470" t="s">
        <v>223</v>
      </c>
      <c r="F338" s="370">
        <f>F314</f>
        <v>2.5</v>
      </c>
      <c r="G338" s="368" t="s">
        <v>108</v>
      </c>
      <c r="H338" s="356" t="s">
        <v>135</v>
      </c>
      <c r="I338" s="370">
        <f>K58</f>
        <v>3447.6435999999999</v>
      </c>
      <c r="J338" s="356" t="s">
        <v>108</v>
      </c>
      <c r="K338" s="370">
        <f>(F338*I338)</f>
        <v>8619.1090000000004</v>
      </c>
      <c r="M338" s="370">
        <v>0.22</v>
      </c>
      <c r="N338" s="356" t="s">
        <v>108</v>
      </c>
      <c r="O338" s="356" t="s">
        <v>134</v>
      </c>
      <c r="P338" s="370">
        <f>(K49)</f>
        <v>3753.50632</v>
      </c>
      <c r="Q338" s="356" t="s">
        <v>108</v>
      </c>
      <c r="R338" s="370">
        <f>(M338*P338)</f>
        <v>825.77139039999997</v>
      </c>
      <c r="S338" s="36">
        <v>2.5</v>
      </c>
      <c r="T338" s="35" t="s">
        <v>108</v>
      </c>
      <c r="U338" s="35" t="s">
        <v>135</v>
      </c>
      <c r="V338" s="35">
        <f>I338</f>
        <v>3447.6435999999999</v>
      </c>
      <c r="W338" s="361" t="s">
        <v>108</v>
      </c>
      <c r="X338" s="35">
        <f t="shared" ref="X338:X342" si="34">V338*S338</f>
        <v>8619.1090000000004</v>
      </c>
      <c r="AD338" s="370">
        <f>AD314</f>
        <v>2</v>
      </c>
      <c r="AE338" s="368" t="s">
        <v>108</v>
      </c>
      <c r="AF338" s="356" t="s">
        <v>135</v>
      </c>
      <c r="AG338" s="370">
        <f>V338</f>
        <v>3447.6435999999999</v>
      </c>
      <c r="AH338" s="356" t="s">
        <v>108</v>
      </c>
      <c r="AI338" s="370">
        <f>AG338*AD338</f>
        <v>6895.2871999999998</v>
      </c>
    </row>
    <row r="339" spans="1:35" ht="15.75">
      <c r="A339" s="382">
        <f t="shared" si="32"/>
        <v>172</v>
      </c>
      <c r="B339" s="385" t="s">
        <v>1094</v>
      </c>
      <c r="C339" s="469">
        <v>36.25</v>
      </c>
      <c r="D339" s="470" t="s">
        <v>223</v>
      </c>
      <c r="F339" s="370">
        <v>3.5</v>
      </c>
      <c r="G339" s="368" t="s">
        <v>151</v>
      </c>
      <c r="H339" s="356" t="s">
        <v>162</v>
      </c>
      <c r="I339" s="370">
        <f>C10</f>
        <v>1198.8</v>
      </c>
      <c r="J339" s="356" t="s">
        <v>151</v>
      </c>
      <c r="K339" s="370">
        <f>(F339*I339)</f>
        <v>4195.8</v>
      </c>
      <c r="M339" s="370">
        <v>2.2000000000000002</v>
      </c>
      <c r="N339" s="356" t="s">
        <v>151</v>
      </c>
      <c r="O339" s="356" t="s">
        <v>162</v>
      </c>
      <c r="P339" s="370">
        <f>(C10)</f>
        <v>1198.8</v>
      </c>
      <c r="Q339" s="356" t="s">
        <v>151</v>
      </c>
      <c r="R339" s="370">
        <f>(M339*P339)</f>
        <v>2637.36</v>
      </c>
      <c r="S339" s="36">
        <v>3.5</v>
      </c>
      <c r="T339" s="35" t="s">
        <v>151</v>
      </c>
      <c r="U339" s="35" t="s">
        <v>162</v>
      </c>
      <c r="V339" s="35">
        <f>I339</f>
        <v>1198.8</v>
      </c>
      <c r="W339" s="361" t="s">
        <v>151</v>
      </c>
      <c r="X339" s="35">
        <f t="shared" si="34"/>
        <v>4195.8</v>
      </c>
      <c r="AD339" s="370">
        <v>3.5</v>
      </c>
      <c r="AE339" s="368" t="s">
        <v>151</v>
      </c>
      <c r="AF339" s="356" t="s">
        <v>162</v>
      </c>
      <c r="AG339" s="370">
        <f>V339</f>
        <v>1198.8</v>
      </c>
      <c r="AH339" s="356" t="s">
        <v>151</v>
      </c>
      <c r="AI339" s="370">
        <f>AG339*AD339</f>
        <v>4195.8</v>
      </c>
    </row>
    <row r="340" spans="1:35" ht="15.75">
      <c r="A340" s="382">
        <f t="shared" si="32"/>
        <v>173</v>
      </c>
      <c r="B340" s="385" t="s">
        <v>1107</v>
      </c>
      <c r="C340" s="473"/>
      <c r="D340" s="474"/>
      <c r="F340" s="370">
        <v>10.6</v>
      </c>
      <c r="G340" s="368" t="s">
        <v>151</v>
      </c>
      <c r="H340" s="356" t="s">
        <v>152</v>
      </c>
      <c r="I340" s="370">
        <f>C11</f>
        <v>1118.3999999999999</v>
      </c>
      <c r="J340" s="356" t="s">
        <v>151</v>
      </c>
      <c r="K340" s="370">
        <f>(F340*I340)</f>
        <v>11855.039999999999</v>
      </c>
      <c r="M340" s="370">
        <v>0.5</v>
      </c>
      <c r="N340" s="356" t="s">
        <v>151</v>
      </c>
      <c r="O340" s="356" t="s">
        <v>153</v>
      </c>
      <c r="P340" s="370">
        <f>(C12)</f>
        <v>781.19999999999993</v>
      </c>
      <c r="Q340" s="356" t="s">
        <v>151</v>
      </c>
      <c r="R340" s="370">
        <f>(M340*P340)</f>
        <v>390.59999999999997</v>
      </c>
      <c r="S340" s="36">
        <v>10.6</v>
      </c>
      <c r="T340" s="35" t="s">
        <v>151</v>
      </c>
      <c r="U340" s="35" t="s">
        <v>152</v>
      </c>
      <c r="V340" s="35">
        <f>I340</f>
        <v>1118.3999999999999</v>
      </c>
      <c r="W340" s="361" t="s">
        <v>151</v>
      </c>
      <c r="X340" s="35">
        <f t="shared" si="34"/>
        <v>11855.039999999999</v>
      </c>
      <c r="AD340" s="370">
        <v>10.6</v>
      </c>
      <c r="AE340" s="368" t="s">
        <v>151</v>
      </c>
      <c r="AF340" s="356" t="s">
        <v>152</v>
      </c>
      <c r="AG340" s="370">
        <f>V340</f>
        <v>1118.3999999999999</v>
      </c>
      <c r="AH340" s="356" t="s">
        <v>151</v>
      </c>
      <c r="AI340" s="370">
        <f>AG340*AD340</f>
        <v>11855.039999999999</v>
      </c>
    </row>
    <row r="341" spans="1:35" ht="15.75">
      <c r="A341" s="382">
        <f t="shared" si="32"/>
        <v>174</v>
      </c>
      <c r="B341" s="385" t="s">
        <v>1090</v>
      </c>
      <c r="C341" s="469">
        <v>15.7</v>
      </c>
      <c r="D341" s="470" t="s">
        <v>223</v>
      </c>
      <c r="F341" s="370">
        <v>7.1</v>
      </c>
      <c r="G341" s="368" t="s">
        <v>151</v>
      </c>
      <c r="H341" s="356" t="s">
        <v>153</v>
      </c>
      <c r="I341" s="370">
        <f>C12</f>
        <v>781.19999999999993</v>
      </c>
      <c r="J341" s="356" t="s">
        <v>151</v>
      </c>
      <c r="K341" s="370">
        <f>(F341*I341)</f>
        <v>5546.5199999999995</v>
      </c>
      <c r="M341" s="370">
        <v>3.2</v>
      </c>
      <c r="N341" s="356" t="s">
        <v>151</v>
      </c>
      <c r="O341" s="356" t="s">
        <v>154</v>
      </c>
      <c r="P341" s="370">
        <f>(C13)</f>
        <v>640.79999999999995</v>
      </c>
      <c r="Q341" s="356" t="s">
        <v>151</v>
      </c>
      <c r="R341" s="370">
        <f>(M341*P341)</f>
        <v>2050.56</v>
      </c>
      <c r="S341" s="36">
        <v>7.1</v>
      </c>
      <c r="T341" s="35" t="s">
        <v>151</v>
      </c>
      <c r="U341" s="35" t="s">
        <v>153</v>
      </c>
      <c r="V341" s="35">
        <f>I341</f>
        <v>781.19999999999993</v>
      </c>
      <c r="W341" s="361" t="s">
        <v>151</v>
      </c>
      <c r="X341" s="35">
        <f t="shared" si="34"/>
        <v>5546.5199999999995</v>
      </c>
      <c r="AD341" s="370">
        <v>7.1</v>
      </c>
      <c r="AE341" s="368" t="s">
        <v>151</v>
      </c>
      <c r="AF341" s="356" t="s">
        <v>153</v>
      </c>
      <c r="AG341" s="370">
        <f>V341</f>
        <v>781.19999999999993</v>
      </c>
      <c r="AH341" s="356" t="s">
        <v>151</v>
      </c>
      <c r="AI341" s="370">
        <f>AG341*AD341</f>
        <v>5546.5199999999995</v>
      </c>
    </row>
    <row r="342" spans="1:35" ht="15.75">
      <c r="A342" s="382">
        <f t="shared" si="32"/>
        <v>175</v>
      </c>
      <c r="B342" s="385" t="s">
        <v>1091</v>
      </c>
      <c r="C342" s="469">
        <v>22.31</v>
      </c>
      <c r="D342" s="470" t="s">
        <v>223</v>
      </c>
      <c r="F342" s="370">
        <v>21.2</v>
      </c>
      <c r="G342" s="368" t="s">
        <v>151</v>
      </c>
      <c r="H342" s="356" t="s">
        <v>154</v>
      </c>
      <c r="I342" s="370">
        <f>C13</f>
        <v>640.79999999999995</v>
      </c>
      <c r="J342" s="356" t="s">
        <v>151</v>
      </c>
      <c r="K342" s="370">
        <f>(F342*I342)</f>
        <v>13584.96</v>
      </c>
      <c r="N342" s="356" t="s">
        <v>128</v>
      </c>
      <c r="O342" s="356" t="s">
        <v>129</v>
      </c>
      <c r="P342" s="356" t="s">
        <v>114</v>
      </c>
      <c r="Q342" s="356" t="s">
        <v>128</v>
      </c>
      <c r="R342" s="370">
        <v>0</v>
      </c>
      <c r="S342" s="36">
        <v>21.2</v>
      </c>
      <c r="T342" s="35" t="s">
        <v>151</v>
      </c>
      <c r="U342" s="35" t="s">
        <v>154</v>
      </c>
      <c r="V342" s="35">
        <f>I342</f>
        <v>640.79999999999995</v>
      </c>
      <c r="W342" s="361" t="s">
        <v>151</v>
      </c>
      <c r="X342" s="35">
        <f t="shared" si="34"/>
        <v>13584.96</v>
      </c>
      <c r="AD342" s="370">
        <v>21.2</v>
      </c>
      <c r="AE342" s="368" t="s">
        <v>151</v>
      </c>
      <c r="AF342" s="356" t="s">
        <v>154</v>
      </c>
      <c r="AG342" s="370">
        <f>V342</f>
        <v>640.79999999999995</v>
      </c>
      <c r="AH342" s="356" t="s">
        <v>151</v>
      </c>
      <c r="AI342" s="370">
        <f>AG342*AD342</f>
        <v>13584.96</v>
      </c>
    </row>
    <row r="343" spans="1:35" ht="15.75">
      <c r="A343" s="382">
        <f t="shared" si="32"/>
        <v>176</v>
      </c>
      <c r="B343" s="385" t="s">
        <v>1093</v>
      </c>
      <c r="C343" s="469">
        <v>25.24</v>
      </c>
      <c r="D343" s="470" t="s">
        <v>223</v>
      </c>
      <c r="G343" s="368" t="s">
        <v>128</v>
      </c>
      <c r="H343" s="356" t="s">
        <v>129</v>
      </c>
      <c r="J343" s="356" t="s">
        <v>128</v>
      </c>
      <c r="K343" s="370">
        <v>5</v>
      </c>
      <c r="R343" s="363" t="s">
        <v>117</v>
      </c>
      <c r="T343" s="35" t="s">
        <v>128</v>
      </c>
      <c r="U343" s="35" t="s">
        <v>129</v>
      </c>
      <c r="W343" s="361" t="s">
        <v>128</v>
      </c>
      <c r="X343" s="35">
        <v>5</v>
      </c>
      <c r="AE343" s="368" t="s">
        <v>128</v>
      </c>
      <c r="AF343" s="356" t="s">
        <v>129</v>
      </c>
      <c r="AH343" s="356" t="s">
        <v>128</v>
      </c>
      <c r="AI343" s="370">
        <v>5</v>
      </c>
    </row>
    <row r="344" spans="1:35" ht="15.75">
      <c r="A344" s="382">
        <f t="shared" si="32"/>
        <v>177</v>
      </c>
      <c r="B344" s="385" t="s">
        <v>1094</v>
      </c>
      <c r="C344" s="469">
        <v>52.34</v>
      </c>
      <c r="D344" s="470" t="s">
        <v>223</v>
      </c>
      <c r="K344" s="363" t="s">
        <v>117</v>
      </c>
      <c r="O344" s="356" t="s">
        <v>176</v>
      </c>
      <c r="R344" s="370">
        <f>SUM(R338:R342)</f>
        <v>5904.2913903999997</v>
      </c>
      <c r="W344" s="361"/>
      <c r="X344" s="363" t="s">
        <v>117</v>
      </c>
      <c r="Y344" s="363"/>
      <c r="AE344" s="358"/>
      <c r="AH344" s="360"/>
      <c r="AI344" s="363" t="s">
        <v>117</v>
      </c>
    </row>
    <row r="345" spans="1:35" ht="15.75">
      <c r="A345" s="382">
        <f t="shared" si="32"/>
        <v>178</v>
      </c>
      <c r="B345" s="385" t="s">
        <v>1108</v>
      </c>
      <c r="C345" s="473"/>
      <c r="D345" s="474"/>
      <c r="H345" s="356" t="s">
        <v>143</v>
      </c>
      <c r="K345" s="370">
        <f>SUM(K337:K343)</f>
        <v>73360.22099999999</v>
      </c>
      <c r="R345" s="363" t="s">
        <v>117</v>
      </c>
      <c r="U345" s="35" t="s">
        <v>143</v>
      </c>
      <c r="W345" s="361"/>
      <c r="X345" s="35">
        <f>SUM(X337:X344)</f>
        <v>77581.698999999993</v>
      </c>
      <c r="AE345" s="358"/>
      <c r="AF345" s="356" t="s">
        <v>143</v>
      </c>
      <c r="AH345" s="360"/>
      <c r="AI345" s="370">
        <f>SUM(AI337:AI343)</f>
        <v>74062.595200000011</v>
      </c>
    </row>
    <row r="346" spans="1:35" ht="15.75">
      <c r="A346" s="382">
        <f t="shared" si="32"/>
        <v>179</v>
      </c>
      <c r="B346" s="385" t="s">
        <v>1090</v>
      </c>
      <c r="C346" s="469">
        <v>13.73</v>
      </c>
      <c r="D346" s="470" t="s">
        <v>223</v>
      </c>
      <c r="K346" s="363" t="s">
        <v>117</v>
      </c>
      <c r="O346" s="356" t="s">
        <v>177</v>
      </c>
      <c r="R346" s="370">
        <f>(R344/10)</f>
        <v>590.42913904</v>
      </c>
      <c r="W346" s="361"/>
      <c r="X346" s="363" t="s">
        <v>117</v>
      </c>
      <c r="Y346" s="363"/>
      <c r="AE346" s="358"/>
      <c r="AH346" s="360"/>
      <c r="AI346" s="363" t="s">
        <v>117</v>
      </c>
    </row>
    <row r="347" spans="1:35" ht="15.75">
      <c r="A347" s="382">
        <f t="shared" si="32"/>
        <v>180</v>
      </c>
      <c r="B347" s="385" t="s">
        <v>1091</v>
      </c>
      <c r="C347" s="469">
        <v>20.16</v>
      </c>
      <c r="D347" s="470" t="s">
        <v>223</v>
      </c>
      <c r="H347" s="357" t="s">
        <v>155</v>
      </c>
      <c r="K347" s="370">
        <f>(K345/10)</f>
        <v>7336.0220999999992</v>
      </c>
      <c r="R347" s="363" t="s">
        <v>156</v>
      </c>
      <c r="U347" s="35" t="s">
        <v>155</v>
      </c>
      <c r="W347" s="361"/>
      <c r="X347" s="35">
        <f>X345/10</f>
        <v>7758.169899999999</v>
      </c>
      <c r="AE347" s="358"/>
      <c r="AF347" s="357" t="s">
        <v>155</v>
      </c>
      <c r="AH347" s="360"/>
      <c r="AI347" s="370">
        <f>(AI345/10)</f>
        <v>7406.2595200000014</v>
      </c>
    </row>
    <row r="348" spans="1:35" ht="15.75">
      <c r="A348" s="382">
        <f t="shared" si="32"/>
        <v>181</v>
      </c>
      <c r="B348" s="385" t="s">
        <v>1093</v>
      </c>
      <c r="C348" s="469">
        <v>22.73</v>
      </c>
      <c r="D348" s="470" t="s">
        <v>223</v>
      </c>
      <c r="K348" s="363" t="s">
        <v>156</v>
      </c>
      <c r="N348" s="356" t="s">
        <v>122</v>
      </c>
      <c r="O348" s="356" t="s">
        <v>1109</v>
      </c>
      <c r="W348" s="361"/>
      <c r="X348" s="415" t="s">
        <v>1110</v>
      </c>
      <c r="Y348" s="415"/>
      <c r="AE348" s="358"/>
      <c r="AH348" s="360"/>
      <c r="AI348" s="363" t="s">
        <v>156</v>
      </c>
    </row>
    <row r="349" spans="1:35" ht="15.75">
      <c r="A349" s="382">
        <f t="shared" ref="A349:A412" si="35">(A348+1)</f>
        <v>182</v>
      </c>
      <c r="B349" s="385" t="s">
        <v>1094</v>
      </c>
      <c r="C349" s="469">
        <v>46.98</v>
      </c>
      <c r="D349" s="470" t="s">
        <v>114</v>
      </c>
      <c r="H349" s="356" t="s">
        <v>172</v>
      </c>
      <c r="K349" s="369">
        <f>(K347+C19)</f>
        <v>7430.7020999999995</v>
      </c>
      <c r="L349" s="35">
        <f>K349-K347</f>
        <v>94.680000000000291</v>
      </c>
      <c r="O349" s="363" t="s">
        <v>117</v>
      </c>
      <c r="U349" s="411" t="s">
        <v>172</v>
      </c>
      <c r="W349" s="361"/>
      <c r="X349" s="411">
        <f>X347+C19</f>
        <v>7852.8498999999993</v>
      </c>
      <c r="Y349" s="411"/>
      <c r="AE349" s="358"/>
      <c r="AF349" s="356" t="s">
        <v>172</v>
      </c>
      <c r="AH349" s="360"/>
      <c r="AI349" s="369">
        <f>(AI347+C19)</f>
        <v>7500.9395200000017</v>
      </c>
    </row>
    <row r="350" spans="1:35" ht="15.75">
      <c r="A350" s="382">
        <f t="shared" si="35"/>
        <v>183</v>
      </c>
      <c r="B350" s="385" t="s">
        <v>1111</v>
      </c>
      <c r="C350" s="473"/>
      <c r="D350" s="474"/>
      <c r="H350" s="356" t="s">
        <v>873</v>
      </c>
      <c r="K350" s="369">
        <f>(K349+C20)</f>
        <v>7621.7420999999995</v>
      </c>
      <c r="L350" s="35">
        <f>K350-K349</f>
        <v>191.03999999999996</v>
      </c>
      <c r="M350" s="370">
        <v>0.22</v>
      </c>
      <c r="N350" s="356" t="s">
        <v>108</v>
      </c>
      <c r="O350" s="356" t="s">
        <v>132</v>
      </c>
      <c r="P350" s="370">
        <f>(K32)</f>
        <v>4976.9571999999998</v>
      </c>
      <c r="Q350" s="356" t="s">
        <v>108</v>
      </c>
      <c r="R350" s="370">
        <f>(M350*P350)</f>
        <v>1094.930584</v>
      </c>
      <c r="U350" s="411" t="s">
        <v>873</v>
      </c>
      <c r="W350" s="361"/>
      <c r="X350" s="411">
        <f>X349+C20</f>
        <v>8043.8898999999992</v>
      </c>
      <c r="Y350" s="411"/>
      <c r="AE350" s="358"/>
      <c r="AF350" s="356" t="s">
        <v>873</v>
      </c>
      <c r="AH350" s="360"/>
      <c r="AI350" s="369">
        <f>(AI349+C20)</f>
        <v>7691.9795200000017</v>
      </c>
    </row>
    <row r="351" spans="1:35" ht="15.75">
      <c r="A351" s="382">
        <f t="shared" si="35"/>
        <v>184</v>
      </c>
      <c r="B351" s="385" t="s">
        <v>1090</v>
      </c>
      <c r="C351" s="469">
        <v>19.3</v>
      </c>
      <c r="D351" s="470" t="s">
        <v>223</v>
      </c>
      <c r="H351" s="356" t="s">
        <v>876</v>
      </c>
      <c r="K351" s="369">
        <f>(K350+C20)</f>
        <v>7812.7820999999994</v>
      </c>
      <c r="L351" s="35">
        <f>K351-K350</f>
        <v>191.03999999999996</v>
      </c>
      <c r="M351" s="370">
        <v>2.2000000000000002</v>
      </c>
      <c r="N351" s="356" t="s">
        <v>151</v>
      </c>
      <c r="O351" s="356" t="s">
        <v>162</v>
      </c>
      <c r="P351" s="370">
        <f>(C10)</f>
        <v>1198.8</v>
      </c>
      <c r="Q351" s="356" t="s">
        <v>151</v>
      </c>
      <c r="R351" s="370">
        <f>(M351*P351)</f>
        <v>2637.36</v>
      </c>
      <c r="U351" s="411" t="s">
        <v>876</v>
      </c>
      <c r="W351" s="361"/>
      <c r="X351" s="411">
        <f>X350+C20</f>
        <v>8234.9298999999992</v>
      </c>
      <c r="Y351" s="411"/>
      <c r="AE351" s="358"/>
      <c r="AF351" s="356" t="s">
        <v>876</v>
      </c>
      <c r="AH351" s="360"/>
      <c r="AI351" s="369">
        <f>(AI350+C20)</f>
        <v>7883.0195200000016</v>
      </c>
    </row>
    <row r="352" spans="1:35" ht="15.75">
      <c r="A352" s="382">
        <f t="shared" si="35"/>
        <v>185</v>
      </c>
      <c r="B352" s="385" t="s">
        <v>1093</v>
      </c>
      <c r="C352" s="469">
        <v>33.46</v>
      </c>
      <c r="D352" s="470" t="s">
        <v>223</v>
      </c>
      <c r="H352" s="356" t="s">
        <v>878</v>
      </c>
      <c r="K352" s="369">
        <f>(K351+C21)</f>
        <v>8003.8220999999994</v>
      </c>
      <c r="M352" s="370">
        <v>0.5</v>
      </c>
      <c r="N352" s="356" t="s">
        <v>151</v>
      </c>
      <c r="O352" s="356" t="s">
        <v>153</v>
      </c>
      <c r="P352" s="370">
        <f>(C12)</f>
        <v>781.19999999999993</v>
      </c>
      <c r="Q352" s="356" t="s">
        <v>151</v>
      </c>
      <c r="R352" s="370">
        <f>(M352*P352)</f>
        <v>390.59999999999997</v>
      </c>
      <c r="U352" s="411" t="s">
        <v>878</v>
      </c>
      <c r="W352" s="361"/>
      <c r="X352" s="411">
        <f>X351+C20</f>
        <v>8425.9699000000001</v>
      </c>
      <c r="Y352" s="411"/>
      <c r="AE352" s="358"/>
      <c r="AF352" s="356" t="s">
        <v>878</v>
      </c>
      <c r="AH352" s="360"/>
      <c r="AI352" s="369">
        <f>(AI351+C20)</f>
        <v>8074.0595200000016</v>
      </c>
    </row>
    <row r="353" spans="1:35" ht="15.75">
      <c r="A353" s="382">
        <f t="shared" si="35"/>
        <v>186</v>
      </c>
      <c r="B353" s="385" t="s">
        <v>1094</v>
      </c>
      <c r="C353" s="469">
        <v>53.62</v>
      </c>
      <c r="D353" s="470" t="s">
        <v>223</v>
      </c>
      <c r="F353" s="356" t="s">
        <v>114</v>
      </c>
      <c r="H353" s="356" t="s">
        <v>881</v>
      </c>
      <c r="K353" s="369">
        <f>(K352+C21)</f>
        <v>8194.8621000000003</v>
      </c>
      <c r="L353" s="35">
        <f>K353-K352</f>
        <v>191.04000000000087</v>
      </c>
      <c r="M353" s="370">
        <v>3.2</v>
      </c>
      <c r="N353" s="356" t="s">
        <v>151</v>
      </c>
      <c r="O353" s="356" t="s">
        <v>154</v>
      </c>
      <c r="P353" s="370">
        <f>(C13)</f>
        <v>640.79999999999995</v>
      </c>
      <c r="Q353" s="356" t="s">
        <v>151</v>
      </c>
      <c r="R353" s="370">
        <f>(M353*P353)</f>
        <v>2050.56</v>
      </c>
      <c r="S353" s="36" t="s">
        <v>114</v>
      </c>
      <c r="U353" s="411" t="s">
        <v>881</v>
      </c>
      <c r="W353" s="361"/>
      <c r="X353" s="411">
        <f>X352+C20</f>
        <v>8617.0099000000009</v>
      </c>
      <c r="Y353" s="411"/>
      <c r="AD353" s="356" t="s">
        <v>114</v>
      </c>
      <c r="AE353" s="358"/>
      <c r="AF353" s="356" t="s">
        <v>881</v>
      </c>
      <c r="AH353" s="360"/>
      <c r="AI353" s="369">
        <f>(AI352+C20)</f>
        <v>8265.0995200000016</v>
      </c>
    </row>
    <row r="354" spans="1:35" ht="15.75">
      <c r="A354" s="382">
        <f t="shared" si="35"/>
        <v>187</v>
      </c>
      <c r="B354" s="385" t="s">
        <v>1112</v>
      </c>
      <c r="C354" s="473"/>
      <c r="D354" s="474"/>
      <c r="F354" s="393">
        <v>27</v>
      </c>
      <c r="G354" s="368" t="s">
        <v>122</v>
      </c>
      <c r="H354" s="356" t="s">
        <v>1113</v>
      </c>
      <c r="L354" s="35">
        <f>K353+L353</f>
        <v>8385.9021000000012</v>
      </c>
      <c r="N354" s="356" t="s">
        <v>128</v>
      </c>
      <c r="O354" s="356" t="s">
        <v>129</v>
      </c>
      <c r="P354" s="356" t="s">
        <v>114</v>
      </c>
      <c r="Q354" s="356" t="s">
        <v>128</v>
      </c>
      <c r="R354" s="370">
        <v>0</v>
      </c>
      <c r="S354" s="36">
        <v>27</v>
      </c>
      <c r="T354" s="35" t="s">
        <v>122</v>
      </c>
      <c r="U354" s="35" t="s">
        <v>1114</v>
      </c>
      <c r="W354" s="361"/>
      <c r="AD354" s="356"/>
      <c r="AE354" s="358"/>
      <c r="AF354" s="356">
        <v>5</v>
      </c>
      <c r="AH354" s="360"/>
      <c r="AI354" s="369">
        <f>(AI353+C20)</f>
        <v>8456.1395200000024</v>
      </c>
    </row>
    <row r="355" spans="1:35" ht="15.75">
      <c r="A355" s="382">
        <f t="shared" si="35"/>
        <v>188</v>
      </c>
      <c r="B355" s="385" t="s">
        <v>1090</v>
      </c>
      <c r="C355" s="469">
        <v>13.73</v>
      </c>
      <c r="D355" s="470" t="s">
        <v>223</v>
      </c>
      <c r="H355" s="356" t="str">
        <f>H335</f>
        <v>Bricks of size 22x11x7 cm</v>
      </c>
      <c r="L355" s="35">
        <f>L354+L353</f>
        <v>8576.942100000002</v>
      </c>
      <c r="R355" s="363" t="s">
        <v>117</v>
      </c>
      <c r="U355" s="35" t="s">
        <v>1088</v>
      </c>
      <c r="W355" s="361"/>
      <c r="AD355" s="356"/>
      <c r="AE355" s="358"/>
      <c r="AF355" s="356">
        <v>6</v>
      </c>
      <c r="AH355" s="360"/>
      <c r="AI355" s="369">
        <f>(AI354+C20)</f>
        <v>8647.1795200000033</v>
      </c>
    </row>
    <row r="356" spans="1:35" ht="15.75">
      <c r="A356" s="382">
        <f t="shared" si="35"/>
        <v>189</v>
      </c>
      <c r="B356" s="385" t="s">
        <v>1091</v>
      </c>
      <c r="C356" s="469">
        <v>20.16</v>
      </c>
      <c r="D356" s="470" t="s">
        <v>223</v>
      </c>
      <c r="H356" s="363" t="s">
        <v>117</v>
      </c>
      <c r="O356" s="356" t="s">
        <v>176</v>
      </c>
      <c r="R356" s="370">
        <f>SUM(R350:R354)</f>
        <v>6173.4505840000002</v>
      </c>
      <c r="U356" s="35" t="s">
        <v>117</v>
      </c>
      <c r="W356" s="361"/>
      <c r="AD356" s="356"/>
      <c r="AE356" s="358"/>
      <c r="AF356" s="356">
        <v>7</v>
      </c>
      <c r="AH356" s="360"/>
      <c r="AI356" s="369">
        <f>(AI355+C20)</f>
        <v>8838.2195200000042</v>
      </c>
    </row>
    <row r="357" spans="1:35" ht="15.75">
      <c r="A357" s="382">
        <f t="shared" si="35"/>
        <v>190</v>
      </c>
      <c r="B357" s="385" t="s">
        <v>1093</v>
      </c>
      <c r="C357" s="469">
        <v>22.73</v>
      </c>
      <c r="D357" s="470" t="s">
        <v>223</v>
      </c>
      <c r="F357" s="370">
        <v>4800</v>
      </c>
      <c r="G357" s="368" t="s">
        <v>160</v>
      </c>
      <c r="H357" s="370" t="str">
        <f>H311</f>
        <v>Bricks of size 22x11x7 cm</v>
      </c>
      <c r="I357" s="370">
        <f>C80</f>
        <v>6157.04</v>
      </c>
      <c r="J357" s="356" t="s">
        <v>161</v>
      </c>
      <c r="K357" s="370">
        <f>(F357*I357)/1000</f>
        <v>29553.792000000001</v>
      </c>
      <c r="R357" s="363" t="s">
        <v>117</v>
      </c>
      <c r="S357" s="36">
        <v>4600</v>
      </c>
      <c r="T357" s="35" t="s">
        <v>160</v>
      </c>
      <c r="U357" s="35" t="s">
        <v>1088</v>
      </c>
      <c r="V357" s="35">
        <f>AE41</f>
        <v>7342.45</v>
      </c>
      <c r="W357" s="361" t="s">
        <v>161</v>
      </c>
      <c r="X357" s="35">
        <f>V357*S357/1000</f>
        <v>33775.269999999997</v>
      </c>
      <c r="AD357" s="356"/>
      <c r="AE357" s="358"/>
      <c r="AF357" s="356">
        <v>8</v>
      </c>
      <c r="AH357" s="360"/>
      <c r="AI357" s="369">
        <f>(AI356+C20)</f>
        <v>9029.2595200000051</v>
      </c>
    </row>
    <row r="358" spans="1:35" ht="15.75">
      <c r="A358" s="382">
        <f t="shared" si="35"/>
        <v>191</v>
      </c>
      <c r="B358" s="385" t="s">
        <v>1094</v>
      </c>
      <c r="C358" s="469">
        <v>46.98</v>
      </c>
      <c r="D358" s="470" t="s">
        <v>223</v>
      </c>
      <c r="F358" s="370">
        <v>2.5</v>
      </c>
      <c r="G358" s="368" t="s">
        <v>108</v>
      </c>
      <c r="H358" s="356" t="s">
        <v>133</v>
      </c>
      <c r="I358" s="370">
        <f>K40</f>
        <v>4212.3004000000001</v>
      </c>
      <c r="J358" s="356" t="s">
        <v>108</v>
      </c>
      <c r="K358" s="370">
        <f>(F358*I358)</f>
        <v>10530.751</v>
      </c>
      <c r="O358" s="356" t="s">
        <v>177</v>
      </c>
      <c r="R358" s="370">
        <f>(R356/10)</f>
        <v>617.34505839999997</v>
      </c>
      <c r="S358" s="36">
        <v>2.5</v>
      </c>
      <c r="T358" s="35" t="s">
        <v>108</v>
      </c>
      <c r="U358" s="35" t="s">
        <v>133</v>
      </c>
      <c r="V358" s="35">
        <f>I358</f>
        <v>4212.3004000000001</v>
      </c>
      <c r="W358" s="361" t="s">
        <v>108</v>
      </c>
      <c r="X358" s="35">
        <f>V358*S358</f>
        <v>10530.751</v>
      </c>
      <c r="AD358" s="356"/>
      <c r="AE358" s="358"/>
      <c r="AF358" s="356">
        <v>9</v>
      </c>
      <c r="AH358" s="360"/>
      <c r="AI358" s="369">
        <f>(AI357+C20)</f>
        <v>9220.2995200000059</v>
      </c>
    </row>
    <row r="359" spans="1:35" ht="15.75">
      <c r="A359" s="382">
        <f t="shared" si="35"/>
        <v>192</v>
      </c>
      <c r="B359" s="385" t="s">
        <v>1115</v>
      </c>
      <c r="C359" s="473"/>
      <c r="D359" s="474"/>
      <c r="F359" s="370">
        <v>3.5</v>
      </c>
      <c r="G359" s="368" t="s">
        <v>151</v>
      </c>
      <c r="H359" s="356" t="s">
        <v>162</v>
      </c>
      <c r="I359" s="370">
        <f>(C10)</f>
        <v>1198.8</v>
      </c>
      <c r="J359" s="356" t="s">
        <v>151</v>
      </c>
      <c r="K359" s="370">
        <f>(F359*I359)</f>
        <v>4195.8</v>
      </c>
      <c r="R359" s="363" t="s">
        <v>156</v>
      </c>
      <c r="S359" s="36">
        <v>3.5</v>
      </c>
      <c r="T359" s="35" t="s">
        <v>151</v>
      </c>
      <c r="U359" s="35" t="s">
        <v>162</v>
      </c>
      <c r="V359" s="35">
        <f>I359</f>
        <v>1198.8</v>
      </c>
      <c r="W359" s="361" t="s">
        <v>151</v>
      </c>
      <c r="X359" s="35">
        <f>V359*S359</f>
        <v>4195.8</v>
      </c>
      <c r="AD359" s="356"/>
      <c r="AE359" s="358"/>
      <c r="AF359" s="356">
        <v>10</v>
      </c>
      <c r="AH359" s="360"/>
      <c r="AI359" s="369">
        <f>(AI358+C20)</f>
        <v>9411.3395200000068</v>
      </c>
    </row>
    <row r="360" spans="1:35" ht="15.75">
      <c r="A360" s="382">
        <f t="shared" si="35"/>
        <v>193</v>
      </c>
      <c r="B360" s="385" t="s">
        <v>1090</v>
      </c>
      <c r="C360" s="469">
        <v>19.3</v>
      </c>
      <c r="D360" s="470" t="s">
        <v>223</v>
      </c>
      <c r="F360" s="370">
        <v>10.6</v>
      </c>
      <c r="G360" s="368" t="s">
        <v>151</v>
      </c>
      <c r="H360" s="356" t="s">
        <v>152</v>
      </c>
      <c r="I360" s="370">
        <f>(C11)</f>
        <v>1118.3999999999999</v>
      </c>
      <c r="J360" s="356" t="s">
        <v>151</v>
      </c>
      <c r="K360" s="370">
        <f>(F360*I360)</f>
        <v>11855.039999999999</v>
      </c>
      <c r="N360" s="356" t="s">
        <v>122</v>
      </c>
      <c r="O360" s="356" t="s">
        <v>1116</v>
      </c>
      <c r="S360" s="36">
        <v>10.6</v>
      </c>
      <c r="T360" s="35" t="s">
        <v>151</v>
      </c>
      <c r="U360" s="35" t="s">
        <v>152</v>
      </c>
      <c r="V360" s="35">
        <f>I360</f>
        <v>1118.3999999999999</v>
      </c>
      <c r="W360" s="361" t="s">
        <v>151</v>
      </c>
      <c r="X360" s="35">
        <f>V360*S360</f>
        <v>11855.039999999999</v>
      </c>
      <c r="AD360" s="356"/>
      <c r="AE360" s="358"/>
      <c r="AF360" s="356">
        <v>11</v>
      </c>
      <c r="AH360" s="360"/>
      <c r="AI360" s="369">
        <f>(AI359+C20)</f>
        <v>9602.3795200000077</v>
      </c>
    </row>
    <row r="361" spans="1:35" ht="15.75">
      <c r="A361" s="382">
        <f t="shared" si="35"/>
        <v>194</v>
      </c>
      <c r="B361" s="385" t="s">
        <v>1091</v>
      </c>
      <c r="C361" s="469">
        <v>25.74</v>
      </c>
      <c r="D361" s="470" t="s">
        <v>223</v>
      </c>
      <c r="F361" s="370">
        <v>7.1</v>
      </c>
      <c r="G361" s="368" t="s">
        <v>151</v>
      </c>
      <c r="H361" s="356" t="s">
        <v>153</v>
      </c>
      <c r="I361" s="370">
        <f>(C12)</f>
        <v>781.19999999999993</v>
      </c>
      <c r="J361" s="356" t="s">
        <v>151</v>
      </c>
      <c r="K361" s="370">
        <f>(F361*I361)</f>
        <v>5546.5199999999995</v>
      </c>
      <c r="O361" s="356" t="s">
        <v>1117</v>
      </c>
      <c r="S361" s="36">
        <v>7.1</v>
      </c>
      <c r="T361" s="35" t="s">
        <v>151</v>
      </c>
      <c r="U361" s="35" t="s">
        <v>153</v>
      </c>
      <c r="V361" s="35">
        <f>I361</f>
        <v>781.19999999999993</v>
      </c>
      <c r="W361" s="361" t="s">
        <v>151</v>
      </c>
      <c r="X361" s="35">
        <f>V361*S361</f>
        <v>5546.5199999999995</v>
      </c>
      <c r="AD361" s="356"/>
      <c r="AE361" s="358"/>
      <c r="AF361" s="356">
        <v>12</v>
      </c>
      <c r="AH361" s="360"/>
      <c r="AI361" s="369">
        <f>(AI360+C20)</f>
        <v>9793.4195200000086</v>
      </c>
    </row>
    <row r="362" spans="1:35" ht="15.75">
      <c r="A362" s="382">
        <f t="shared" si="35"/>
        <v>195</v>
      </c>
      <c r="B362" s="385" t="s">
        <v>1093</v>
      </c>
      <c r="C362" s="469">
        <v>33.46</v>
      </c>
      <c r="D362" s="470" t="s">
        <v>223</v>
      </c>
      <c r="F362" s="370">
        <v>21.2</v>
      </c>
      <c r="G362" s="368" t="s">
        <v>151</v>
      </c>
      <c r="H362" s="356" t="s">
        <v>154</v>
      </c>
      <c r="I362" s="370">
        <f>(C13)</f>
        <v>640.79999999999995</v>
      </c>
      <c r="J362" s="356" t="s">
        <v>151</v>
      </c>
      <c r="K362" s="370">
        <f>(F362*I362)</f>
        <v>13584.96</v>
      </c>
      <c r="O362" s="356" t="s">
        <v>1118</v>
      </c>
      <c r="S362" s="36">
        <v>21.2</v>
      </c>
      <c r="T362" s="35" t="s">
        <v>151</v>
      </c>
      <c r="U362" s="35" t="s">
        <v>154</v>
      </c>
      <c r="V362" s="35">
        <f>I362</f>
        <v>640.79999999999995</v>
      </c>
      <c r="W362" s="361" t="s">
        <v>151</v>
      </c>
      <c r="X362" s="35">
        <f>V362*S362</f>
        <v>13584.96</v>
      </c>
      <c r="AD362" s="356"/>
      <c r="AE362" s="358"/>
      <c r="AF362" s="356">
        <v>13</v>
      </c>
      <c r="AH362" s="360"/>
      <c r="AI362" s="369">
        <f>(AI361+C20)</f>
        <v>9984.4595200000094</v>
      </c>
    </row>
    <row r="363" spans="1:35" ht="15.75">
      <c r="A363" s="382">
        <f t="shared" si="35"/>
        <v>196</v>
      </c>
      <c r="B363" s="385" t="s">
        <v>1094</v>
      </c>
      <c r="C363" s="469">
        <v>53.62</v>
      </c>
      <c r="D363" s="470" t="s">
        <v>114</v>
      </c>
      <c r="G363" s="368" t="s">
        <v>128</v>
      </c>
      <c r="H363" s="356" t="s">
        <v>129</v>
      </c>
      <c r="J363" s="356" t="s">
        <v>128</v>
      </c>
      <c r="K363" s="370">
        <v>0</v>
      </c>
      <c r="O363" s="363" t="s">
        <v>117</v>
      </c>
      <c r="T363" s="35" t="s">
        <v>128</v>
      </c>
      <c r="U363" s="35" t="s">
        <v>129</v>
      </c>
      <c r="W363" s="361" t="s">
        <v>128</v>
      </c>
      <c r="X363" s="35">
        <v>0</v>
      </c>
      <c r="AD363" s="393">
        <v>27</v>
      </c>
      <c r="AE363" s="368" t="s">
        <v>122</v>
      </c>
      <c r="AF363" s="356" t="s">
        <v>1119</v>
      </c>
      <c r="AH363" s="360"/>
    </row>
    <row r="364" spans="1:35" ht="15.75">
      <c r="A364" s="382">
        <f t="shared" si="35"/>
        <v>197</v>
      </c>
      <c r="B364" s="385" t="s">
        <v>1120</v>
      </c>
      <c r="C364" s="473"/>
      <c r="D364" s="474"/>
      <c r="K364" s="363" t="s">
        <v>117</v>
      </c>
      <c r="M364" s="370">
        <v>0.22</v>
      </c>
      <c r="N364" s="356" t="s">
        <v>108</v>
      </c>
      <c r="O364" s="356" t="s">
        <v>133</v>
      </c>
      <c r="P364" s="370">
        <f>(K40)</f>
        <v>4212.3004000000001</v>
      </c>
      <c r="Q364" s="356" t="s">
        <v>108</v>
      </c>
      <c r="R364" s="370">
        <f t="shared" ref="R364:R369" si="36">(M364*P364)</f>
        <v>926.70608800000002</v>
      </c>
      <c r="W364" s="361"/>
      <c r="X364" s="363" t="s">
        <v>117</v>
      </c>
      <c r="Y364" s="363"/>
      <c r="AE364" s="358"/>
      <c r="AF364" s="356" t="str">
        <f>AF335</f>
        <v>Bricks of size 23x11.4x7.5 cm</v>
      </c>
      <c r="AH364" s="360"/>
    </row>
    <row r="365" spans="1:35" ht="15.75">
      <c r="A365" s="382">
        <f t="shared" si="35"/>
        <v>198</v>
      </c>
      <c r="B365" s="385" t="s">
        <v>1090</v>
      </c>
      <c r="C365" s="469">
        <v>26.16</v>
      </c>
      <c r="D365" s="470" t="s">
        <v>223</v>
      </c>
      <c r="H365" s="356" t="s">
        <v>143</v>
      </c>
      <c r="K365" s="370">
        <f>SUM(K357:K363)</f>
        <v>75266.863000000012</v>
      </c>
      <c r="M365" s="370">
        <v>2.2000000000000002</v>
      </c>
      <c r="N365" s="356" t="s">
        <v>151</v>
      </c>
      <c r="O365" s="356" t="s">
        <v>162</v>
      </c>
      <c r="P365" s="370">
        <f>(C10)</f>
        <v>1198.8</v>
      </c>
      <c r="Q365" s="356" t="s">
        <v>151</v>
      </c>
      <c r="R365" s="370">
        <f t="shared" si="36"/>
        <v>2637.36</v>
      </c>
      <c r="U365" s="35" t="s">
        <v>143</v>
      </c>
      <c r="W365" s="361"/>
      <c r="X365" s="35">
        <f>SUM(X357:X363)</f>
        <v>79488.340999999986</v>
      </c>
      <c r="AE365" s="358"/>
      <c r="AF365" s="363" t="s">
        <v>117</v>
      </c>
      <c r="AH365" s="360"/>
    </row>
    <row r="366" spans="1:35" ht="15.75">
      <c r="A366" s="382">
        <f t="shared" si="35"/>
        <v>199</v>
      </c>
      <c r="B366" s="385" t="s">
        <v>1091</v>
      </c>
      <c r="C366" s="469">
        <v>34.32</v>
      </c>
      <c r="D366" s="470" t="s">
        <v>223</v>
      </c>
      <c r="K366" s="363" t="s">
        <v>117</v>
      </c>
      <c r="M366" s="370">
        <v>0.5</v>
      </c>
      <c r="N366" s="356" t="s">
        <v>151</v>
      </c>
      <c r="O366" s="356" t="s">
        <v>153</v>
      </c>
      <c r="P366" s="370">
        <f>(C12)</f>
        <v>781.19999999999993</v>
      </c>
      <c r="Q366" s="356" t="s">
        <v>151</v>
      </c>
      <c r="R366" s="370">
        <f t="shared" si="36"/>
        <v>390.59999999999997</v>
      </c>
      <c r="W366" s="361"/>
      <c r="X366" s="363" t="s">
        <v>117</v>
      </c>
      <c r="Y366" s="363"/>
      <c r="AD366" s="370">
        <v>4240</v>
      </c>
      <c r="AE366" s="368" t="s">
        <v>160</v>
      </c>
      <c r="AF366" s="370" t="str">
        <f>AF311</f>
        <v>Bricks of size 23x11.4x7.5 cm</v>
      </c>
      <c r="AG366" s="370">
        <f>AE42</f>
        <v>7542.45</v>
      </c>
      <c r="AH366" s="356" t="s">
        <v>161</v>
      </c>
      <c r="AI366" s="370">
        <f>(AD366*AG366)/1000</f>
        <v>31979.988000000001</v>
      </c>
    </row>
    <row r="367" spans="1:35" ht="15.75">
      <c r="A367" s="382">
        <f t="shared" si="35"/>
        <v>200</v>
      </c>
      <c r="B367" s="385" t="s">
        <v>1093</v>
      </c>
      <c r="C367" s="469">
        <v>40.33</v>
      </c>
      <c r="D367" s="470" t="s">
        <v>223</v>
      </c>
      <c r="H367" s="356" t="s">
        <v>155</v>
      </c>
      <c r="K367" s="370">
        <f>(K365/10)</f>
        <v>7526.6863000000012</v>
      </c>
      <c r="M367" s="370">
        <v>1.1000000000000001</v>
      </c>
      <c r="N367" s="356" t="s">
        <v>1121</v>
      </c>
      <c r="O367" s="356" t="s">
        <v>1122</v>
      </c>
      <c r="P367" s="370">
        <f>(C10)</f>
        <v>1198.8</v>
      </c>
      <c r="Q367" s="356" t="s">
        <v>151</v>
      </c>
      <c r="R367" s="370">
        <f t="shared" si="36"/>
        <v>1318.68</v>
      </c>
      <c r="U367" s="35" t="s">
        <v>155</v>
      </c>
      <c r="W367" s="361"/>
      <c r="X367" s="35">
        <f>X365/10</f>
        <v>7948.8340999999982</v>
      </c>
      <c r="AD367" s="370">
        <v>2</v>
      </c>
      <c r="AE367" s="368" t="s">
        <v>108</v>
      </c>
      <c r="AF367" s="356" t="s">
        <v>133</v>
      </c>
      <c r="AG367" s="370">
        <f>V358</f>
        <v>4212.3004000000001</v>
      </c>
      <c r="AH367" s="356" t="s">
        <v>108</v>
      </c>
      <c r="AI367" s="370">
        <f>(AD367*AG367)</f>
        <v>8424.6008000000002</v>
      </c>
    </row>
    <row r="368" spans="1:35" ht="15.75">
      <c r="A368" s="382">
        <f t="shared" si="35"/>
        <v>201</v>
      </c>
      <c r="B368" s="385" t="s">
        <v>1123</v>
      </c>
      <c r="C368" s="473"/>
      <c r="D368" s="470" t="s">
        <v>114</v>
      </c>
      <c r="K368" s="363" t="s">
        <v>156</v>
      </c>
      <c r="M368" s="370">
        <v>3.2</v>
      </c>
      <c r="N368" s="356" t="s">
        <v>151</v>
      </c>
      <c r="O368" s="356" t="s">
        <v>154</v>
      </c>
      <c r="P368" s="370">
        <f>(C13)</f>
        <v>640.79999999999995</v>
      </c>
      <c r="Q368" s="356" t="s">
        <v>151</v>
      </c>
      <c r="R368" s="370">
        <f t="shared" si="36"/>
        <v>2050.56</v>
      </c>
      <c r="W368" s="361"/>
      <c r="X368" s="415" t="s">
        <v>1110</v>
      </c>
      <c r="Y368" s="415"/>
      <c r="AD368" s="370">
        <v>3.5</v>
      </c>
      <c r="AE368" s="368" t="s">
        <v>151</v>
      </c>
      <c r="AF368" s="356" t="s">
        <v>162</v>
      </c>
      <c r="AG368" s="370">
        <f>V359</f>
        <v>1198.8</v>
      </c>
      <c r="AH368" s="356" t="s">
        <v>151</v>
      </c>
      <c r="AI368" s="370">
        <f>(AD368*AG368)</f>
        <v>4195.8</v>
      </c>
    </row>
    <row r="369" spans="1:36" ht="15.75">
      <c r="A369" s="382">
        <f t="shared" si="35"/>
        <v>202</v>
      </c>
      <c r="B369" s="385" t="s">
        <v>1090</v>
      </c>
      <c r="C369" s="469">
        <v>20.329999999999998</v>
      </c>
      <c r="D369" s="470" t="s">
        <v>223</v>
      </c>
      <c r="H369" s="356" t="s">
        <v>172</v>
      </c>
      <c r="J369" s="360">
        <f>K369-K367</f>
        <v>94.680000000000291</v>
      </c>
      <c r="K369" s="370">
        <f>(K367+C19)</f>
        <v>7621.3663000000015</v>
      </c>
      <c r="M369" s="370">
        <v>9.8000000000000007</v>
      </c>
      <c r="N369" s="356" t="s">
        <v>213</v>
      </c>
      <c r="O369" s="356" t="s">
        <v>1124</v>
      </c>
      <c r="P369" s="370">
        <f>(C150)</f>
        <v>145.19999999999999</v>
      </c>
      <c r="Q369" s="356" t="s">
        <v>213</v>
      </c>
      <c r="R369" s="370">
        <f t="shared" si="36"/>
        <v>1422.96</v>
      </c>
      <c r="U369" s="35" t="s">
        <v>172</v>
      </c>
      <c r="W369" s="361"/>
      <c r="X369" s="35">
        <f>X367+C19</f>
        <v>8043.5140999999985</v>
      </c>
      <c r="Z369" s="35">
        <f>X367+X369+X370+X371+X372+X373</f>
        <v>50076.804600000003</v>
      </c>
      <c r="AA369" s="35">
        <f>Z369/6</f>
        <v>8346.1341000000011</v>
      </c>
      <c r="AD369" s="370">
        <v>10.6</v>
      </c>
      <c r="AE369" s="368" t="s">
        <v>151</v>
      </c>
      <c r="AF369" s="356" t="s">
        <v>152</v>
      </c>
      <c r="AG369" s="370">
        <f>V360</f>
        <v>1118.3999999999999</v>
      </c>
      <c r="AH369" s="356" t="s">
        <v>151</v>
      </c>
      <c r="AI369" s="370">
        <f>(AD369*AG369)</f>
        <v>11855.039999999999</v>
      </c>
    </row>
    <row r="370" spans="1:36" ht="15.75">
      <c r="A370" s="382">
        <f t="shared" si="35"/>
        <v>203</v>
      </c>
      <c r="B370" s="385" t="s">
        <v>1091</v>
      </c>
      <c r="C370" s="469">
        <v>26.6</v>
      </c>
      <c r="D370" s="470" t="s">
        <v>223</v>
      </c>
      <c r="H370" s="356" t="s">
        <v>873</v>
      </c>
      <c r="J370" s="360">
        <f>K370-K369</f>
        <v>191.03999999999996</v>
      </c>
      <c r="K370" s="370">
        <f>(K369+C20)</f>
        <v>7812.4063000000015</v>
      </c>
      <c r="L370" s="35">
        <f>(K369+K370)/2</f>
        <v>7716.8863000000019</v>
      </c>
      <c r="N370" s="356" t="s">
        <v>128</v>
      </c>
      <c r="O370" s="356" t="s">
        <v>129</v>
      </c>
      <c r="P370" s="356" t="s">
        <v>114</v>
      </c>
      <c r="Q370" s="356" t="s">
        <v>128</v>
      </c>
      <c r="R370" s="370">
        <v>0</v>
      </c>
      <c r="U370" s="35" t="s">
        <v>873</v>
      </c>
      <c r="W370" s="361"/>
      <c r="X370" s="35">
        <f>X369+C20</f>
        <v>8234.5540999999994</v>
      </c>
      <c r="Z370" s="35">
        <f>SUM(X369:X370)/2</f>
        <v>8139.0340999999989</v>
      </c>
      <c r="AD370" s="370">
        <v>7.1</v>
      </c>
      <c r="AE370" s="368" t="s">
        <v>151</v>
      </c>
      <c r="AF370" s="356" t="s">
        <v>153</v>
      </c>
      <c r="AG370" s="370">
        <f>V361</f>
        <v>781.19999999999993</v>
      </c>
      <c r="AH370" s="356" t="s">
        <v>151</v>
      </c>
      <c r="AI370" s="370">
        <f>(AD370*AG370)</f>
        <v>5546.5199999999995</v>
      </c>
      <c r="AJ370" s="35">
        <f>(AI379+AI378)/2</f>
        <v>7748.8908800000008</v>
      </c>
    </row>
    <row r="371" spans="1:36" ht="15.75">
      <c r="A371" s="382">
        <f t="shared" si="35"/>
        <v>204</v>
      </c>
      <c r="B371" s="385" t="s">
        <v>1093</v>
      </c>
      <c r="C371" s="469">
        <v>33.89</v>
      </c>
      <c r="D371" s="470" t="s">
        <v>223</v>
      </c>
      <c r="H371" s="356" t="s">
        <v>876</v>
      </c>
      <c r="J371" s="360">
        <f>K371-K370</f>
        <v>191.03999999999996</v>
      </c>
      <c r="K371" s="370">
        <f>(K370+C21)</f>
        <v>8003.4463000000014</v>
      </c>
      <c r="L371" s="35">
        <f>SUM(K369:K371)/3</f>
        <v>7812.4063000000024</v>
      </c>
      <c r="R371" s="363" t="s">
        <v>117</v>
      </c>
      <c r="U371" s="35" t="s">
        <v>876</v>
      </c>
      <c r="W371" s="361"/>
      <c r="X371" s="35">
        <f>X370+C20</f>
        <v>8425.5941000000003</v>
      </c>
      <c r="Z371" s="35">
        <f>SUM(X369:X371)/3</f>
        <v>8234.5540999999994</v>
      </c>
      <c r="AD371" s="370">
        <v>21.2</v>
      </c>
      <c r="AE371" s="368" t="s">
        <v>151</v>
      </c>
      <c r="AF371" s="356" t="s">
        <v>154</v>
      </c>
      <c r="AG371" s="370">
        <f>V362</f>
        <v>640.79999999999995</v>
      </c>
      <c r="AH371" s="356" t="s">
        <v>151</v>
      </c>
      <c r="AI371" s="370">
        <f>(AD371*AG371)</f>
        <v>13584.96</v>
      </c>
      <c r="AJ371" s="35">
        <f>SUM(AI378:AI380)/3</f>
        <v>7844.4108800000004</v>
      </c>
    </row>
    <row r="372" spans="1:36" ht="15.75">
      <c r="A372" s="382">
        <f t="shared" si="35"/>
        <v>205</v>
      </c>
      <c r="B372" s="385" t="s">
        <v>1125</v>
      </c>
      <c r="C372" s="473"/>
      <c r="D372" s="474"/>
      <c r="H372" s="356" t="s">
        <v>878</v>
      </c>
      <c r="J372" s="360">
        <f>K372-K371</f>
        <v>191.04000000000087</v>
      </c>
      <c r="K372" s="370">
        <f>K371+C21</f>
        <v>8194.4863000000023</v>
      </c>
      <c r="O372" s="356" t="s">
        <v>176</v>
      </c>
      <c r="R372" s="370">
        <f>SUM(R364:R370)</f>
        <v>8746.8660879999989</v>
      </c>
      <c r="U372" s="35" t="s">
        <v>878</v>
      </c>
      <c r="W372" s="361"/>
      <c r="X372" s="35">
        <f>X371+C20</f>
        <v>8616.6341000000011</v>
      </c>
      <c r="AE372" s="368" t="s">
        <v>128</v>
      </c>
      <c r="AF372" s="356" t="s">
        <v>129</v>
      </c>
      <c r="AH372" s="356" t="s">
        <v>128</v>
      </c>
      <c r="AI372" s="370">
        <v>0</v>
      </c>
    </row>
    <row r="373" spans="1:36" ht="15.75">
      <c r="A373" s="382">
        <f t="shared" si="35"/>
        <v>206</v>
      </c>
      <c r="B373" s="385" t="s">
        <v>1090</v>
      </c>
      <c r="C373" s="469">
        <v>13.29</v>
      </c>
      <c r="D373" s="470" t="s">
        <v>223</v>
      </c>
      <c r="H373" s="356" t="s">
        <v>881</v>
      </c>
      <c r="J373" s="360">
        <f>K373-K372</f>
        <v>191.04000000000087</v>
      </c>
      <c r="K373" s="370">
        <f>K372+C21</f>
        <v>8385.5263000000032</v>
      </c>
      <c r="R373" s="363" t="s">
        <v>117</v>
      </c>
      <c r="U373" s="35" t="s">
        <v>881</v>
      </c>
      <c r="W373" s="361"/>
      <c r="X373" s="35">
        <f>X372+C20</f>
        <v>8807.674100000002</v>
      </c>
      <c r="AE373" s="358"/>
      <c r="AH373" s="360"/>
      <c r="AI373" s="363" t="s">
        <v>117</v>
      </c>
    </row>
    <row r="374" spans="1:36" ht="15.75">
      <c r="A374" s="382">
        <f t="shared" si="35"/>
        <v>207</v>
      </c>
      <c r="B374" s="385" t="s">
        <v>1091</v>
      </c>
      <c r="C374" s="469">
        <v>18.02</v>
      </c>
      <c r="D374" s="470" t="s">
        <v>223</v>
      </c>
      <c r="H374" s="356" t="s">
        <v>912</v>
      </c>
      <c r="J374" s="360">
        <f>SUM(K369+K370+K371)/3</f>
        <v>7812.4063000000024</v>
      </c>
      <c r="K374" s="370">
        <f>(K369+K370+K371+K372)/4</f>
        <v>7907.9263000000028</v>
      </c>
      <c r="O374" s="356" t="s">
        <v>177</v>
      </c>
      <c r="R374" s="370">
        <f>(R372/10)</f>
        <v>874.68660879999993</v>
      </c>
      <c r="U374" s="35" t="s">
        <v>912</v>
      </c>
      <c r="W374" s="361">
        <v>2171.31</v>
      </c>
      <c r="X374" s="35">
        <f>SUM(X369:X372)/4</f>
        <v>8330.0740999999998</v>
      </c>
      <c r="AE374" s="358"/>
      <c r="AF374" s="356" t="s">
        <v>143</v>
      </c>
      <c r="AH374" s="360"/>
      <c r="AI374" s="370">
        <f>SUM(AI366:AI372)</f>
        <v>75586.908800000005</v>
      </c>
    </row>
    <row r="375" spans="1:36" ht="15.75">
      <c r="A375" s="382">
        <f t="shared" si="35"/>
        <v>208</v>
      </c>
      <c r="B375" s="385" t="s">
        <v>1093</v>
      </c>
      <c r="C375" s="469">
        <v>23.17</v>
      </c>
      <c r="D375" s="470" t="s">
        <v>223</v>
      </c>
      <c r="R375" s="363" t="s">
        <v>156</v>
      </c>
      <c r="W375" s="361"/>
      <c r="AE375" s="358"/>
      <c r="AH375" s="360"/>
      <c r="AI375" s="363" t="s">
        <v>117</v>
      </c>
    </row>
    <row r="376" spans="1:36" ht="15.75">
      <c r="A376" s="382">
        <f t="shared" si="35"/>
        <v>209</v>
      </c>
      <c r="B376" s="385" t="s">
        <v>1126</v>
      </c>
      <c r="C376" s="473"/>
      <c r="D376" s="470" t="s">
        <v>114</v>
      </c>
      <c r="H376" s="357" t="s">
        <v>914</v>
      </c>
      <c r="N376" s="356" t="s">
        <v>122</v>
      </c>
      <c r="O376" s="356" t="s">
        <v>1127</v>
      </c>
      <c r="U376" s="35" t="s">
        <v>914</v>
      </c>
      <c r="W376" s="361"/>
      <c r="AE376" s="358"/>
      <c r="AF376" s="356" t="s">
        <v>155</v>
      </c>
      <c r="AH376" s="360"/>
      <c r="AI376" s="370">
        <f>(AI374/10)</f>
        <v>7558.6908800000001</v>
      </c>
    </row>
    <row r="377" spans="1:36" ht="15.75">
      <c r="A377" s="382">
        <f t="shared" si="35"/>
        <v>210</v>
      </c>
      <c r="B377" s="385" t="s">
        <v>1090</v>
      </c>
      <c r="C377" s="469">
        <v>9</v>
      </c>
      <c r="D377" s="470" t="s">
        <v>223</v>
      </c>
      <c r="H377" s="363" t="s">
        <v>117</v>
      </c>
      <c r="O377" s="363" t="s">
        <v>117</v>
      </c>
      <c r="U377" s="35" t="s">
        <v>117</v>
      </c>
      <c r="W377" s="361"/>
      <c r="AE377" s="358"/>
      <c r="AH377" s="360"/>
      <c r="AI377" s="363" t="s">
        <v>156</v>
      </c>
    </row>
    <row r="378" spans="1:36" ht="15.75">
      <c r="A378" s="382">
        <f t="shared" si="35"/>
        <v>211</v>
      </c>
      <c r="B378" s="385" t="s">
        <v>1091</v>
      </c>
      <c r="C378" s="469">
        <v>11.58</v>
      </c>
      <c r="D378" s="470" t="s">
        <v>223</v>
      </c>
      <c r="F378" s="393">
        <v>10</v>
      </c>
      <c r="G378" s="368" t="s">
        <v>122</v>
      </c>
      <c r="H378" s="356" t="s">
        <v>1128</v>
      </c>
      <c r="M378" s="370">
        <v>0.05</v>
      </c>
      <c r="N378" s="356" t="s">
        <v>108</v>
      </c>
      <c r="O378" s="356" t="s">
        <v>888</v>
      </c>
      <c r="P378" s="370">
        <f>(C84)</f>
        <v>1464.84</v>
      </c>
      <c r="Q378" s="356" t="s">
        <v>108</v>
      </c>
      <c r="R378" s="370">
        <f>(M378*P378)</f>
        <v>73.242000000000004</v>
      </c>
      <c r="S378" s="36">
        <v>10</v>
      </c>
      <c r="T378" s="35" t="s">
        <v>122</v>
      </c>
      <c r="U378" s="35" t="s">
        <v>1129</v>
      </c>
      <c r="W378" s="361"/>
      <c r="AE378" s="358"/>
      <c r="AF378" s="356" t="s">
        <v>172</v>
      </c>
      <c r="AH378" s="360"/>
      <c r="AI378" s="370">
        <f>(AI376+C19)</f>
        <v>7653.3708800000004</v>
      </c>
    </row>
    <row r="379" spans="1:36" ht="15.75">
      <c r="A379" s="382">
        <f t="shared" si="35"/>
        <v>212</v>
      </c>
      <c r="B379" s="385" t="s">
        <v>1093</v>
      </c>
      <c r="C379" s="469">
        <v>14.15</v>
      </c>
      <c r="D379" s="470" t="s">
        <v>223</v>
      </c>
      <c r="H379" s="370" t="str">
        <f>H311</f>
        <v>Bricks of size 22x11x7 cm</v>
      </c>
      <c r="M379" s="370">
        <v>1.1000000000000001</v>
      </c>
      <c r="N379" s="356" t="s">
        <v>151</v>
      </c>
      <c r="O379" s="356" t="s">
        <v>152</v>
      </c>
      <c r="P379" s="370">
        <f>(C11)</f>
        <v>1118.3999999999999</v>
      </c>
      <c r="Q379" s="356" t="s">
        <v>151</v>
      </c>
      <c r="R379" s="370">
        <f>(M379*P379)</f>
        <v>1230.24</v>
      </c>
      <c r="U379" s="35" t="s">
        <v>1088</v>
      </c>
      <c r="W379" s="361"/>
      <c r="AE379" s="358"/>
      <c r="AF379" s="356" t="s">
        <v>873</v>
      </c>
      <c r="AH379" s="360"/>
      <c r="AI379" s="370">
        <f>(AI378+C20)</f>
        <v>7844.4108800000004</v>
      </c>
    </row>
    <row r="380" spans="1:36" ht="15.75">
      <c r="A380" s="382">
        <f t="shared" si="35"/>
        <v>213</v>
      </c>
      <c r="B380" s="385" t="s">
        <v>1130</v>
      </c>
      <c r="C380" s="473"/>
      <c r="D380" s="474"/>
      <c r="H380" s="363" t="s">
        <v>117</v>
      </c>
      <c r="M380" s="370">
        <v>0.3</v>
      </c>
      <c r="N380" s="356" t="s">
        <v>151</v>
      </c>
      <c r="O380" s="356" t="s">
        <v>153</v>
      </c>
      <c r="P380" s="370">
        <f>(C12)</f>
        <v>781.19999999999993</v>
      </c>
      <c r="Q380" s="356" t="s">
        <v>151</v>
      </c>
      <c r="R380" s="370">
        <f>(M380*P380)</f>
        <v>234.35999999999996</v>
      </c>
      <c r="U380" s="35" t="s">
        <v>117</v>
      </c>
      <c r="W380" s="361"/>
      <c r="AE380" s="358"/>
      <c r="AF380" s="356" t="s">
        <v>876</v>
      </c>
      <c r="AH380" s="360"/>
      <c r="AI380" s="370">
        <f>(AI379+C20)</f>
        <v>8035.4508800000003</v>
      </c>
    </row>
    <row r="381" spans="1:36" ht="15.75">
      <c r="A381" s="382">
        <f t="shared" si="35"/>
        <v>214</v>
      </c>
      <c r="B381" s="385" t="s">
        <v>1090</v>
      </c>
      <c r="C381" s="469">
        <v>4.29</v>
      </c>
      <c r="D381" s="470" t="s">
        <v>223</v>
      </c>
      <c r="F381" s="370">
        <f>F313</f>
        <v>4800</v>
      </c>
      <c r="G381" s="368" t="s">
        <v>160</v>
      </c>
      <c r="H381" s="370" t="str">
        <f>H311</f>
        <v>Bricks of size 22x11x7 cm</v>
      </c>
      <c r="I381" s="370">
        <f>(C80)</f>
        <v>6157.04</v>
      </c>
      <c r="J381" s="356" t="s">
        <v>161</v>
      </c>
      <c r="K381" s="370">
        <f>(F381*I381)/1000</f>
        <v>29553.792000000001</v>
      </c>
      <c r="M381" s="370">
        <v>1.9</v>
      </c>
      <c r="N381" s="356" t="s">
        <v>151</v>
      </c>
      <c r="O381" s="356" t="s">
        <v>154</v>
      </c>
      <c r="P381" s="370">
        <f>(C13)</f>
        <v>640.79999999999995</v>
      </c>
      <c r="Q381" s="356" t="s">
        <v>151</v>
      </c>
      <c r="R381" s="370">
        <f>(M381*P381)</f>
        <v>1217.5199999999998</v>
      </c>
      <c r="S381" s="36">
        <v>4600</v>
      </c>
      <c r="T381" s="35" t="s">
        <v>160</v>
      </c>
      <c r="U381" s="35" t="s">
        <v>1088</v>
      </c>
      <c r="V381" s="35">
        <f>AE41</f>
        <v>7342.45</v>
      </c>
      <c r="W381" s="361" t="s">
        <v>161</v>
      </c>
      <c r="X381" s="35">
        <f>S381*V381/1000</f>
        <v>33775.269999999997</v>
      </c>
      <c r="AE381" s="358"/>
      <c r="AF381" s="356" t="s">
        <v>878</v>
      </c>
      <c r="AH381" s="360"/>
      <c r="AI381" s="370">
        <f>AI380+C20</f>
        <v>8226.4908800000012</v>
      </c>
    </row>
    <row r="382" spans="1:36" ht="15.75">
      <c r="A382" s="382">
        <f t="shared" si="35"/>
        <v>215</v>
      </c>
      <c r="B382" s="385" t="s">
        <v>1091</v>
      </c>
      <c r="C382" s="469">
        <v>6.01</v>
      </c>
      <c r="D382" s="470" t="s">
        <v>223</v>
      </c>
      <c r="F382" s="370">
        <v>1.59</v>
      </c>
      <c r="G382" s="368" t="s">
        <v>108</v>
      </c>
      <c r="H382" s="356" t="s">
        <v>133</v>
      </c>
      <c r="I382" s="370">
        <f>(K40)</f>
        <v>4212.3004000000001</v>
      </c>
      <c r="J382" s="356" t="s">
        <v>108</v>
      </c>
      <c r="K382" s="370">
        <f>(F382*I382)</f>
        <v>6697.5576360000005</v>
      </c>
      <c r="N382" s="356" t="s">
        <v>128</v>
      </c>
      <c r="O382" s="356" t="s">
        <v>1131</v>
      </c>
      <c r="P382" s="356" t="s">
        <v>114</v>
      </c>
      <c r="Q382" s="356" t="s">
        <v>128</v>
      </c>
      <c r="R382" s="370">
        <v>1.46</v>
      </c>
      <c r="S382" s="36">
        <v>1.59</v>
      </c>
      <c r="T382" s="35" t="s">
        <v>108</v>
      </c>
      <c r="U382" s="35" t="s">
        <v>133</v>
      </c>
      <c r="V382" s="35">
        <f>I382</f>
        <v>4212.3004000000001</v>
      </c>
      <c r="W382" s="361" t="s">
        <v>108</v>
      </c>
      <c r="X382" s="35">
        <f>V382*S382</f>
        <v>6697.5576360000005</v>
      </c>
      <c r="AE382" s="358"/>
      <c r="AF382" s="356" t="s">
        <v>881</v>
      </c>
      <c r="AH382" s="360"/>
      <c r="AI382" s="370">
        <f>AI381+C20</f>
        <v>8417.5308800000021</v>
      </c>
    </row>
    <row r="383" spans="1:36" ht="15.75">
      <c r="A383" s="382">
        <f t="shared" si="35"/>
        <v>216</v>
      </c>
      <c r="B383" s="385" t="s">
        <v>1093</v>
      </c>
      <c r="C383" s="469">
        <v>6.86</v>
      </c>
      <c r="D383" s="470" t="s">
        <v>223</v>
      </c>
      <c r="F383" s="370">
        <v>7</v>
      </c>
      <c r="G383" s="368" t="s">
        <v>151</v>
      </c>
      <c r="H383" s="356" t="s">
        <v>162</v>
      </c>
      <c r="I383" s="370">
        <f>(C10)</f>
        <v>1198.8</v>
      </c>
      <c r="J383" s="356" t="s">
        <v>151</v>
      </c>
      <c r="K383" s="370">
        <f>(F383*I383)</f>
        <v>8391.6</v>
      </c>
      <c r="R383" s="363" t="s">
        <v>117</v>
      </c>
      <c r="S383" s="36">
        <v>7</v>
      </c>
      <c r="T383" s="35" t="s">
        <v>151</v>
      </c>
      <c r="U383" s="35" t="s">
        <v>162</v>
      </c>
      <c r="V383" s="35">
        <f>I383</f>
        <v>1198.8</v>
      </c>
      <c r="W383" s="361" t="s">
        <v>151</v>
      </c>
      <c r="X383" s="35">
        <f>V383*S383</f>
        <v>8391.6</v>
      </c>
      <c r="AE383" s="358"/>
      <c r="AF383" s="356" t="s">
        <v>912</v>
      </c>
      <c r="AH383" s="360"/>
      <c r="AI383" s="370">
        <f>(AI378+AI379+AI380+AI381)/4</f>
        <v>7939.9308800000008</v>
      </c>
    </row>
    <row r="384" spans="1:36" ht="15.75">
      <c r="A384" s="382">
        <f t="shared" si="35"/>
        <v>217</v>
      </c>
      <c r="B384" s="385" t="s">
        <v>1132</v>
      </c>
      <c r="C384" s="473"/>
      <c r="D384" s="470" t="s">
        <v>114</v>
      </c>
      <c r="F384" s="370">
        <v>7.1</v>
      </c>
      <c r="G384" s="368" t="s">
        <v>151</v>
      </c>
      <c r="H384" s="356" t="s">
        <v>152</v>
      </c>
      <c r="I384" s="370">
        <f>(C11)</f>
        <v>1118.3999999999999</v>
      </c>
      <c r="J384" s="356" t="s">
        <v>151</v>
      </c>
      <c r="K384" s="370">
        <f>(F384*I384)</f>
        <v>7940.6399999999985</v>
      </c>
      <c r="O384" s="356" t="s">
        <v>1133</v>
      </c>
      <c r="R384" s="370">
        <f>SUM(R377:R382)</f>
        <v>2756.8219999999997</v>
      </c>
      <c r="S384" s="36">
        <v>7.1</v>
      </c>
      <c r="T384" s="35" t="s">
        <v>151</v>
      </c>
      <c r="U384" s="35" t="s">
        <v>152</v>
      </c>
      <c r="V384" s="35">
        <f>I384</f>
        <v>1118.3999999999999</v>
      </c>
      <c r="W384" s="361" t="s">
        <v>151</v>
      </c>
      <c r="X384" s="35">
        <f>V384*S384</f>
        <v>7940.6399999999985</v>
      </c>
      <c r="AE384" s="358"/>
      <c r="AH384" s="360"/>
    </row>
    <row r="385" spans="1:47" ht="15.75">
      <c r="A385" s="382">
        <f t="shared" si="35"/>
        <v>218</v>
      </c>
      <c r="B385" s="385" t="s">
        <v>1090</v>
      </c>
      <c r="C385" s="469">
        <v>14.91</v>
      </c>
      <c r="D385" s="470" t="s">
        <v>223</v>
      </c>
      <c r="F385" s="370">
        <v>7.1</v>
      </c>
      <c r="G385" s="368" t="s">
        <v>151</v>
      </c>
      <c r="H385" s="356" t="s">
        <v>153</v>
      </c>
      <c r="I385" s="370">
        <f>(C12)</f>
        <v>781.19999999999993</v>
      </c>
      <c r="J385" s="356" t="s">
        <v>151</v>
      </c>
      <c r="K385" s="370">
        <f>(F385*I385)</f>
        <v>5546.5199999999995</v>
      </c>
      <c r="R385" s="363" t="s">
        <v>117</v>
      </c>
      <c r="S385" s="36">
        <v>7.1</v>
      </c>
      <c r="T385" s="35" t="s">
        <v>151</v>
      </c>
      <c r="U385" s="35" t="s">
        <v>153</v>
      </c>
      <c r="V385" s="35">
        <f>I385</f>
        <v>781.19999999999993</v>
      </c>
      <c r="W385" s="361" t="s">
        <v>151</v>
      </c>
      <c r="X385" s="35">
        <f>V385*S385</f>
        <v>5546.5199999999995</v>
      </c>
      <c r="AE385" s="358"/>
      <c r="AF385" s="357" t="s">
        <v>914</v>
      </c>
      <c r="AH385" s="360"/>
    </row>
    <row r="386" spans="1:47" ht="15.75">
      <c r="A386" s="382">
        <f t="shared" si="35"/>
        <v>219</v>
      </c>
      <c r="B386" s="385" t="s">
        <v>1091</v>
      </c>
      <c r="C386" s="469">
        <v>17.579999999999998</v>
      </c>
      <c r="D386" s="470" t="s">
        <v>223</v>
      </c>
      <c r="F386" s="370">
        <v>21.2</v>
      </c>
      <c r="G386" s="368" t="s">
        <v>151</v>
      </c>
      <c r="H386" s="356" t="s">
        <v>154</v>
      </c>
      <c r="I386" s="370">
        <f>(C13)</f>
        <v>640.79999999999995</v>
      </c>
      <c r="J386" s="356" t="s">
        <v>151</v>
      </c>
      <c r="K386" s="370">
        <f>(F386*I386)</f>
        <v>13584.96</v>
      </c>
      <c r="O386" s="356" t="s">
        <v>177</v>
      </c>
      <c r="R386" s="370">
        <f>(R384/100)</f>
        <v>27.568219999999997</v>
      </c>
      <c r="S386" s="36">
        <v>21.2</v>
      </c>
      <c r="T386" s="35" t="s">
        <v>151</v>
      </c>
      <c r="U386" s="35" t="s">
        <v>154</v>
      </c>
      <c r="V386" s="35">
        <f>I386</f>
        <v>640.79999999999995</v>
      </c>
      <c r="W386" s="361" t="s">
        <v>151</v>
      </c>
      <c r="X386" s="35">
        <f>V386*S386</f>
        <v>13584.96</v>
      </c>
      <c r="AE386" s="358"/>
      <c r="AF386" s="363" t="s">
        <v>117</v>
      </c>
      <c r="AH386" s="360"/>
    </row>
    <row r="387" spans="1:47" ht="15.75">
      <c r="A387" s="382">
        <f t="shared" si="35"/>
        <v>220</v>
      </c>
      <c r="B387" s="385" t="s">
        <v>1093</v>
      </c>
      <c r="C387" s="469">
        <v>19.3</v>
      </c>
      <c r="D387" s="470" t="s">
        <v>223</v>
      </c>
      <c r="G387" s="368" t="s">
        <v>128</v>
      </c>
      <c r="H387" s="356" t="s">
        <v>129</v>
      </c>
      <c r="I387" s="356" t="s">
        <v>114</v>
      </c>
      <c r="J387" s="356" t="s">
        <v>128</v>
      </c>
      <c r="K387" s="370">
        <v>5</v>
      </c>
      <c r="R387" s="363" t="s">
        <v>156</v>
      </c>
      <c r="T387" s="35" t="s">
        <v>128</v>
      </c>
      <c r="U387" s="35" t="s">
        <v>129</v>
      </c>
      <c r="V387" s="35" t="s">
        <v>114</v>
      </c>
      <c r="W387" s="361" t="s">
        <v>128</v>
      </c>
      <c r="X387" s="35">
        <v>0</v>
      </c>
      <c r="AD387" s="393">
        <v>10</v>
      </c>
      <c r="AE387" s="368" t="s">
        <v>122</v>
      </c>
      <c r="AF387" s="356" t="s">
        <v>1134</v>
      </c>
      <c r="AH387" s="360"/>
      <c r="AP387" s="393"/>
      <c r="AQ387" s="368" t="s">
        <v>122</v>
      </c>
      <c r="AR387" s="356" t="s">
        <v>1135</v>
      </c>
      <c r="AT387" s="360"/>
    </row>
    <row r="388" spans="1:47" ht="15.75">
      <c r="A388" s="382">
        <f t="shared" si="35"/>
        <v>221</v>
      </c>
      <c r="B388" s="385" t="s">
        <v>1136</v>
      </c>
      <c r="C388" s="473"/>
      <c r="D388" s="474"/>
      <c r="K388" s="363" t="s">
        <v>117</v>
      </c>
      <c r="W388" s="361"/>
      <c r="X388" s="415" t="s">
        <v>1137</v>
      </c>
      <c r="Y388" s="415"/>
      <c r="AE388" s="358"/>
      <c r="AF388" s="370" t="str">
        <f>AF311</f>
        <v>Bricks of size 23x11.4x7.5 cm</v>
      </c>
      <c r="AH388" s="360"/>
      <c r="AQ388" s="358"/>
      <c r="AR388" s="370"/>
      <c r="AT388" s="360"/>
    </row>
    <row r="389" spans="1:47" ht="15.75">
      <c r="A389" s="382">
        <f t="shared" si="35"/>
        <v>222</v>
      </c>
      <c r="B389" s="385" t="s">
        <v>1090</v>
      </c>
      <c r="C389" s="469">
        <v>15.87</v>
      </c>
      <c r="D389" s="470" t="s">
        <v>223</v>
      </c>
      <c r="H389" s="356" t="s">
        <v>143</v>
      </c>
      <c r="K389" s="370">
        <f>SUM(K381:K387)</f>
        <v>71720.069636</v>
      </c>
      <c r="U389" s="35" t="s">
        <v>143</v>
      </c>
      <c r="W389" s="361"/>
      <c r="X389" s="35">
        <f>SUM(X381:X388)</f>
        <v>75936.547635999988</v>
      </c>
      <c r="AE389" s="358"/>
      <c r="AF389" s="363" t="s">
        <v>117</v>
      </c>
      <c r="AH389" s="360"/>
      <c r="AQ389" s="358"/>
      <c r="AR389" s="363" t="s">
        <v>117</v>
      </c>
      <c r="AT389" s="360"/>
    </row>
    <row r="390" spans="1:47" ht="30">
      <c r="A390" s="382">
        <f t="shared" si="35"/>
        <v>223</v>
      </c>
      <c r="B390" s="385" t="s">
        <v>1091</v>
      </c>
      <c r="C390" s="469">
        <v>20.16</v>
      </c>
      <c r="D390" s="470" t="s">
        <v>223</v>
      </c>
      <c r="K390" s="363" t="s">
        <v>117</v>
      </c>
      <c r="N390" s="356" t="s">
        <v>932</v>
      </c>
      <c r="O390" s="356" t="s">
        <v>1138</v>
      </c>
      <c r="W390" s="361"/>
      <c r="X390" s="415" t="s">
        <v>1137</v>
      </c>
      <c r="Y390" s="415"/>
      <c r="AD390" s="370">
        <f>AD313</f>
        <v>4240</v>
      </c>
      <c r="AE390" s="368" t="s">
        <v>160</v>
      </c>
      <c r="AF390" s="370" t="str">
        <f>AF311</f>
        <v>Bricks of size 23x11.4x7.5 cm</v>
      </c>
      <c r="AG390" s="370">
        <f>AE42</f>
        <v>7542.45</v>
      </c>
      <c r="AH390" s="356" t="s">
        <v>161</v>
      </c>
      <c r="AI390" s="370">
        <f>(AD390*AG390)/1000</f>
        <v>31979.988000000001</v>
      </c>
      <c r="AP390" s="370">
        <v>91</v>
      </c>
      <c r="AQ390" s="368" t="s">
        <v>160</v>
      </c>
      <c r="AR390" s="476" t="s">
        <v>1139</v>
      </c>
      <c r="AS390" s="394">
        <v>45.35</v>
      </c>
      <c r="AT390" s="356" t="s">
        <v>194</v>
      </c>
      <c r="AU390" s="370">
        <f>(AP390*AS390)</f>
        <v>4126.8500000000004</v>
      </c>
    </row>
    <row r="391" spans="1:47" ht="15.75">
      <c r="A391" s="382">
        <f t="shared" si="35"/>
        <v>224</v>
      </c>
      <c r="B391" s="385" t="s">
        <v>1093</v>
      </c>
      <c r="C391" s="469">
        <v>22.31</v>
      </c>
      <c r="D391" s="470" t="s">
        <v>223</v>
      </c>
      <c r="H391" s="356" t="s">
        <v>155</v>
      </c>
      <c r="K391" s="370">
        <f>(K389/10)</f>
        <v>7172.0069635999998</v>
      </c>
      <c r="O391" s="363" t="s">
        <v>117</v>
      </c>
      <c r="U391" s="35" t="s">
        <v>155</v>
      </c>
      <c r="W391" s="361"/>
      <c r="X391" s="35">
        <f>X389/10</f>
        <v>7593.6547635999987</v>
      </c>
      <c r="AD391" s="370">
        <v>1.27</v>
      </c>
      <c r="AE391" s="368" t="s">
        <v>108</v>
      </c>
      <c r="AF391" s="356" t="s">
        <v>133</v>
      </c>
      <c r="AG391" s="370">
        <f>V382</f>
        <v>4212.3004000000001</v>
      </c>
      <c r="AH391" s="356" t="s">
        <v>108</v>
      </c>
      <c r="AI391" s="370">
        <f>(AD391*AG391)</f>
        <v>5349.6215080000002</v>
      </c>
      <c r="AP391" s="370">
        <v>0.11</v>
      </c>
      <c r="AQ391" s="368" t="s">
        <v>108</v>
      </c>
      <c r="AR391" s="356" t="s">
        <v>133</v>
      </c>
      <c r="AS391" s="370">
        <f>AG391</f>
        <v>4212.3004000000001</v>
      </c>
      <c r="AT391" s="356" t="s">
        <v>108</v>
      </c>
      <c r="AU391" s="370">
        <f>(AP391*AS391)</f>
        <v>463.35304400000001</v>
      </c>
    </row>
    <row r="392" spans="1:47" ht="15.75">
      <c r="A392" s="382">
        <f t="shared" si="35"/>
        <v>225</v>
      </c>
      <c r="B392" s="385" t="s">
        <v>1140</v>
      </c>
      <c r="C392" s="468"/>
      <c r="D392" s="467" t="s">
        <v>114</v>
      </c>
      <c r="K392" s="363" t="s">
        <v>156</v>
      </c>
      <c r="M392" s="370">
        <v>7.0000000000000007E-2</v>
      </c>
      <c r="N392" s="356" t="s">
        <v>108</v>
      </c>
      <c r="O392" s="356" t="s">
        <v>888</v>
      </c>
      <c r="P392" s="370">
        <f>(C84)</f>
        <v>1464.84</v>
      </c>
      <c r="Q392" s="356" t="s">
        <v>108</v>
      </c>
      <c r="R392" s="370">
        <f>(M392*P392)</f>
        <v>102.53880000000001</v>
      </c>
      <c r="W392" s="361"/>
      <c r="X392" s="415" t="s">
        <v>1141</v>
      </c>
      <c r="Y392" s="415"/>
      <c r="AD392" s="370">
        <v>7</v>
      </c>
      <c r="AE392" s="368" t="s">
        <v>151</v>
      </c>
      <c r="AF392" s="356" t="s">
        <v>162</v>
      </c>
      <c r="AG392" s="370">
        <f>V383</f>
        <v>1198.8</v>
      </c>
      <c r="AH392" s="356" t="s">
        <v>151</v>
      </c>
      <c r="AI392" s="370">
        <f>(AD392*AG392)</f>
        <v>8391.6</v>
      </c>
      <c r="AP392" s="370">
        <v>1.25</v>
      </c>
      <c r="AQ392" s="368" t="s">
        <v>151</v>
      </c>
      <c r="AR392" s="356" t="s">
        <v>162</v>
      </c>
      <c r="AS392" s="370">
        <f>AG392</f>
        <v>1198.8</v>
      </c>
      <c r="AT392" s="356" t="s">
        <v>151</v>
      </c>
      <c r="AU392" s="370">
        <f>(AP392*AS392)</f>
        <v>1498.5</v>
      </c>
    </row>
    <row r="393" spans="1:47" ht="15.75">
      <c r="A393" s="382">
        <f t="shared" si="35"/>
        <v>226</v>
      </c>
      <c r="B393" s="356" t="s">
        <v>1142</v>
      </c>
      <c r="C393" s="394">
        <v>69.8</v>
      </c>
      <c r="D393" s="385" t="s">
        <v>110</v>
      </c>
      <c r="M393" s="370">
        <v>1.6</v>
      </c>
      <c r="N393" s="356" t="s">
        <v>151</v>
      </c>
      <c r="O393" s="356" t="s">
        <v>152</v>
      </c>
      <c r="P393" s="370">
        <f>(C11)</f>
        <v>1118.3999999999999</v>
      </c>
      <c r="Q393" s="356" t="s">
        <v>151</v>
      </c>
      <c r="R393" s="370">
        <f>(M393*P393)</f>
        <v>1789.4399999999998</v>
      </c>
      <c r="W393" s="361"/>
      <c r="AD393" s="370">
        <v>7.1</v>
      </c>
      <c r="AE393" s="368" t="s">
        <v>151</v>
      </c>
      <c r="AF393" s="356" t="s">
        <v>152</v>
      </c>
      <c r="AG393" s="370">
        <f>V384</f>
        <v>1118.3999999999999</v>
      </c>
      <c r="AH393" s="356" t="s">
        <v>151</v>
      </c>
      <c r="AI393" s="370">
        <f>(AD393*AG393)</f>
        <v>7940.6399999999985</v>
      </c>
      <c r="AP393" s="370"/>
      <c r="AQ393" s="368"/>
      <c r="AR393" s="356"/>
      <c r="AS393" s="370"/>
      <c r="AT393" s="356"/>
      <c r="AU393" s="370"/>
    </row>
    <row r="394" spans="1:47" ht="15.75">
      <c r="A394" s="382">
        <f t="shared" si="35"/>
        <v>227</v>
      </c>
      <c r="B394" s="385" t="s">
        <v>1143</v>
      </c>
      <c r="C394" s="394">
        <v>98.6</v>
      </c>
      <c r="D394" s="385" t="s">
        <v>110</v>
      </c>
      <c r="G394" s="368" t="s">
        <v>932</v>
      </c>
      <c r="H394" s="356" t="s">
        <v>933</v>
      </c>
      <c r="M394" s="370">
        <v>0.5</v>
      </c>
      <c r="N394" s="356" t="s">
        <v>151</v>
      </c>
      <c r="O394" s="356" t="s">
        <v>153</v>
      </c>
      <c r="P394" s="370">
        <f>(C12)</f>
        <v>781.19999999999993</v>
      </c>
      <c r="Q394" s="356" t="s">
        <v>151</v>
      </c>
      <c r="R394" s="370">
        <f>(M394*P394)</f>
        <v>390.59999999999997</v>
      </c>
      <c r="T394" s="35" t="s">
        <v>932</v>
      </c>
      <c r="U394" s="35" t="s">
        <v>1144</v>
      </c>
      <c r="W394" s="361"/>
      <c r="AD394" s="370">
        <v>7.1</v>
      </c>
      <c r="AE394" s="368" t="s">
        <v>151</v>
      </c>
      <c r="AF394" s="356" t="s">
        <v>153</v>
      </c>
      <c r="AG394" s="370">
        <f>V385</f>
        <v>781.19999999999993</v>
      </c>
      <c r="AH394" s="356" t="s">
        <v>151</v>
      </c>
      <c r="AI394" s="370">
        <f>(AD394*AG394)</f>
        <v>5546.5199999999995</v>
      </c>
      <c r="AP394" s="370">
        <v>0.88</v>
      </c>
      <c r="AQ394" s="368" t="s">
        <v>151</v>
      </c>
      <c r="AR394" s="356" t="s">
        <v>153</v>
      </c>
      <c r="AS394" s="370">
        <f>AG394</f>
        <v>781.19999999999993</v>
      </c>
      <c r="AT394" s="356" t="s">
        <v>151</v>
      </c>
      <c r="AU394" s="370">
        <f>(AP394*AS394)</f>
        <v>687.4559999999999</v>
      </c>
    </row>
    <row r="395" spans="1:47" ht="15.75">
      <c r="A395" s="382">
        <f t="shared" si="35"/>
        <v>228</v>
      </c>
      <c r="B395" s="385" t="s">
        <v>1145</v>
      </c>
      <c r="C395" s="394">
        <v>128</v>
      </c>
      <c r="D395" s="385" t="s">
        <v>110</v>
      </c>
      <c r="H395" s="363" t="s">
        <v>117</v>
      </c>
      <c r="M395" s="370">
        <v>2.7</v>
      </c>
      <c r="N395" s="356" t="s">
        <v>151</v>
      </c>
      <c r="O395" s="356" t="s">
        <v>154</v>
      </c>
      <c r="P395" s="370">
        <f>(C13)</f>
        <v>640.79999999999995</v>
      </c>
      <c r="Q395" s="356" t="s">
        <v>151</v>
      </c>
      <c r="R395" s="370">
        <f>(M395*P395)</f>
        <v>1730.16</v>
      </c>
      <c r="U395" s="35" t="s">
        <v>117</v>
      </c>
      <c r="W395" s="361"/>
      <c r="AD395" s="370">
        <v>21.2</v>
      </c>
      <c r="AE395" s="368" t="s">
        <v>151</v>
      </c>
      <c r="AF395" s="356" t="s">
        <v>154</v>
      </c>
      <c r="AG395" s="370">
        <f>V386</f>
        <v>640.79999999999995</v>
      </c>
      <c r="AH395" s="356" t="s">
        <v>151</v>
      </c>
      <c r="AI395" s="370">
        <f>(AD395*AG395)</f>
        <v>13584.96</v>
      </c>
      <c r="AP395" s="370">
        <v>0.88</v>
      </c>
      <c r="AQ395" s="368" t="s">
        <v>151</v>
      </c>
      <c r="AR395" s="356" t="s">
        <v>154</v>
      </c>
      <c r="AS395" s="370">
        <f>AG395</f>
        <v>640.79999999999995</v>
      </c>
      <c r="AT395" s="356" t="s">
        <v>151</v>
      </c>
      <c r="AU395" s="370">
        <f>(AP395*AS395)</f>
        <v>563.904</v>
      </c>
    </row>
    <row r="396" spans="1:47" ht="15.75">
      <c r="A396" s="382">
        <f t="shared" si="35"/>
        <v>229</v>
      </c>
      <c r="B396" s="385" t="s">
        <v>1146</v>
      </c>
      <c r="C396" s="394">
        <v>151.4</v>
      </c>
      <c r="D396" s="385" t="s">
        <v>110</v>
      </c>
      <c r="F396" s="370">
        <v>1.1000000000000001</v>
      </c>
      <c r="G396" s="368" t="s">
        <v>108</v>
      </c>
      <c r="H396" s="356" t="s">
        <v>939</v>
      </c>
      <c r="I396" s="370">
        <f>(K391)</f>
        <v>7172.0069635999998</v>
      </c>
      <c r="J396" s="356" t="s">
        <v>108</v>
      </c>
      <c r="K396" s="370">
        <f>(F396*I396)</f>
        <v>7889.2076599600005</v>
      </c>
      <c r="N396" s="356" t="s">
        <v>128</v>
      </c>
      <c r="O396" s="356" t="s">
        <v>1131</v>
      </c>
      <c r="P396" s="356" t="s">
        <v>114</v>
      </c>
      <c r="Q396" s="356" t="s">
        <v>128</v>
      </c>
      <c r="R396" s="370">
        <v>2.09</v>
      </c>
      <c r="S396" s="36">
        <v>1.1200000000000001</v>
      </c>
      <c r="T396" s="35" t="s">
        <v>108</v>
      </c>
      <c r="U396" s="35" t="s">
        <v>939</v>
      </c>
      <c r="V396" s="35">
        <f>X391</f>
        <v>7593.6547635999987</v>
      </c>
      <c r="W396" s="361" t="s">
        <v>108</v>
      </c>
      <c r="X396" s="35">
        <f>V396*S396</f>
        <v>8504.893335232</v>
      </c>
      <c r="AE396" s="368" t="s">
        <v>128</v>
      </c>
      <c r="AF396" s="356" t="s">
        <v>129</v>
      </c>
      <c r="AG396" s="356" t="s">
        <v>114</v>
      </c>
      <c r="AH396" s="356" t="s">
        <v>128</v>
      </c>
      <c r="AI396" s="370">
        <v>5</v>
      </c>
      <c r="AQ396" s="368" t="s">
        <v>128</v>
      </c>
      <c r="AR396" s="356" t="s">
        <v>129</v>
      </c>
      <c r="AS396" s="356" t="s">
        <v>114</v>
      </c>
      <c r="AT396" s="356" t="s">
        <v>128</v>
      </c>
      <c r="AU396" s="370">
        <v>0</v>
      </c>
    </row>
    <row r="397" spans="1:47" ht="15.75">
      <c r="A397" s="382">
        <f t="shared" si="35"/>
        <v>230</v>
      </c>
      <c r="B397" s="385" t="s">
        <v>1147</v>
      </c>
      <c r="C397" s="394">
        <v>163</v>
      </c>
      <c r="D397" s="385" t="s">
        <v>110</v>
      </c>
      <c r="F397" s="370">
        <v>1</v>
      </c>
      <c r="G397" s="368" t="s">
        <v>223</v>
      </c>
      <c r="H397" s="356" t="s">
        <v>162</v>
      </c>
      <c r="I397" s="370">
        <f>(C10)</f>
        <v>1198.8</v>
      </c>
      <c r="J397" s="356" t="s">
        <v>151</v>
      </c>
      <c r="K397" s="370">
        <f>(F397*I397)</f>
        <v>1198.8</v>
      </c>
      <c r="R397" s="363" t="s">
        <v>117</v>
      </c>
      <c r="S397" s="36">
        <v>1</v>
      </c>
      <c r="T397" s="35" t="s">
        <v>223</v>
      </c>
      <c r="U397" s="35" t="s">
        <v>162</v>
      </c>
      <c r="V397" s="35">
        <f>I397</f>
        <v>1198.8</v>
      </c>
      <c r="W397" s="361" t="s">
        <v>151</v>
      </c>
      <c r="X397" s="35">
        <f>V397*S397</f>
        <v>1198.8</v>
      </c>
      <c r="AE397" s="358"/>
      <c r="AH397" s="360"/>
      <c r="AI397" s="363" t="s">
        <v>117</v>
      </c>
      <c r="AQ397" s="358"/>
      <c r="AT397" s="360"/>
      <c r="AU397" s="363" t="s">
        <v>117</v>
      </c>
    </row>
    <row r="398" spans="1:47" ht="15.75">
      <c r="A398" s="382">
        <f t="shared" si="35"/>
        <v>231</v>
      </c>
      <c r="B398" s="385" t="s">
        <v>1148</v>
      </c>
      <c r="C398" s="394">
        <v>209</v>
      </c>
      <c r="D398" s="385" t="s">
        <v>110</v>
      </c>
      <c r="G398" s="368" t="s">
        <v>128</v>
      </c>
      <c r="H398" s="356" t="s">
        <v>129</v>
      </c>
      <c r="I398" s="356" t="s">
        <v>114</v>
      </c>
      <c r="J398" s="356" t="s">
        <v>128</v>
      </c>
      <c r="K398" s="370">
        <v>0</v>
      </c>
      <c r="O398" s="356" t="s">
        <v>1133</v>
      </c>
      <c r="R398" s="370">
        <f>SUM(R391:R396)</f>
        <v>4014.8288000000002</v>
      </c>
      <c r="T398" s="35" t="s">
        <v>128</v>
      </c>
      <c r="U398" s="35" t="s">
        <v>129</v>
      </c>
      <c r="V398" s="35" t="s">
        <v>114</v>
      </c>
      <c r="W398" s="361" t="s">
        <v>128</v>
      </c>
      <c r="X398" s="35">
        <v>0</v>
      </c>
      <c r="AE398" s="358"/>
      <c r="AF398" s="356" t="s">
        <v>143</v>
      </c>
      <c r="AH398" s="360"/>
      <c r="AI398" s="370">
        <f>SUM(AI390:AI396)</f>
        <v>72798.329507999995</v>
      </c>
      <c r="AQ398" s="358"/>
      <c r="AR398" s="356" t="s">
        <v>1149</v>
      </c>
      <c r="AT398" s="360"/>
      <c r="AU398" s="370">
        <f>SUM(AU390:AU396)</f>
        <v>7340.0630440000004</v>
      </c>
    </row>
    <row r="399" spans="1:47" ht="15.75">
      <c r="A399" s="382">
        <f t="shared" si="35"/>
        <v>232</v>
      </c>
      <c r="B399" s="385" t="s">
        <v>1150</v>
      </c>
      <c r="C399" s="394">
        <v>244.4</v>
      </c>
      <c r="D399" s="385" t="s">
        <v>110</v>
      </c>
      <c r="K399" s="363" t="s">
        <v>117</v>
      </c>
      <c r="R399" s="363" t="s">
        <v>117</v>
      </c>
      <c r="W399" s="361"/>
      <c r="X399" s="415" t="s">
        <v>1137</v>
      </c>
      <c r="Y399" s="415"/>
      <c r="AE399" s="358"/>
      <c r="AH399" s="360"/>
      <c r="AI399" s="363" t="s">
        <v>117</v>
      </c>
      <c r="AQ399" s="358"/>
      <c r="AT399" s="360"/>
      <c r="AU399" s="363" t="s">
        <v>117</v>
      </c>
    </row>
    <row r="400" spans="1:47" ht="15.75">
      <c r="A400" s="382">
        <f t="shared" si="35"/>
        <v>233</v>
      </c>
      <c r="B400" s="356" t="s">
        <v>1151</v>
      </c>
      <c r="C400" s="396"/>
      <c r="D400" s="396"/>
      <c r="H400" s="356" t="s">
        <v>176</v>
      </c>
      <c r="K400" s="370">
        <f>SUM(K396:K398)</f>
        <v>9088.0076599599997</v>
      </c>
      <c r="O400" s="356" t="s">
        <v>177</v>
      </c>
      <c r="R400" s="370">
        <f>(R398/100)</f>
        <v>40.148288000000001</v>
      </c>
      <c r="U400" s="35" t="s">
        <v>176</v>
      </c>
      <c r="W400" s="361"/>
      <c r="X400" s="35">
        <f>SUM(X396:X398)</f>
        <v>9703.6933352319993</v>
      </c>
      <c r="AE400" s="358"/>
      <c r="AF400" s="356" t="s">
        <v>155</v>
      </c>
      <c r="AH400" s="360"/>
      <c r="AI400" s="370">
        <f>(AI398/10)</f>
        <v>7279.8329507999997</v>
      </c>
      <c r="AQ400" s="358"/>
      <c r="AR400" s="356" t="s">
        <v>177</v>
      </c>
      <c r="AT400" s="360"/>
      <c r="AU400" s="370">
        <f>(AU398/10.71)</f>
        <v>685.346689449113</v>
      </c>
    </row>
    <row r="401" spans="1:47" ht="15.75">
      <c r="A401" s="382">
        <f t="shared" si="35"/>
        <v>234</v>
      </c>
      <c r="B401" s="385" t="s">
        <v>1152</v>
      </c>
      <c r="C401" s="394">
        <v>13.6</v>
      </c>
      <c r="D401" s="385" t="s">
        <v>151</v>
      </c>
      <c r="K401" s="363" t="s">
        <v>117</v>
      </c>
      <c r="R401" s="363" t="s">
        <v>156</v>
      </c>
      <c r="W401" s="361"/>
      <c r="X401" s="415" t="s">
        <v>1137</v>
      </c>
      <c r="Y401" s="415"/>
      <c r="AE401" s="358"/>
      <c r="AH401" s="360"/>
      <c r="AI401" s="363" t="s">
        <v>156</v>
      </c>
      <c r="AQ401" s="358"/>
      <c r="AT401" s="360"/>
      <c r="AU401" s="363" t="s">
        <v>156</v>
      </c>
    </row>
    <row r="402" spans="1:47" ht="15.75">
      <c r="A402" s="382">
        <f t="shared" si="35"/>
        <v>235</v>
      </c>
      <c r="B402" s="385" t="s">
        <v>1153</v>
      </c>
      <c r="C402" s="394">
        <v>23.2</v>
      </c>
      <c r="D402" s="385" t="s">
        <v>151</v>
      </c>
      <c r="H402" s="356" t="s">
        <v>177</v>
      </c>
      <c r="K402" s="369">
        <f>(K400/10)</f>
        <v>908.800765996</v>
      </c>
      <c r="N402" s="356" t="s">
        <v>932</v>
      </c>
      <c r="O402" s="356" t="s">
        <v>1154</v>
      </c>
      <c r="U402" s="35" t="s">
        <v>177</v>
      </c>
      <c r="W402" s="361"/>
      <c r="X402" s="35">
        <f>X400/10</f>
        <v>970.36933352319988</v>
      </c>
      <c r="AE402" s="358"/>
      <c r="AH402" s="360"/>
      <c r="AR402" s="356" t="s">
        <v>172</v>
      </c>
      <c r="AT402" s="360">
        <f>AH413</f>
        <v>10.793520000000001</v>
      </c>
      <c r="AU402" s="369">
        <f>AU400+AT402</f>
        <v>696.14020944911294</v>
      </c>
    </row>
    <row r="403" spans="1:47" ht="15.75">
      <c r="A403" s="382">
        <f t="shared" si="35"/>
        <v>236</v>
      </c>
      <c r="B403" s="385" t="s">
        <v>1155</v>
      </c>
      <c r="C403" s="394">
        <v>52</v>
      </c>
      <c r="D403" s="385" t="s">
        <v>151</v>
      </c>
      <c r="K403" s="363" t="s">
        <v>156</v>
      </c>
      <c r="O403" s="363" t="s">
        <v>117</v>
      </c>
      <c r="W403" s="361"/>
      <c r="X403" s="415" t="s">
        <v>1141</v>
      </c>
      <c r="Y403" s="415"/>
      <c r="AE403" s="368" t="s">
        <v>932</v>
      </c>
      <c r="AF403" s="356" t="s">
        <v>1156</v>
      </c>
      <c r="AH403" s="360"/>
      <c r="AR403" s="356" t="s">
        <v>873</v>
      </c>
      <c r="AT403" s="360">
        <f>AH414</f>
        <v>21.778559999999999</v>
      </c>
      <c r="AU403" s="369">
        <f t="shared" ref="AU403:AU408" si="37">AU402+AT403</f>
        <v>717.91876944911292</v>
      </c>
    </row>
    <row r="404" spans="1:47" ht="15.75">
      <c r="A404" s="382">
        <f t="shared" si="35"/>
        <v>237</v>
      </c>
      <c r="B404" s="385" t="s">
        <v>1157</v>
      </c>
      <c r="C404" s="394">
        <v>69.8</v>
      </c>
      <c r="D404" s="385" t="s">
        <v>151</v>
      </c>
      <c r="H404" s="356" t="s">
        <v>172</v>
      </c>
      <c r="J404" s="360">
        <f>K404-K402</f>
        <v>10.414800000000014</v>
      </c>
      <c r="K404" s="369">
        <f>(K402+C19/10*F396)</f>
        <v>919.21556599600001</v>
      </c>
      <c r="M404" s="370">
        <v>10</v>
      </c>
      <c r="N404" s="356" t="s">
        <v>107</v>
      </c>
      <c r="O404" s="356" t="s">
        <v>1138</v>
      </c>
      <c r="P404" s="370">
        <f>(R400)</f>
        <v>40.148288000000001</v>
      </c>
      <c r="Q404" s="356" t="s">
        <v>107</v>
      </c>
      <c r="R404" s="370">
        <f>(M404*P404)</f>
        <v>401.48288000000002</v>
      </c>
      <c r="U404" s="411" t="s">
        <v>172</v>
      </c>
      <c r="W404" s="361">
        <f>0.112*C19</f>
        <v>10.60416</v>
      </c>
      <c r="X404" s="411">
        <f>X402+W404</f>
        <v>980.97349352319986</v>
      </c>
      <c r="Y404" s="411"/>
      <c r="AE404" s="358"/>
      <c r="AF404" s="363" t="s">
        <v>117</v>
      </c>
      <c r="AH404" s="360"/>
      <c r="AR404" s="356" t="s">
        <v>876</v>
      </c>
      <c r="AT404" s="360">
        <f>AT403</f>
        <v>21.778559999999999</v>
      </c>
      <c r="AU404" s="369">
        <f t="shared" si="37"/>
        <v>739.69732944911289</v>
      </c>
    </row>
    <row r="405" spans="1:47" ht="15.75">
      <c r="A405" s="382">
        <f t="shared" si="35"/>
        <v>238</v>
      </c>
      <c r="B405" s="385" t="s">
        <v>1158</v>
      </c>
      <c r="C405" s="394">
        <v>87</v>
      </c>
      <c r="D405" s="385" t="s">
        <v>151</v>
      </c>
      <c r="H405" s="356" t="s">
        <v>873</v>
      </c>
      <c r="J405" s="360">
        <f>K405-K404</f>
        <v>21.014400000000023</v>
      </c>
      <c r="K405" s="369">
        <f>(K404+C20/10*F396)</f>
        <v>940.22996599600003</v>
      </c>
      <c r="M405" s="370">
        <v>10</v>
      </c>
      <c r="N405" s="356" t="s">
        <v>107</v>
      </c>
      <c r="O405" s="356" t="s">
        <v>1159</v>
      </c>
      <c r="P405" s="370">
        <f>(R400/2)</f>
        <v>20.074144</v>
      </c>
      <c r="Q405" s="356" t="s">
        <v>107</v>
      </c>
      <c r="R405" s="370">
        <f>(M405*P405)</f>
        <v>200.74144000000001</v>
      </c>
      <c r="U405" s="411" t="s">
        <v>873</v>
      </c>
      <c r="W405" s="361">
        <f>0.112*C20</f>
        <v>21.39648</v>
      </c>
      <c r="X405" s="411">
        <f>X404+W405</f>
        <v>1002.3699735231999</v>
      </c>
      <c r="Y405" s="411"/>
      <c r="AD405" s="370">
        <v>1.1399999999999999</v>
      </c>
      <c r="AE405" s="368" t="s">
        <v>108</v>
      </c>
      <c r="AF405" s="356" t="s">
        <v>939</v>
      </c>
      <c r="AG405" s="370">
        <f>(AI400)</f>
        <v>7279.8329507999997</v>
      </c>
      <c r="AH405" s="356" t="s">
        <v>108</v>
      </c>
      <c r="AI405" s="370">
        <f>(AD405*AG405)</f>
        <v>8299.0095639119991</v>
      </c>
      <c r="AR405" s="356" t="s">
        <v>878</v>
      </c>
      <c r="AT405" s="360">
        <f>AT404</f>
        <v>21.778559999999999</v>
      </c>
      <c r="AU405" s="369">
        <f t="shared" si="37"/>
        <v>761.47588944911286</v>
      </c>
    </row>
    <row r="406" spans="1:47" ht="15.75">
      <c r="A406" s="382">
        <f t="shared" si="35"/>
        <v>239</v>
      </c>
      <c r="B406" s="385" t="s">
        <v>1160</v>
      </c>
      <c r="C406" s="394">
        <v>116.3</v>
      </c>
      <c r="D406" s="385" t="s">
        <v>151</v>
      </c>
      <c r="H406" s="356" t="s">
        <v>876</v>
      </c>
      <c r="K406" s="369">
        <f>(K405+C21/10*F396)</f>
        <v>961.24436599600006</v>
      </c>
      <c r="O406" s="356" t="s">
        <v>1161</v>
      </c>
      <c r="R406" s="363" t="s">
        <v>117</v>
      </c>
      <c r="U406" s="411" t="s">
        <v>876</v>
      </c>
      <c r="W406" s="361">
        <f>W405</f>
        <v>21.39648</v>
      </c>
      <c r="X406" s="411">
        <f>X405+W406</f>
        <v>1023.7664535231999</v>
      </c>
      <c r="Y406" s="411"/>
      <c r="AD406" s="370">
        <v>1</v>
      </c>
      <c r="AE406" s="368" t="s">
        <v>223</v>
      </c>
      <c r="AF406" s="356" t="s">
        <v>162</v>
      </c>
      <c r="AG406" s="370">
        <f>AG392</f>
        <v>1198.8</v>
      </c>
      <c r="AH406" s="356" t="s">
        <v>151</v>
      </c>
      <c r="AI406" s="370">
        <f>(AD406*AG406)</f>
        <v>1198.8</v>
      </c>
      <c r="AR406" s="356" t="s">
        <v>951</v>
      </c>
      <c r="AT406" s="360">
        <f>AT405</f>
        <v>21.778559999999999</v>
      </c>
      <c r="AU406" s="369">
        <f t="shared" si="37"/>
        <v>783.25444944911283</v>
      </c>
    </row>
    <row r="407" spans="1:47" ht="15.75">
      <c r="A407" s="382">
        <f t="shared" si="35"/>
        <v>240</v>
      </c>
      <c r="B407" s="477" t="s">
        <v>1162</v>
      </c>
      <c r="C407" s="478">
        <v>278.3</v>
      </c>
      <c r="D407" s="479" t="s">
        <v>151</v>
      </c>
      <c r="H407" s="356" t="s">
        <v>878</v>
      </c>
      <c r="K407" s="369">
        <f>(K406+C21/10*F396)</f>
        <v>982.25876599600008</v>
      </c>
      <c r="R407" s="370">
        <f>SUM(R404:R405)</f>
        <v>602.22432000000003</v>
      </c>
      <c r="U407" s="411" t="s">
        <v>878</v>
      </c>
      <c r="W407" s="361">
        <f>W405</f>
        <v>21.39648</v>
      </c>
      <c r="X407" s="411">
        <f>X406+W407</f>
        <v>1045.1629335231999</v>
      </c>
      <c r="Y407" s="411"/>
      <c r="AE407" s="368" t="s">
        <v>128</v>
      </c>
      <c r="AF407" s="356" t="s">
        <v>129</v>
      </c>
      <c r="AG407" s="356" t="s">
        <v>114</v>
      </c>
      <c r="AH407" s="356" t="s">
        <v>128</v>
      </c>
      <c r="AI407" s="370">
        <v>0</v>
      </c>
      <c r="AR407" s="356" t="s">
        <v>1163</v>
      </c>
      <c r="AT407" s="360">
        <f>AT406</f>
        <v>21.778559999999999</v>
      </c>
      <c r="AU407" s="369">
        <f t="shared" si="37"/>
        <v>805.0330094491128</v>
      </c>
    </row>
    <row r="408" spans="1:47" ht="15.75">
      <c r="A408" s="382">
        <f t="shared" si="35"/>
        <v>241</v>
      </c>
      <c r="B408" s="356" t="s">
        <v>1164</v>
      </c>
      <c r="C408" s="396"/>
      <c r="D408" s="385" t="s">
        <v>114</v>
      </c>
      <c r="H408" s="356" t="s">
        <v>951</v>
      </c>
      <c r="K408" s="369">
        <f>(K407+C21/10*F396)</f>
        <v>1003.2731659960001</v>
      </c>
      <c r="L408" s="35">
        <f>K408-K407</f>
        <v>21.014400000000023</v>
      </c>
      <c r="O408" s="356" t="s">
        <v>176</v>
      </c>
      <c r="R408" s="363" t="s">
        <v>117</v>
      </c>
      <c r="U408" s="411" t="s">
        <v>951</v>
      </c>
      <c r="W408" s="361">
        <f>W407</f>
        <v>21.39648</v>
      </c>
      <c r="X408" s="411">
        <f>X407+W408</f>
        <v>1066.5594135232</v>
      </c>
      <c r="Y408" s="411"/>
      <c r="AE408" s="358"/>
      <c r="AH408" s="360"/>
      <c r="AI408" s="363" t="s">
        <v>117</v>
      </c>
      <c r="AR408" s="356" t="s">
        <v>1165</v>
      </c>
      <c r="AT408" s="360">
        <f>AT407</f>
        <v>21.778559999999999</v>
      </c>
      <c r="AU408" s="369">
        <f t="shared" si="37"/>
        <v>826.81156944911277</v>
      </c>
    </row>
    <row r="409" spans="1:47" ht="15.75">
      <c r="A409" s="382">
        <f t="shared" si="35"/>
        <v>242</v>
      </c>
      <c r="B409" s="385" t="s">
        <v>1166</v>
      </c>
      <c r="C409" s="394">
        <v>13.6</v>
      </c>
      <c r="D409" s="385" t="s">
        <v>151</v>
      </c>
      <c r="F409" s="393">
        <v>11</v>
      </c>
      <c r="G409" s="368" t="s">
        <v>122</v>
      </c>
      <c r="H409" s="356" t="s">
        <v>1167</v>
      </c>
      <c r="L409" s="35">
        <f>K408+L408</f>
        <v>1024.287565996</v>
      </c>
      <c r="R409" s="370">
        <f>(R407/10)</f>
        <v>60.222432000000005</v>
      </c>
      <c r="S409" s="36">
        <v>11</v>
      </c>
      <c r="T409" s="35" t="s">
        <v>122</v>
      </c>
      <c r="U409" s="35" t="s">
        <v>1167</v>
      </c>
      <c r="W409" s="361"/>
      <c r="AE409" s="358"/>
      <c r="AF409" s="356" t="s">
        <v>176</v>
      </c>
      <c r="AH409" s="360"/>
      <c r="AI409" s="370">
        <f>SUM(AI405:AI407)</f>
        <v>9497.8095639119983</v>
      </c>
    </row>
    <row r="410" spans="1:47" ht="15.75">
      <c r="A410" s="382">
        <f t="shared" si="35"/>
        <v>243</v>
      </c>
      <c r="B410" s="385" t="s">
        <v>1168</v>
      </c>
      <c r="C410" s="394">
        <v>15.9</v>
      </c>
      <c r="D410" s="385" t="s">
        <v>151</v>
      </c>
      <c r="H410" s="370" t="str">
        <f>H311</f>
        <v>Bricks of size 22x11x7 cm</v>
      </c>
      <c r="O410" s="356" t="s">
        <v>177</v>
      </c>
      <c r="R410" s="363" t="s">
        <v>156</v>
      </c>
      <c r="U410" s="35" t="s">
        <v>1088</v>
      </c>
      <c r="W410" s="361"/>
      <c r="AE410" s="358"/>
      <c r="AH410" s="360"/>
      <c r="AI410" s="363" t="s">
        <v>117</v>
      </c>
    </row>
    <row r="411" spans="1:47" ht="15.75">
      <c r="A411" s="382">
        <f t="shared" si="35"/>
        <v>244</v>
      </c>
      <c r="B411" s="385" t="s">
        <v>1169</v>
      </c>
      <c r="C411" s="394">
        <v>28.6</v>
      </c>
      <c r="D411" s="385" t="s">
        <v>151</v>
      </c>
      <c r="H411" s="363" t="s">
        <v>117</v>
      </c>
      <c r="U411" s="35" t="s">
        <v>117</v>
      </c>
      <c r="W411" s="361"/>
      <c r="AE411" s="358"/>
      <c r="AF411" s="356" t="s">
        <v>177</v>
      </c>
      <c r="AH411" s="360"/>
      <c r="AI411" s="369">
        <f>(AI409/10)</f>
        <v>949.78095639119988</v>
      </c>
    </row>
    <row r="412" spans="1:47" ht="15.75">
      <c r="A412" s="382">
        <f t="shared" si="35"/>
        <v>245</v>
      </c>
      <c r="B412" s="385" t="s">
        <v>1170</v>
      </c>
      <c r="C412" s="394">
        <v>46.5</v>
      </c>
      <c r="D412" s="385" t="s">
        <v>151</v>
      </c>
      <c r="F412" s="370">
        <f>F313</f>
        <v>4800</v>
      </c>
      <c r="G412" s="368" t="s">
        <v>160</v>
      </c>
      <c r="H412" s="370" t="str">
        <f>H311</f>
        <v>Bricks of size 22x11x7 cm</v>
      </c>
      <c r="I412" s="370">
        <f>(C80)</f>
        <v>6157.04</v>
      </c>
      <c r="J412" s="356" t="s">
        <v>954</v>
      </c>
      <c r="K412" s="370">
        <f>(F412*I412)/1000</f>
        <v>29553.792000000001</v>
      </c>
      <c r="N412" s="356" t="s">
        <v>122</v>
      </c>
      <c r="O412" s="356" t="s">
        <v>1171</v>
      </c>
      <c r="S412" s="36">
        <v>4600</v>
      </c>
      <c r="T412" s="35" t="s">
        <v>160</v>
      </c>
      <c r="U412" s="35" t="s">
        <v>1088</v>
      </c>
      <c r="V412" s="35">
        <f t="shared" ref="V412:V417" si="38">V381</f>
        <v>7342.45</v>
      </c>
      <c r="W412" s="361" t="s">
        <v>954</v>
      </c>
      <c r="X412" s="35">
        <f>V412*S412/1000</f>
        <v>33775.269999999997</v>
      </c>
      <c r="AE412" s="358"/>
      <c r="AH412" s="360"/>
      <c r="AI412" s="363" t="s">
        <v>156</v>
      </c>
    </row>
    <row r="413" spans="1:47" ht="15.75">
      <c r="A413" s="382">
        <f t="shared" ref="A413:A423" si="39">(A412+1)</f>
        <v>246</v>
      </c>
      <c r="B413" s="385" t="s">
        <v>1172</v>
      </c>
      <c r="C413" s="394">
        <v>58.1</v>
      </c>
      <c r="D413" s="385" t="s">
        <v>151</v>
      </c>
      <c r="F413" s="370">
        <f>F382</f>
        <v>1.59</v>
      </c>
      <c r="G413" s="368" t="s">
        <v>108</v>
      </c>
      <c r="H413" s="356" t="s">
        <v>133</v>
      </c>
      <c r="I413" s="370">
        <f>(K40)</f>
        <v>4212.3004000000001</v>
      </c>
      <c r="J413" s="356" t="s">
        <v>108</v>
      </c>
      <c r="K413" s="370">
        <f>(F413*I413)</f>
        <v>6697.5576360000005</v>
      </c>
      <c r="O413" s="356" t="s">
        <v>1173</v>
      </c>
      <c r="S413" s="36">
        <v>1.59</v>
      </c>
      <c r="T413" s="35" t="s">
        <v>108</v>
      </c>
      <c r="U413" s="35" t="s">
        <v>133</v>
      </c>
      <c r="V413" s="35">
        <f t="shared" si="38"/>
        <v>4212.3004000000001</v>
      </c>
      <c r="W413" s="361" t="s">
        <v>108</v>
      </c>
      <c r="X413" s="35">
        <f t="shared" ref="X413:X418" si="40">V413*S413</f>
        <v>6697.5576360000005</v>
      </c>
      <c r="AE413" s="358"/>
      <c r="AF413" s="356" t="s">
        <v>172</v>
      </c>
      <c r="AH413" s="360">
        <f>C19*0.114</f>
        <v>10.793520000000001</v>
      </c>
      <c r="AI413" s="369">
        <f>AI411+AH413</f>
        <v>960.57447639119982</v>
      </c>
    </row>
    <row r="414" spans="1:47" ht="15.75">
      <c r="A414" s="382">
        <f t="shared" si="39"/>
        <v>247</v>
      </c>
      <c r="B414" s="385" t="s">
        <v>1174</v>
      </c>
      <c r="C414" s="394">
        <v>69.8</v>
      </c>
      <c r="D414" s="385" t="s">
        <v>151</v>
      </c>
      <c r="F414" s="370">
        <v>7</v>
      </c>
      <c r="G414" s="368" t="s">
        <v>151</v>
      </c>
      <c r="H414" s="356" t="s">
        <v>162</v>
      </c>
      <c r="I414" s="370">
        <f>(C10)</f>
        <v>1198.8</v>
      </c>
      <c r="J414" s="356" t="s">
        <v>151</v>
      </c>
      <c r="K414" s="370">
        <f>(F414*I414)</f>
        <v>8391.6</v>
      </c>
      <c r="O414" s="363" t="s">
        <v>117</v>
      </c>
      <c r="S414" s="36">
        <v>7</v>
      </c>
      <c r="T414" s="35" t="s">
        <v>151</v>
      </c>
      <c r="U414" s="35" t="s">
        <v>162</v>
      </c>
      <c r="V414" s="35">
        <f t="shared" si="38"/>
        <v>1198.8</v>
      </c>
      <c r="W414" s="361" t="s">
        <v>151</v>
      </c>
      <c r="X414" s="35">
        <f t="shared" si="40"/>
        <v>8391.6</v>
      </c>
      <c r="AE414" s="358"/>
      <c r="AF414" s="356" t="s">
        <v>873</v>
      </c>
      <c r="AH414" s="360">
        <f>C20*0.114</f>
        <v>21.778559999999999</v>
      </c>
      <c r="AI414" s="369">
        <f t="shared" ref="AI414:AI422" si="41">AI413+AH414</f>
        <v>982.35303639119979</v>
      </c>
    </row>
    <row r="415" spans="1:47" ht="15.75">
      <c r="A415" s="382">
        <f t="shared" si="39"/>
        <v>248</v>
      </c>
      <c r="B415" s="477" t="s">
        <v>1175</v>
      </c>
      <c r="C415" s="478">
        <v>239</v>
      </c>
      <c r="D415" s="479" t="s">
        <v>151</v>
      </c>
      <c r="F415" s="370">
        <v>7.1</v>
      </c>
      <c r="G415" s="368" t="s">
        <v>151</v>
      </c>
      <c r="H415" s="356" t="s">
        <v>152</v>
      </c>
      <c r="I415" s="370">
        <f>(C11)</f>
        <v>1118.3999999999999</v>
      </c>
      <c r="J415" s="356" t="s">
        <v>151</v>
      </c>
      <c r="K415" s="370">
        <f>(F415*I415)</f>
        <v>7940.6399999999985</v>
      </c>
      <c r="M415" s="370">
        <v>10</v>
      </c>
      <c r="N415" s="356" t="s">
        <v>107</v>
      </c>
      <c r="O415" s="356" t="s">
        <v>1127</v>
      </c>
      <c r="P415" s="370">
        <f>(R386)</f>
        <v>27.568219999999997</v>
      </c>
      <c r="Q415" s="356" t="s">
        <v>107</v>
      </c>
      <c r="R415" s="370">
        <f>(M415*P415)</f>
        <v>275.68219999999997</v>
      </c>
      <c r="S415" s="36">
        <v>7.1</v>
      </c>
      <c r="T415" s="35" t="s">
        <v>151</v>
      </c>
      <c r="U415" s="35" t="s">
        <v>152</v>
      </c>
      <c r="V415" s="35">
        <f t="shared" si="38"/>
        <v>1118.3999999999999</v>
      </c>
      <c r="W415" s="361" t="s">
        <v>151</v>
      </c>
      <c r="X415" s="35">
        <f t="shared" si="40"/>
        <v>7940.6399999999985</v>
      </c>
      <c r="AE415" s="358"/>
      <c r="AF415" s="356" t="s">
        <v>876</v>
      </c>
      <c r="AH415" s="360">
        <f t="shared" ref="AH415:AH424" si="42">AH414</f>
        <v>21.778559999999999</v>
      </c>
      <c r="AI415" s="369">
        <f t="shared" si="41"/>
        <v>1004.1315963911998</v>
      </c>
    </row>
    <row r="416" spans="1:47" ht="15.75">
      <c r="A416" s="382">
        <f t="shared" si="39"/>
        <v>249</v>
      </c>
      <c r="B416" s="480" t="s">
        <v>1176</v>
      </c>
      <c r="C416" s="396"/>
      <c r="D416" s="385" t="s">
        <v>114</v>
      </c>
      <c r="F416" s="370">
        <v>7.1</v>
      </c>
      <c r="G416" s="368" t="s">
        <v>151</v>
      </c>
      <c r="H416" s="356" t="s">
        <v>153</v>
      </c>
      <c r="I416" s="370">
        <f>(C12)</f>
        <v>781.19999999999993</v>
      </c>
      <c r="J416" s="356" t="s">
        <v>151</v>
      </c>
      <c r="K416" s="370">
        <f>(F416*I416)</f>
        <v>5546.5199999999995</v>
      </c>
      <c r="M416" s="370">
        <v>10</v>
      </c>
      <c r="N416" s="356" t="s">
        <v>107</v>
      </c>
      <c r="O416" s="356" t="s">
        <v>1154</v>
      </c>
      <c r="P416" s="370">
        <f>(R409)</f>
        <v>60.222432000000005</v>
      </c>
      <c r="Q416" s="356" t="s">
        <v>107</v>
      </c>
      <c r="R416" s="370">
        <f>(M416*P416)</f>
        <v>602.22432000000003</v>
      </c>
      <c r="S416" s="36">
        <v>7.1</v>
      </c>
      <c r="T416" s="35" t="s">
        <v>151</v>
      </c>
      <c r="U416" s="35" t="s">
        <v>153</v>
      </c>
      <c r="V416" s="35">
        <f t="shared" si="38"/>
        <v>781.19999999999993</v>
      </c>
      <c r="W416" s="361" t="s">
        <v>151</v>
      </c>
      <c r="X416" s="35">
        <f t="shared" si="40"/>
        <v>5546.5199999999995</v>
      </c>
      <c r="AE416" s="358"/>
      <c r="AF416" s="356" t="s">
        <v>878</v>
      </c>
      <c r="AH416" s="360">
        <f t="shared" si="42"/>
        <v>21.778559999999999</v>
      </c>
      <c r="AI416" s="369">
        <f t="shared" si="41"/>
        <v>1025.9101563911997</v>
      </c>
    </row>
    <row r="417" spans="1:37" ht="15.75">
      <c r="A417" s="382">
        <f t="shared" si="39"/>
        <v>250</v>
      </c>
      <c r="B417" s="385" t="s">
        <v>1177</v>
      </c>
      <c r="C417" s="394">
        <v>15.9</v>
      </c>
      <c r="D417" s="385" t="s">
        <v>151</v>
      </c>
      <c r="F417" s="370">
        <v>21.2</v>
      </c>
      <c r="G417" s="368" t="s">
        <v>151</v>
      </c>
      <c r="H417" s="356" t="s">
        <v>154</v>
      </c>
      <c r="I417" s="370">
        <f>(C13)</f>
        <v>640.79999999999995</v>
      </c>
      <c r="J417" s="356" t="s">
        <v>151</v>
      </c>
      <c r="K417" s="370">
        <f>(F417*I417)</f>
        <v>13584.96</v>
      </c>
      <c r="O417" s="356" t="s">
        <v>114</v>
      </c>
      <c r="R417" s="363" t="s">
        <v>117</v>
      </c>
      <c r="S417" s="36">
        <v>21.2</v>
      </c>
      <c r="T417" s="35" t="s">
        <v>151</v>
      </c>
      <c r="U417" s="35" t="s">
        <v>154</v>
      </c>
      <c r="V417" s="35">
        <f t="shared" si="38"/>
        <v>640.79999999999995</v>
      </c>
      <c r="W417" s="361" t="s">
        <v>151</v>
      </c>
      <c r="X417" s="35">
        <f t="shared" si="40"/>
        <v>13584.96</v>
      </c>
      <c r="AE417" s="358"/>
      <c r="AF417" s="356" t="s">
        <v>951</v>
      </c>
      <c r="AH417" s="360">
        <f t="shared" si="42"/>
        <v>21.778559999999999</v>
      </c>
      <c r="AI417" s="369">
        <f t="shared" si="41"/>
        <v>1047.6887163911997</v>
      </c>
    </row>
    <row r="418" spans="1:37" ht="15.75">
      <c r="A418" s="382">
        <f t="shared" si="39"/>
        <v>251</v>
      </c>
      <c r="B418" s="385" t="s">
        <v>1178</v>
      </c>
      <c r="C418" s="394">
        <v>25.4</v>
      </c>
      <c r="D418" s="385" t="s">
        <v>151</v>
      </c>
      <c r="G418" s="368" t="s">
        <v>128</v>
      </c>
      <c r="H418" s="356" t="s">
        <v>129</v>
      </c>
      <c r="I418" s="356" t="s">
        <v>114</v>
      </c>
      <c r="J418" s="356" t="s">
        <v>128</v>
      </c>
      <c r="K418" s="370">
        <v>0</v>
      </c>
      <c r="R418" s="370">
        <f>SUM(R415:R416)</f>
        <v>877.90652</v>
      </c>
      <c r="T418" s="35" t="s">
        <v>128</v>
      </c>
      <c r="U418" s="35" t="s">
        <v>129</v>
      </c>
      <c r="V418" s="35" t="s">
        <v>114</v>
      </c>
      <c r="W418" s="361" t="s">
        <v>128</v>
      </c>
      <c r="X418" s="35" t="e">
        <f t="shared" si="40"/>
        <v>#VALUE!</v>
      </c>
      <c r="AE418" s="358"/>
      <c r="AF418" s="356" t="s">
        <v>1163</v>
      </c>
      <c r="AH418" s="360">
        <f t="shared" si="42"/>
        <v>21.778559999999999</v>
      </c>
      <c r="AI418" s="369">
        <f t="shared" si="41"/>
        <v>1069.4672763911997</v>
      </c>
    </row>
    <row r="419" spans="1:37" ht="15.75">
      <c r="A419" s="382">
        <f t="shared" si="39"/>
        <v>252</v>
      </c>
      <c r="B419" s="385" t="s">
        <v>1179</v>
      </c>
      <c r="C419" s="394">
        <v>58.1</v>
      </c>
      <c r="D419" s="385" t="s">
        <v>151</v>
      </c>
      <c r="K419" s="363" t="s">
        <v>117</v>
      </c>
      <c r="O419" s="356" t="s">
        <v>176</v>
      </c>
      <c r="R419" s="363" t="s">
        <v>117</v>
      </c>
      <c r="W419" s="361"/>
      <c r="X419" s="415" t="s">
        <v>1137</v>
      </c>
      <c r="Y419" s="415"/>
      <c r="AE419" s="358"/>
      <c r="AF419" s="356" t="s">
        <v>1165</v>
      </c>
      <c r="AH419" s="360">
        <f t="shared" si="42"/>
        <v>21.778559999999999</v>
      </c>
      <c r="AI419" s="369">
        <f t="shared" si="41"/>
        <v>1091.2458363911996</v>
      </c>
    </row>
    <row r="420" spans="1:37" ht="15.75">
      <c r="A420" s="382">
        <f t="shared" si="39"/>
        <v>253</v>
      </c>
      <c r="B420" s="385" t="s">
        <v>1180</v>
      </c>
      <c r="C420" s="394">
        <v>87</v>
      </c>
      <c r="D420" s="385" t="s">
        <v>151</v>
      </c>
      <c r="H420" s="356" t="s">
        <v>143</v>
      </c>
      <c r="K420" s="370">
        <f>SUM(K412:K418)</f>
        <v>71715.069636</v>
      </c>
      <c r="R420" s="370">
        <f>(R418/10)</f>
        <v>87.790651999999994</v>
      </c>
      <c r="U420" s="35" t="s">
        <v>143</v>
      </c>
      <c r="W420" s="361"/>
      <c r="X420" s="35" t="e">
        <f>SUM(X412:X418)</f>
        <v>#VALUE!</v>
      </c>
      <c r="AE420" s="358"/>
      <c r="AF420" s="356" t="s">
        <v>1181</v>
      </c>
      <c r="AH420" s="360">
        <f t="shared" si="42"/>
        <v>21.778559999999999</v>
      </c>
      <c r="AI420" s="369">
        <f t="shared" si="41"/>
        <v>1113.0243963911996</v>
      </c>
    </row>
    <row r="421" spans="1:37" ht="15.75">
      <c r="A421" s="382">
        <f t="shared" si="39"/>
        <v>254</v>
      </c>
      <c r="B421" s="385" t="s">
        <v>1182</v>
      </c>
      <c r="C421" s="394">
        <v>98.6</v>
      </c>
      <c r="D421" s="385" t="s">
        <v>151</v>
      </c>
      <c r="K421" s="363" t="s">
        <v>117</v>
      </c>
      <c r="O421" s="356" t="s">
        <v>177</v>
      </c>
      <c r="R421" s="363" t="s">
        <v>156</v>
      </c>
      <c r="W421" s="361"/>
      <c r="X421" s="415" t="s">
        <v>1137</v>
      </c>
      <c r="Y421" s="415"/>
      <c r="AE421" s="358"/>
      <c r="AF421" s="356" t="s">
        <v>1183</v>
      </c>
      <c r="AH421" s="360">
        <f t="shared" si="42"/>
        <v>21.778559999999999</v>
      </c>
      <c r="AI421" s="369">
        <f>AI420+AH421</f>
        <v>1134.8029563911996</v>
      </c>
    </row>
    <row r="422" spans="1:37" ht="15.75">
      <c r="A422" s="382">
        <f t="shared" si="39"/>
        <v>255</v>
      </c>
      <c r="B422" s="385" t="s">
        <v>1184</v>
      </c>
      <c r="C422" s="394">
        <v>128</v>
      </c>
      <c r="D422" s="385" t="s">
        <v>151</v>
      </c>
      <c r="H422" s="356" t="s">
        <v>155</v>
      </c>
      <c r="K422" s="370">
        <f>(K420/10)</f>
        <v>7171.5069635999998</v>
      </c>
      <c r="U422" s="35" t="s">
        <v>155</v>
      </c>
      <c r="W422" s="361"/>
      <c r="X422" s="35" t="e">
        <f>X420/10</f>
        <v>#VALUE!</v>
      </c>
      <c r="AE422" s="358"/>
      <c r="AF422" s="356" t="s">
        <v>1185</v>
      </c>
      <c r="AH422" s="360">
        <f t="shared" si="42"/>
        <v>21.778559999999999</v>
      </c>
      <c r="AI422" s="369">
        <f t="shared" si="41"/>
        <v>1156.5815163911996</v>
      </c>
    </row>
    <row r="423" spans="1:37" ht="15.75">
      <c r="A423" s="382">
        <f t="shared" si="39"/>
        <v>256</v>
      </c>
      <c r="B423" s="479" t="s">
        <v>1186</v>
      </c>
      <c r="C423" s="478">
        <v>345.2</v>
      </c>
      <c r="D423" s="479" t="s">
        <v>151</v>
      </c>
      <c r="K423" s="363" t="s">
        <v>156</v>
      </c>
      <c r="W423" s="361"/>
      <c r="X423" s="415" t="s">
        <v>1141</v>
      </c>
      <c r="Y423" s="415"/>
      <c r="AD423" s="393">
        <v>11</v>
      </c>
      <c r="AE423" s="368" t="s">
        <v>122</v>
      </c>
      <c r="AF423" s="356" t="s">
        <v>1167</v>
      </c>
      <c r="AH423" s="360">
        <f t="shared" si="42"/>
        <v>21.778559999999999</v>
      </c>
      <c r="AI423" s="369">
        <f>AI422+AH423</f>
        <v>1178.3600763911995</v>
      </c>
    </row>
    <row r="424" spans="1:37" ht="15.75">
      <c r="A424" s="396"/>
      <c r="B424" s="396"/>
      <c r="C424" s="396"/>
      <c r="D424" s="396"/>
      <c r="F424" s="356" t="s">
        <v>620</v>
      </c>
      <c r="S424" s="36" t="s">
        <v>620</v>
      </c>
      <c r="W424" s="361"/>
      <c r="AE424" s="358"/>
      <c r="AF424" s="370">
        <f>AF309</f>
        <v>0</v>
      </c>
      <c r="AH424" s="360">
        <f t="shared" si="42"/>
        <v>21.778559999999999</v>
      </c>
      <c r="AI424" s="369">
        <f>AI423+AH424</f>
        <v>1200.1386363911995</v>
      </c>
      <c r="AJ424" s="35" t="s">
        <v>1187</v>
      </c>
      <c r="AK424" s="35">
        <f>AI424+AH424</f>
        <v>1221.9171963911995</v>
      </c>
    </row>
    <row r="425" spans="1:37" ht="15.75">
      <c r="A425" s="382">
        <f>(A423+1)</f>
        <v>257</v>
      </c>
      <c r="B425" s="480" t="s">
        <v>1188</v>
      </c>
      <c r="C425" s="396"/>
      <c r="D425" s="385" t="s">
        <v>114</v>
      </c>
      <c r="O425" s="357" t="s">
        <v>1189</v>
      </c>
      <c r="W425" s="361"/>
      <c r="AE425" s="358"/>
      <c r="AF425" s="363" t="s">
        <v>117</v>
      </c>
      <c r="AH425" s="360"/>
      <c r="AJ425" s="35" t="s">
        <v>1190</v>
      </c>
      <c r="AK425" s="35">
        <f>AK424+AH424</f>
        <v>1243.6957563911994</v>
      </c>
    </row>
    <row r="426" spans="1:37" ht="15.75">
      <c r="A426" s="382">
        <f t="shared" ref="A426:A489" si="43">(A425+1)</f>
        <v>258</v>
      </c>
      <c r="B426" s="385" t="s">
        <v>1191</v>
      </c>
      <c r="C426" s="394">
        <v>58.1</v>
      </c>
      <c r="D426" s="385" t="s">
        <v>151</v>
      </c>
      <c r="G426" s="368" t="s">
        <v>957</v>
      </c>
      <c r="H426" s="356" t="s">
        <v>958</v>
      </c>
      <c r="O426" s="363" t="s">
        <v>117</v>
      </c>
      <c r="T426" s="35" t="s">
        <v>957</v>
      </c>
      <c r="U426" s="35" t="s">
        <v>958</v>
      </c>
      <c r="W426" s="361"/>
      <c r="AD426" s="370">
        <f>AD313</f>
        <v>4240</v>
      </c>
      <c r="AE426" s="368" t="s">
        <v>160</v>
      </c>
      <c r="AF426" s="370" t="str">
        <f>AF313</f>
        <v>Bricks of size 23x11.4x7.5 cm</v>
      </c>
      <c r="AG426" s="370">
        <f t="shared" ref="AG426:AG431" si="44">AG390</f>
        <v>7542.45</v>
      </c>
      <c r="AH426" s="356" t="s">
        <v>954</v>
      </c>
      <c r="AI426" s="370">
        <f>(AD426*AG426)/1000</f>
        <v>31979.988000000001</v>
      </c>
    </row>
    <row r="427" spans="1:37" ht="15.75">
      <c r="A427" s="382">
        <f t="shared" si="43"/>
        <v>259</v>
      </c>
      <c r="B427" s="385" t="s">
        <v>1192</v>
      </c>
      <c r="C427" s="394">
        <v>69.8</v>
      </c>
      <c r="D427" s="385" t="s">
        <v>151</v>
      </c>
      <c r="H427" s="363" t="s">
        <v>117</v>
      </c>
      <c r="N427" s="356" t="s">
        <v>122</v>
      </c>
      <c r="O427" s="356" t="s">
        <v>1193</v>
      </c>
      <c r="U427" s="35" t="s">
        <v>117</v>
      </c>
      <c r="W427" s="361"/>
      <c r="AD427" s="370">
        <v>1.27</v>
      </c>
      <c r="AE427" s="368" t="s">
        <v>108</v>
      </c>
      <c r="AF427" s="356" t="s">
        <v>133</v>
      </c>
      <c r="AG427" s="370">
        <f t="shared" si="44"/>
        <v>4212.3004000000001</v>
      </c>
      <c r="AH427" s="356" t="s">
        <v>108</v>
      </c>
      <c r="AI427" s="370">
        <f>(AD427*AG427)</f>
        <v>5349.6215080000002</v>
      </c>
    </row>
    <row r="428" spans="1:37" ht="15.75">
      <c r="A428" s="382">
        <f t="shared" si="43"/>
        <v>260</v>
      </c>
      <c r="B428" s="385" t="s">
        <v>1194</v>
      </c>
      <c r="C428" s="394">
        <v>98.6</v>
      </c>
      <c r="D428" s="385" t="s">
        <v>151</v>
      </c>
      <c r="F428" s="370">
        <v>0.7</v>
      </c>
      <c r="G428" s="368" t="s">
        <v>108</v>
      </c>
      <c r="H428" s="356" t="s">
        <v>959</v>
      </c>
      <c r="I428" s="370">
        <f>(K422)</f>
        <v>7171.5069635999998</v>
      </c>
      <c r="J428" s="356" t="s">
        <v>151</v>
      </c>
      <c r="K428" s="370">
        <f>(F428*I428)</f>
        <v>5020.0548745199994</v>
      </c>
      <c r="O428" s="356" t="s">
        <v>1195</v>
      </c>
      <c r="S428" s="36">
        <v>0.7</v>
      </c>
      <c r="T428" s="35" t="s">
        <v>108</v>
      </c>
      <c r="U428" s="35" t="s">
        <v>959</v>
      </c>
      <c r="V428" s="35" t="e">
        <f>X422</f>
        <v>#VALUE!</v>
      </c>
      <c r="W428" s="361" t="s">
        <v>151</v>
      </c>
      <c r="X428" s="35" t="e">
        <f>V428*S428</f>
        <v>#VALUE!</v>
      </c>
      <c r="AD428" s="370">
        <v>7</v>
      </c>
      <c r="AE428" s="368" t="s">
        <v>151</v>
      </c>
      <c r="AF428" s="356" t="s">
        <v>162</v>
      </c>
      <c r="AG428" s="370">
        <f t="shared" si="44"/>
        <v>1198.8</v>
      </c>
      <c r="AH428" s="356" t="s">
        <v>151</v>
      </c>
      <c r="AI428" s="370">
        <f>(AD428*AG428)</f>
        <v>8391.6</v>
      </c>
    </row>
    <row r="429" spans="1:37" ht="15.75">
      <c r="A429" s="382">
        <f t="shared" si="43"/>
        <v>261</v>
      </c>
      <c r="B429" s="385" t="s">
        <v>1196</v>
      </c>
      <c r="C429" s="394">
        <v>127.5</v>
      </c>
      <c r="D429" s="385" t="s">
        <v>151</v>
      </c>
      <c r="F429" s="370">
        <v>1</v>
      </c>
      <c r="G429" s="368" t="s">
        <v>223</v>
      </c>
      <c r="H429" s="356" t="s">
        <v>162</v>
      </c>
      <c r="I429" s="370">
        <f>(C10)</f>
        <v>1198.8</v>
      </c>
      <c r="J429" s="356" t="s">
        <v>151</v>
      </c>
      <c r="K429" s="370">
        <f>(F429*I429)</f>
        <v>1198.8</v>
      </c>
      <c r="O429" s="356" t="s">
        <v>1197</v>
      </c>
      <c r="S429" s="36">
        <v>1</v>
      </c>
      <c r="T429" s="35" t="s">
        <v>223</v>
      </c>
      <c r="U429" s="35" t="s">
        <v>162</v>
      </c>
      <c r="V429" s="35">
        <f>V397</f>
        <v>1198.8</v>
      </c>
      <c r="W429" s="361" t="s">
        <v>151</v>
      </c>
      <c r="X429" s="35">
        <f>V429*S429</f>
        <v>1198.8</v>
      </c>
      <c r="AD429" s="370">
        <v>7.1</v>
      </c>
      <c r="AE429" s="368" t="s">
        <v>151</v>
      </c>
      <c r="AF429" s="356" t="s">
        <v>152</v>
      </c>
      <c r="AG429" s="370">
        <f t="shared" si="44"/>
        <v>1118.3999999999999</v>
      </c>
      <c r="AH429" s="356" t="s">
        <v>151</v>
      </c>
      <c r="AI429" s="370">
        <f>(AD429*AG429)</f>
        <v>7940.6399999999985</v>
      </c>
    </row>
    <row r="430" spans="1:37" ht="15.75">
      <c r="A430" s="382">
        <f t="shared" si="43"/>
        <v>262</v>
      </c>
      <c r="B430" s="385" t="s">
        <v>1198</v>
      </c>
      <c r="C430" s="394">
        <v>197.5</v>
      </c>
      <c r="D430" s="385" t="s">
        <v>151</v>
      </c>
      <c r="G430" s="368" t="s">
        <v>128</v>
      </c>
      <c r="H430" s="356" t="s">
        <v>129</v>
      </c>
      <c r="I430" s="356" t="s">
        <v>114</v>
      </c>
      <c r="J430" s="356" t="s">
        <v>128</v>
      </c>
      <c r="K430" s="370">
        <v>0</v>
      </c>
      <c r="O430" s="363" t="s">
        <v>117</v>
      </c>
      <c r="T430" s="35" t="s">
        <v>128</v>
      </c>
      <c r="U430" s="35" t="s">
        <v>129</v>
      </c>
      <c r="V430" s="35" t="s">
        <v>114</v>
      </c>
      <c r="W430" s="361" t="s">
        <v>128</v>
      </c>
      <c r="X430" s="35">
        <v>0</v>
      </c>
      <c r="AD430" s="370">
        <f>AD317</f>
        <v>7.1</v>
      </c>
      <c r="AE430" s="368" t="s">
        <v>151</v>
      </c>
      <c r="AF430" s="356" t="s">
        <v>153</v>
      </c>
      <c r="AG430" s="370">
        <f t="shared" si="44"/>
        <v>781.19999999999993</v>
      </c>
      <c r="AH430" s="356" t="s">
        <v>151</v>
      </c>
      <c r="AI430" s="370">
        <f>(AD430*AG430)</f>
        <v>5546.5199999999995</v>
      </c>
    </row>
    <row r="431" spans="1:37" ht="15.75">
      <c r="A431" s="382">
        <f t="shared" si="43"/>
        <v>263</v>
      </c>
      <c r="B431" s="385" t="s">
        <v>1199</v>
      </c>
      <c r="C431" s="394">
        <v>266.3</v>
      </c>
      <c r="D431" s="385" t="s">
        <v>151</v>
      </c>
      <c r="K431" s="363" t="s">
        <v>117</v>
      </c>
      <c r="N431" s="356" t="s">
        <v>1200</v>
      </c>
      <c r="O431" s="357" t="s">
        <v>1201</v>
      </c>
      <c r="W431" s="361"/>
      <c r="X431" s="415" t="s">
        <v>1137</v>
      </c>
      <c r="Y431" s="415"/>
      <c r="AD431" s="370">
        <f>AD318</f>
        <v>21.2</v>
      </c>
      <c r="AE431" s="368" t="s">
        <v>151</v>
      </c>
      <c r="AF431" s="356" t="s">
        <v>154</v>
      </c>
      <c r="AG431" s="370">
        <f t="shared" si="44"/>
        <v>640.79999999999995</v>
      </c>
      <c r="AH431" s="356" t="s">
        <v>151</v>
      </c>
      <c r="AI431" s="370">
        <f>(AD431*AG431)</f>
        <v>13584.96</v>
      </c>
    </row>
    <row r="432" spans="1:37" ht="15.75">
      <c r="A432" s="382">
        <f t="shared" si="43"/>
        <v>264</v>
      </c>
      <c r="B432" s="479" t="s">
        <v>1202</v>
      </c>
      <c r="C432" s="478">
        <v>551</v>
      </c>
      <c r="D432" s="479" t="s">
        <v>151</v>
      </c>
      <c r="H432" s="356" t="s">
        <v>176</v>
      </c>
      <c r="K432" s="370">
        <f>SUM(K428:K430)</f>
        <v>6218.8548745199996</v>
      </c>
      <c r="O432" s="363" t="s">
        <v>117</v>
      </c>
      <c r="U432" s="35" t="s">
        <v>176</v>
      </c>
      <c r="W432" s="361"/>
      <c r="X432" s="35" t="e">
        <f>SUM(X428:X430)</f>
        <v>#VALUE!</v>
      </c>
      <c r="AD432" s="370">
        <f>AD319</f>
        <v>0</v>
      </c>
      <c r="AE432" s="368" t="s">
        <v>128</v>
      </c>
      <c r="AF432" s="356" t="s">
        <v>129</v>
      </c>
      <c r="AG432" s="356" t="s">
        <v>114</v>
      </c>
      <c r="AH432" s="356" t="s">
        <v>128</v>
      </c>
      <c r="AI432" s="370">
        <v>5</v>
      </c>
    </row>
    <row r="433" spans="1:35" ht="15.75">
      <c r="A433" s="382">
        <f t="shared" si="43"/>
        <v>265</v>
      </c>
      <c r="B433" s="385" t="s">
        <v>1203</v>
      </c>
      <c r="C433" s="396"/>
      <c r="D433" s="385" t="s">
        <v>114</v>
      </c>
      <c r="K433" s="363" t="s">
        <v>117</v>
      </c>
      <c r="M433" s="370">
        <v>8.1</v>
      </c>
      <c r="N433" s="356" t="s">
        <v>108</v>
      </c>
      <c r="O433" s="356" t="s">
        <v>1204</v>
      </c>
      <c r="P433" s="370">
        <f>(C61)*2</f>
        <v>268.91999999999996</v>
      </c>
      <c r="Q433" s="356" t="s">
        <v>108</v>
      </c>
      <c r="R433" s="370">
        <f>(M433*P433)</f>
        <v>2178.2519999999995</v>
      </c>
      <c r="W433" s="361"/>
      <c r="X433" s="415" t="s">
        <v>1137</v>
      </c>
      <c r="Y433" s="415"/>
      <c r="AD433" s="370">
        <f>AD320</f>
        <v>0</v>
      </c>
      <c r="AE433" s="358"/>
      <c r="AH433" s="360"/>
      <c r="AI433" s="363" t="s">
        <v>117</v>
      </c>
    </row>
    <row r="434" spans="1:35" ht="15.75">
      <c r="A434" s="382">
        <f t="shared" si="43"/>
        <v>266</v>
      </c>
      <c r="B434" s="385" t="s">
        <v>1205</v>
      </c>
      <c r="C434" s="402">
        <v>1.8</v>
      </c>
      <c r="D434" s="385" t="s">
        <v>151</v>
      </c>
      <c r="H434" s="356" t="s">
        <v>177</v>
      </c>
      <c r="K434" s="370">
        <f>(K432/10)</f>
        <v>621.88548745200001</v>
      </c>
      <c r="M434" s="370">
        <v>8.1</v>
      </c>
      <c r="N434" s="356" t="s">
        <v>108</v>
      </c>
      <c r="O434" s="356" t="s">
        <v>1206</v>
      </c>
      <c r="P434" s="370">
        <f>(C26)</f>
        <v>46.74</v>
      </c>
      <c r="Q434" s="356" t="s">
        <v>108</v>
      </c>
      <c r="R434" s="370">
        <f>(M434*P434)</f>
        <v>378.59399999999999</v>
      </c>
      <c r="U434" s="35" t="s">
        <v>177</v>
      </c>
      <c r="W434" s="361"/>
      <c r="X434" s="35" t="e">
        <f>X432/10</f>
        <v>#VALUE!</v>
      </c>
      <c r="AD434" s="370">
        <f>AD321</f>
        <v>0</v>
      </c>
      <c r="AE434" s="358"/>
      <c r="AF434" s="356" t="s">
        <v>143</v>
      </c>
      <c r="AH434" s="360"/>
      <c r="AI434" s="370">
        <f>SUM(AI426:AI433)</f>
        <v>72798.329507999995</v>
      </c>
    </row>
    <row r="435" spans="1:35" ht="15.75">
      <c r="A435" s="382">
        <f t="shared" si="43"/>
        <v>267</v>
      </c>
      <c r="B435" s="385" t="s">
        <v>1207</v>
      </c>
      <c r="C435" s="402">
        <v>2.9</v>
      </c>
      <c r="D435" s="385" t="s">
        <v>151</v>
      </c>
      <c r="K435" s="363" t="s">
        <v>156</v>
      </c>
      <c r="M435" s="370">
        <v>30</v>
      </c>
      <c r="N435" s="356" t="s">
        <v>110</v>
      </c>
      <c r="O435" s="356" t="s">
        <v>1208</v>
      </c>
      <c r="P435" s="370">
        <f>(C42)</f>
        <v>5</v>
      </c>
      <c r="Q435" s="356" t="s">
        <v>110</v>
      </c>
      <c r="R435" s="370">
        <f>(M435*P435)</f>
        <v>150</v>
      </c>
      <c r="W435" s="361"/>
      <c r="X435" s="415" t="s">
        <v>1141</v>
      </c>
      <c r="Y435" s="415"/>
      <c r="AE435" s="358"/>
      <c r="AH435" s="360"/>
      <c r="AI435" s="363" t="s">
        <v>117</v>
      </c>
    </row>
    <row r="436" spans="1:35" ht="15.75">
      <c r="A436" s="382">
        <f t="shared" si="43"/>
        <v>268</v>
      </c>
      <c r="B436" s="385" t="s">
        <v>1209</v>
      </c>
      <c r="C436" s="402">
        <v>4</v>
      </c>
      <c r="D436" s="385" t="s">
        <v>151</v>
      </c>
      <c r="H436" s="356" t="s">
        <v>172</v>
      </c>
      <c r="K436" s="369">
        <f>(K434+C19/10*F428)</f>
        <v>628.51308745200004</v>
      </c>
      <c r="O436" s="356" t="s">
        <v>1210</v>
      </c>
      <c r="U436" s="411" t="s">
        <v>172</v>
      </c>
      <c r="W436" s="361">
        <f>0.07*C19</f>
        <v>6.627600000000001</v>
      </c>
      <c r="X436" s="411" t="e">
        <f>X434+W436</f>
        <v>#VALUE!</v>
      </c>
      <c r="Y436" s="411"/>
      <c r="AE436" s="358"/>
      <c r="AF436" s="356" t="s">
        <v>155</v>
      </c>
      <c r="AH436" s="360"/>
      <c r="AI436" s="370">
        <f>(AI434/10)</f>
        <v>7279.8329507999997</v>
      </c>
    </row>
    <row r="437" spans="1:35" ht="15.75">
      <c r="A437" s="382">
        <f t="shared" si="43"/>
        <v>269</v>
      </c>
      <c r="B437" s="385" t="s">
        <v>1211</v>
      </c>
      <c r="C437" s="402">
        <v>6.86</v>
      </c>
      <c r="D437" s="385" t="s">
        <v>151</v>
      </c>
      <c r="H437" s="356" t="s">
        <v>873</v>
      </c>
      <c r="K437" s="369">
        <f>(K436+C20/10*F428)</f>
        <v>641.88588745200002</v>
      </c>
      <c r="O437" s="356" t="s">
        <v>1212</v>
      </c>
      <c r="U437" s="411" t="s">
        <v>873</v>
      </c>
      <c r="W437" s="361">
        <f>0.07*C20</f>
        <v>13.372800000000002</v>
      </c>
      <c r="X437" s="411" t="e">
        <f>X436+W437</f>
        <v>#VALUE!</v>
      </c>
      <c r="Y437" s="411"/>
      <c r="AE437" s="358"/>
      <c r="AH437" s="360"/>
      <c r="AI437" s="363" t="s">
        <v>156</v>
      </c>
    </row>
    <row r="438" spans="1:35" ht="15.75">
      <c r="A438" s="382">
        <f t="shared" si="43"/>
        <v>270</v>
      </c>
      <c r="B438" s="385" t="s">
        <v>1213</v>
      </c>
      <c r="C438" s="402">
        <v>9.15</v>
      </c>
      <c r="D438" s="385" t="s">
        <v>151</v>
      </c>
      <c r="H438" s="356" t="s">
        <v>876</v>
      </c>
      <c r="K438" s="369">
        <f>(K437+C21/10*F428)</f>
        <v>655.258687452</v>
      </c>
      <c r="O438" s="356" t="s">
        <v>1214</v>
      </c>
      <c r="U438" s="411" t="s">
        <v>876</v>
      </c>
      <c r="W438" s="361">
        <f>W437</f>
        <v>13.372800000000002</v>
      </c>
      <c r="X438" s="411" t="e">
        <f>X437+W438</f>
        <v>#VALUE!</v>
      </c>
      <c r="Y438" s="411"/>
      <c r="AD438" s="356" t="s">
        <v>620</v>
      </c>
      <c r="AE438" s="358"/>
      <c r="AH438" s="360"/>
    </row>
    <row r="439" spans="1:35" ht="15.75">
      <c r="A439" s="382">
        <f t="shared" si="43"/>
        <v>271</v>
      </c>
      <c r="B439" s="385" t="s">
        <v>1090</v>
      </c>
      <c r="C439" s="402">
        <v>14.59</v>
      </c>
      <c r="D439" s="385" t="s">
        <v>151</v>
      </c>
      <c r="H439" s="356" t="s">
        <v>878</v>
      </c>
      <c r="K439" s="369">
        <f>(K438+C21/10*F428)</f>
        <v>668.63148745199999</v>
      </c>
      <c r="O439" s="356" t="s">
        <v>1215</v>
      </c>
      <c r="U439" s="411" t="s">
        <v>878</v>
      </c>
      <c r="W439" s="361">
        <f>W438</f>
        <v>13.372800000000002</v>
      </c>
      <c r="X439" s="411" t="e">
        <f>X438+W439</f>
        <v>#VALUE!</v>
      </c>
      <c r="Y439" s="411"/>
      <c r="AE439" s="358"/>
      <c r="AH439" s="360"/>
    </row>
    <row r="440" spans="1:35" ht="15.75">
      <c r="A440" s="382"/>
      <c r="B440" s="385"/>
      <c r="C440" s="402"/>
      <c r="D440" s="385"/>
      <c r="H440" s="356" t="s">
        <v>963</v>
      </c>
      <c r="K440" s="369">
        <f>(K439+C20/10*F428)</f>
        <v>682.00428745199997</v>
      </c>
      <c r="O440" s="356"/>
      <c r="U440" s="411" t="s">
        <v>963</v>
      </c>
      <c r="W440" s="361">
        <f>W439</f>
        <v>13.372800000000002</v>
      </c>
      <c r="X440" s="411" t="e">
        <f>X439+W440</f>
        <v>#VALUE!</v>
      </c>
      <c r="Y440" s="411"/>
      <c r="AE440" s="368" t="s">
        <v>957</v>
      </c>
      <c r="AF440" s="356" t="s">
        <v>1216</v>
      </c>
      <c r="AH440" s="360"/>
    </row>
    <row r="441" spans="1:35" ht="15.75">
      <c r="A441" s="382">
        <f>(A439+1)</f>
        <v>272</v>
      </c>
      <c r="B441" s="385" t="s">
        <v>1202</v>
      </c>
      <c r="C441" s="402">
        <v>21.74</v>
      </c>
      <c r="D441" s="385" t="s">
        <v>151</v>
      </c>
      <c r="H441" s="357" t="s">
        <v>1217</v>
      </c>
      <c r="M441" s="370">
        <v>8</v>
      </c>
      <c r="N441" s="356" t="s">
        <v>223</v>
      </c>
      <c r="O441" s="356" t="s">
        <v>1218</v>
      </c>
      <c r="P441" s="370">
        <f>(C43)</f>
        <v>9.35</v>
      </c>
      <c r="Q441" s="356" t="s">
        <v>223</v>
      </c>
      <c r="R441" s="370">
        <f>(M441*P441)</f>
        <v>74.8</v>
      </c>
      <c r="W441" s="361"/>
      <c r="AE441" s="358"/>
      <c r="AF441" s="363" t="s">
        <v>117</v>
      </c>
      <c r="AH441" s="360"/>
    </row>
    <row r="442" spans="1:35" ht="15.75">
      <c r="A442" s="382">
        <f t="shared" si="43"/>
        <v>273</v>
      </c>
      <c r="B442" s="480" t="s">
        <v>1219</v>
      </c>
      <c r="C442" s="396"/>
      <c r="D442" s="385" t="s">
        <v>114</v>
      </c>
      <c r="H442" s="357" t="s">
        <v>1220</v>
      </c>
      <c r="M442" s="370">
        <v>8</v>
      </c>
      <c r="N442" s="356" t="s">
        <v>223</v>
      </c>
      <c r="O442" s="356" t="s">
        <v>1221</v>
      </c>
      <c r="P442" s="370">
        <f>(C50)</f>
        <v>13.35</v>
      </c>
      <c r="Q442" s="356" t="s">
        <v>223</v>
      </c>
      <c r="R442" s="370">
        <f>(M442*P442)</f>
        <v>106.8</v>
      </c>
      <c r="W442" s="361"/>
      <c r="AD442" s="370">
        <v>0.75</v>
      </c>
      <c r="AE442" s="368" t="s">
        <v>108</v>
      </c>
      <c r="AF442" s="356" t="s">
        <v>959</v>
      </c>
      <c r="AG442" s="370">
        <f>AI436</f>
        <v>7279.8329507999997</v>
      </c>
      <c r="AH442" s="356" t="s">
        <v>151</v>
      </c>
      <c r="AI442" s="370">
        <f>(AD442*AG442)</f>
        <v>5459.8747131</v>
      </c>
    </row>
    <row r="443" spans="1:35" ht="15.75">
      <c r="A443" s="382">
        <f t="shared" si="43"/>
        <v>274</v>
      </c>
      <c r="B443" s="385" t="s">
        <v>1222</v>
      </c>
      <c r="C443" s="394">
        <v>28.6</v>
      </c>
      <c r="D443" s="385" t="s">
        <v>151</v>
      </c>
      <c r="F443" s="393">
        <v>12</v>
      </c>
      <c r="G443" s="368" t="s">
        <v>122</v>
      </c>
      <c r="H443" s="356" t="s">
        <v>1223</v>
      </c>
      <c r="M443" s="370">
        <v>1</v>
      </c>
      <c r="N443" s="356" t="s">
        <v>128</v>
      </c>
      <c r="O443" s="356" t="s">
        <v>1224</v>
      </c>
      <c r="P443" s="370">
        <f>(C56)</f>
        <v>12.1</v>
      </c>
      <c r="Q443" s="356" t="s">
        <v>128</v>
      </c>
      <c r="R443" s="370">
        <f>(M443*P443)</f>
        <v>12.1</v>
      </c>
      <c r="W443" s="361"/>
      <c r="AD443" s="370">
        <v>1</v>
      </c>
      <c r="AE443" s="368" t="s">
        <v>223</v>
      </c>
      <c r="AF443" s="356" t="s">
        <v>162</v>
      </c>
      <c r="AG443" s="370">
        <f>AG428</f>
        <v>1198.8</v>
      </c>
      <c r="AH443" s="356" t="s">
        <v>151</v>
      </c>
      <c r="AI443" s="370">
        <f>(AD443*AG443)</f>
        <v>1198.8</v>
      </c>
    </row>
    <row r="444" spans="1:35" ht="15.75">
      <c r="A444" s="382">
        <f t="shared" si="43"/>
        <v>275</v>
      </c>
      <c r="B444" s="385" t="s">
        <v>1225</v>
      </c>
      <c r="C444" s="394">
        <v>34.700000000000003</v>
      </c>
      <c r="D444" s="385" t="s">
        <v>151</v>
      </c>
      <c r="H444" s="356" t="s">
        <v>880</v>
      </c>
      <c r="M444" s="370">
        <v>1</v>
      </c>
      <c r="N444" s="356" t="s">
        <v>128</v>
      </c>
      <c r="O444" s="356" t="s">
        <v>129</v>
      </c>
      <c r="Q444" s="356" t="s">
        <v>128</v>
      </c>
      <c r="R444" s="370">
        <v>0</v>
      </c>
      <c r="W444" s="361"/>
      <c r="AE444" s="368" t="s">
        <v>128</v>
      </c>
      <c r="AF444" s="356" t="s">
        <v>129</v>
      </c>
      <c r="AG444" s="356" t="s">
        <v>114</v>
      </c>
      <c r="AH444" s="356" t="s">
        <v>128</v>
      </c>
      <c r="AI444" s="370">
        <v>0</v>
      </c>
    </row>
    <row r="445" spans="1:35" ht="15.75">
      <c r="A445" s="382">
        <f t="shared" si="43"/>
        <v>276</v>
      </c>
      <c r="B445" s="385" t="s">
        <v>1226</v>
      </c>
      <c r="C445" s="394">
        <v>81.400000000000006</v>
      </c>
      <c r="D445" s="385" t="s">
        <v>151</v>
      </c>
      <c r="H445" s="363" t="s">
        <v>117</v>
      </c>
      <c r="R445" s="363" t="s">
        <v>117</v>
      </c>
      <c r="W445" s="361"/>
      <c r="AE445" s="358"/>
      <c r="AH445" s="360"/>
      <c r="AI445" s="363" t="s">
        <v>117</v>
      </c>
    </row>
    <row r="446" spans="1:35" ht="15.75">
      <c r="A446" s="382">
        <f t="shared" si="43"/>
        <v>277</v>
      </c>
      <c r="B446" s="385" t="s">
        <v>1227</v>
      </c>
      <c r="C446" s="394">
        <v>98.6</v>
      </c>
      <c r="D446" s="385" t="s">
        <v>151</v>
      </c>
      <c r="F446" s="370">
        <v>6570</v>
      </c>
      <c r="G446" s="368" t="s">
        <v>160</v>
      </c>
      <c r="H446" s="356" t="s">
        <v>1228</v>
      </c>
      <c r="I446" s="370">
        <f>(C77)</f>
        <v>4747.04</v>
      </c>
      <c r="J446" s="356" t="s">
        <v>161</v>
      </c>
      <c r="K446" s="370">
        <f>(F446*I446)/1000</f>
        <v>31188.052800000001</v>
      </c>
      <c r="O446" s="356" t="s">
        <v>1229</v>
      </c>
      <c r="R446" s="370">
        <f>SUM(R433:R444)</f>
        <v>2900.5459999999998</v>
      </c>
      <c r="W446" s="361"/>
      <c r="AE446" s="358"/>
      <c r="AF446" s="356" t="s">
        <v>176</v>
      </c>
      <c r="AH446" s="360"/>
      <c r="AI446" s="370">
        <f>SUM(AI442:AI444)</f>
        <v>6658.6747131000002</v>
      </c>
    </row>
    <row r="447" spans="1:35" ht="15.75">
      <c r="A447" s="382">
        <f t="shared" si="43"/>
        <v>278</v>
      </c>
      <c r="B447" s="385" t="s">
        <v>1230</v>
      </c>
      <c r="C447" s="394">
        <v>110.2</v>
      </c>
      <c r="D447" s="385" t="s">
        <v>151</v>
      </c>
      <c r="F447" s="370">
        <v>1.91</v>
      </c>
      <c r="G447" s="368" t="s">
        <v>108</v>
      </c>
      <c r="H447" s="356" t="s">
        <v>133</v>
      </c>
      <c r="I447" s="370">
        <f>(K40)</f>
        <v>4212.3004000000001</v>
      </c>
      <c r="J447" s="356" t="s">
        <v>108</v>
      </c>
      <c r="K447" s="370">
        <f>(F447*I447)</f>
        <v>8045.4937639999998</v>
      </c>
      <c r="R447" s="363" t="s">
        <v>117</v>
      </c>
      <c r="W447" s="361"/>
      <c r="AE447" s="358"/>
      <c r="AH447" s="360"/>
      <c r="AI447" s="363" t="s">
        <v>117</v>
      </c>
    </row>
    <row r="448" spans="1:35" ht="15.75">
      <c r="A448" s="382">
        <f t="shared" si="43"/>
        <v>279</v>
      </c>
      <c r="B448" s="385" t="s">
        <v>1231</v>
      </c>
      <c r="C448" s="394">
        <v>139.80000000000001</v>
      </c>
      <c r="D448" s="385" t="s">
        <v>151</v>
      </c>
      <c r="F448" s="370">
        <v>7</v>
      </c>
      <c r="G448" s="368" t="s">
        <v>151</v>
      </c>
      <c r="H448" s="356" t="s">
        <v>162</v>
      </c>
      <c r="I448" s="370">
        <f>(C10)</f>
        <v>1198.8</v>
      </c>
      <c r="J448" s="356" t="s">
        <v>151</v>
      </c>
      <c r="K448" s="370">
        <f>(F448*I448)</f>
        <v>8391.6</v>
      </c>
      <c r="O448" s="356" t="s">
        <v>253</v>
      </c>
      <c r="R448" s="370">
        <f>(R446/30)</f>
        <v>96.684866666666665</v>
      </c>
      <c r="W448" s="361"/>
      <c r="AE448" s="358"/>
      <c r="AF448" s="356" t="s">
        <v>177</v>
      </c>
      <c r="AH448" s="360"/>
      <c r="AI448" s="370">
        <f>(AI446/10)</f>
        <v>665.86747131000004</v>
      </c>
    </row>
    <row r="449" spans="1:38" ht="15.75">
      <c r="A449" s="382">
        <f t="shared" si="43"/>
        <v>280</v>
      </c>
      <c r="B449" s="479" t="s">
        <v>1232</v>
      </c>
      <c r="C449" s="478">
        <v>363</v>
      </c>
      <c r="D449" s="479" t="s">
        <v>151</v>
      </c>
      <c r="F449" s="370">
        <v>3.6</v>
      </c>
      <c r="G449" s="368" t="s">
        <v>151</v>
      </c>
      <c r="H449" s="356" t="s">
        <v>152</v>
      </c>
      <c r="I449" s="370">
        <f>(C11)</f>
        <v>1118.3999999999999</v>
      </c>
      <c r="J449" s="356" t="s">
        <v>151</v>
      </c>
      <c r="K449" s="370">
        <f>(F449*I449)</f>
        <v>4026.24</v>
      </c>
      <c r="R449" s="363" t="s">
        <v>117</v>
      </c>
      <c r="W449" s="361"/>
      <c r="AE449" s="358"/>
      <c r="AH449" s="360"/>
      <c r="AI449" s="363" t="s">
        <v>156</v>
      </c>
    </row>
    <row r="450" spans="1:38" ht="15.75">
      <c r="A450" s="382">
        <f t="shared" si="43"/>
        <v>281</v>
      </c>
      <c r="B450" s="480" t="s">
        <v>1233</v>
      </c>
      <c r="C450" s="396"/>
      <c r="D450" s="385" t="s">
        <v>114</v>
      </c>
      <c r="F450" s="370">
        <v>7.1</v>
      </c>
      <c r="G450" s="368" t="s">
        <v>151</v>
      </c>
      <c r="H450" s="356" t="s">
        <v>153</v>
      </c>
      <c r="I450" s="370">
        <f>(C12)</f>
        <v>781.19999999999993</v>
      </c>
      <c r="J450" s="356" t="s">
        <v>151</v>
      </c>
      <c r="K450" s="370">
        <f>(F450*I450)</f>
        <v>5546.5199999999995</v>
      </c>
      <c r="N450" s="356" t="s">
        <v>5</v>
      </c>
      <c r="O450" s="357" t="s">
        <v>1234</v>
      </c>
      <c r="W450" s="361"/>
      <c r="AE450" s="358"/>
      <c r="AF450" s="356" t="s">
        <v>172</v>
      </c>
      <c r="AH450" s="360">
        <f>C19*0.075</f>
        <v>7.101</v>
      </c>
      <c r="AI450" s="369">
        <f>AI448+AH450</f>
        <v>672.96847131000004</v>
      </c>
    </row>
    <row r="451" spans="1:38" ht="15.75">
      <c r="A451" s="382">
        <f t="shared" si="43"/>
        <v>282</v>
      </c>
      <c r="B451" s="385" t="s">
        <v>1235</v>
      </c>
      <c r="C451" s="394">
        <v>23.2</v>
      </c>
      <c r="D451" s="385" t="s">
        <v>151</v>
      </c>
      <c r="F451" s="370">
        <v>14.1</v>
      </c>
      <c r="G451" s="368" t="s">
        <v>151</v>
      </c>
      <c r="H451" s="356" t="s">
        <v>154</v>
      </c>
      <c r="I451" s="370">
        <f>(C13)</f>
        <v>640.79999999999995</v>
      </c>
      <c r="J451" s="356" t="s">
        <v>151</v>
      </c>
      <c r="K451" s="370">
        <f>(F451*I451)</f>
        <v>9035.2799999999988</v>
      </c>
      <c r="O451" s="363" t="s">
        <v>117</v>
      </c>
      <c r="W451" s="361"/>
      <c r="AE451" s="358"/>
      <c r="AF451" s="356" t="s">
        <v>873</v>
      </c>
      <c r="AH451" s="360">
        <f>C20*0.075</f>
        <v>14.327999999999999</v>
      </c>
      <c r="AI451" s="369">
        <f t="shared" ref="AI451:AI460" si="45">AI450+AH451</f>
        <v>687.29647131000002</v>
      </c>
    </row>
    <row r="452" spans="1:38" ht="15.75">
      <c r="A452" s="382">
        <f t="shared" si="43"/>
        <v>283</v>
      </c>
      <c r="B452" s="385" t="s">
        <v>1236</v>
      </c>
      <c r="C452" s="394">
        <v>34.700000000000003</v>
      </c>
      <c r="D452" s="385" t="s">
        <v>151</v>
      </c>
      <c r="G452" s="368" t="s">
        <v>128</v>
      </c>
      <c r="H452" s="356" t="s">
        <v>129</v>
      </c>
      <c r="I452" s="356" t="s">
        <v>114</v>
      </c>
      <c r="J452" s="356" t="s">
        <v>128</v>
      </c>
      <c r="K452" s="370">
        <v>0</v>
      </c>
      <c r="M452" s="370">
        <v>8.1</v>
      </c>
      <c r="N452" s="356" t="s">
        <v>108</v>
      </c>
      <c r="O452" s="356" t="s">
        <v>1204</v>
      </c>
      <c r="P452" s="370">
        <f>(C61)*2</f>
        <v>268.91999999999996</v>
      </c>
      <c r="Q452" s="356" t="s">
        <v>108</v>
      </c>
      <c r="R452" s="370">
        <f>(M452*P452)</f>
        <v>2178.2519999999995</v>
      </c>
      <c r="W452" s="361"/>
      <c r="AE452" s="358"/>
      <c r="AF452" s="356" t="s">
        <v>876</v>
      </c>
      <c r="AH452" s="360">
        <f>C21*0.075</f>
        <v>14.327999999999999</v>
      </c>
      <c r="AI452" s="369">
        <f t="shared" si="45"/>
        <v>701.62447130999999</v>
      </c>
    </row>
    <row r="453" spans="1:38" ht="15.75">
      <c r="A453" s="382">
        <f t="shared" si="43"/>
        <v>284</v>
      </c>
      <c r="B453" s="385" t="s">
        <v>1237</v>
      </c>
      <c r="C453" s="394">
        <v>43.7</v>
      </c>
      <c r="D453" s="385" t="s">
        <v>151</v>
      </c>
      <c r="K453" s="363" t="s">
        <v>117</v>
      </c>
      <c r="M453" s="370">
        <v>8.1</v>
      </c>
      <c r="N453" s="356" t="s">
        <v>108</v>
      </c>
      <c r="O453" s="356" t="s">
        <v>1206</v>
      </c>
      <c r="P453" s="370">
        <f>(C26)</f>
        <v>46.74</v>
      </c>
      <c r="Q453" s="356" t="s">
        <v>108</v>
      </c>
      <c r="R453" s="370">
        <f>(M453*P453)</f>
        <v>378.59399999999999</v>
      </c>
      <c r="W453" s="361"/>
      <c r="AE453" s="358"/>
      <c r="AF453" s="356" t="s">
        <v>878</v>
      </c>
      <c r="AH453" s="360">
        <f t="shared" ref="AH453:AH460" si="46">AH452</f>
        <v>14.327999999999999</v>
      </c>
      <c r="AI453" s="369">
        <f t="shared" si="45"/>
        <v>715.95247130999996</v>
      </c>
    </row>
    <row r="454" spans="1:38" ht="15.75">
      <c r="A454" s="382">
        <f t="shared" si="43"/>
        <v>285</v>
      </c>
      <c r="B454" s="385" t="s">
        <v>1238</v>
      </c>
      <c r="C454" s="394">
        <v>58.1</v>
      </c>
      <c r="D454" s="385" t="s">
        <v>151</v>
      </c>
      <c r="H454" s="356" t="s">
        <v>143</v>
      </c>
      <c r="K454" s="370">
        <f>SUM(K446:K452)</f>
        <v>66233.186564000003</v>
      </c>
      <c r="M454" s="370">
        <v>30</v>
      </c>
      <c r="N454" s="356" t="s">
        <v>110</v>
      </c>
      <c r="O454" s="356" t="s">
        <v>1208</v>
      </c>
      <c r="P454" s="370">
        <f>(C42)</f>
        <v>5</v>
      </c>
      <c r="Q454" s="356" t="s">
        <v>110</v>
      </c>
      <c r="R454" s="370">
        <f>(M454*P454)</f>
        <v>150</v>
      </c>
      <c r="W454" s="361"/>
      <c r="AE454" s="358"/>
      <c r="AF454" s="356" t="s">
        <v>963</v>
      </c>
      <c r="AH454" s="360">
        <f t="shared" si="46"/>
        <v>14.327999999999999</v>
      </c>
      <c r="AI454" s="369">
        <f t="shared" si="45"/>
        <v>730.28047130999994</v>
      </c>
      <c r="AL454" s="35">
        <f>40.81*0.075</f>
        <v>3.0607500000000001</v>
      </c>
    </row>
    <row r="455" spans="1:38" ht="15.75">
      <c r="A455" s="382">
        <f t="shared" si="43"/>
        <v>286</v>
      </c>
      <c r="B455" s="385" t="s">
        <v>1239</v>
      </c>
      <c r="C455" s="394">
        <v>69.8</v>
      </c>
      <c r="D455" s="385" t="s">
        <v>151</v>
      </c>
      <c r="K455" s="363" t="s">
        <v>117</v>
      </c>
      <c r="O455" s="356" t="s">
        <v>1210</v>
      </c>
      <c r="W455" s="361"/>
      <c r="AF455" s="356" t="s">
        <v>1163</v>
      </c>
      <c r="AG455" s="395">
        <f t="shared" ref="AG455:AG460" si="47">AI455</f>
        <v>744.60847130999991</v>
      </c>
      <c r="AH455" s="360">
        <f t="shared" si="46"/>
        <v>14.327999999999999</v>
      </c>
      <c r="AI455" s="369">
        <f t="shared" si="45"/>
        <v>744.60847130999991</v>
      </c>
    </row>
    <row r="456" spans="1:38" ht="15.75">
      <c r="A456" s="382">
        <f t="shared" si="43"/>
        <v>287</v>
      </c>
      <c r="B456" s="385" t="s">
        <v>1240</v>
      </c>
      <c r="C456" s="394">
        <v>87</v>
      </c>
      <c r="D456" s="385" t="s">
        <v>151</v>
      </c>
      <c r="H456" s="356" t="s">
        <v>155</v>
      </c>
      <c r="K456" s="370">
        <f>(K454/10)</f>
        <v>6623.3186564000007</v>
      </c>
      <c r="O456" s="356" t="s">
        <v>1212</v>
      </c>
      <c r="W456" s="361"/>
      <c r="AF456" s="356" t="s">
        <v>1165</v>
      </c>
      <c r="AG456" s="395">
        <f t="shared" si="47"/>
        <v>758.93647130999989</v>
      </c>
      <c r="AH456" s="360">
        <f t="shared" si="46"/>
        <v>14.327999999999999</v>
      </c>
      <c r="AI456" s="369">
        <f t="shared" si="45"/>
        <v>758.93647130999989</v>
      </c>
    </row>
    <row r="457" spans="1:38" ht="15.75">
      <c r="A457" s="382">
        <f t="shared" si="43"/>
        <v>288</v>
      </c>
      <c r="B457" s="479" t="s">
        <v>1232</v>
      </c>
      <c r="C457" s="478">
        <v>18.600000000000001</v>
      </c>
      <c r="D457" s="479" t="s">
        <v>151</v>
      </c>
      <c r="K457" s="363" t="s">
        <v>156</v>
      </c>
      <c r="O457" s="356" t="s">
        <v>1214</v>
      </c>
      <c r="W457" s="361"/>
      <c r="AF457" s="356" t="s">
        <v>1181</v>
      </c>
      <c r="AG457" s="395">
        <f t="shared" si="47"/>
        <v>773.26447130999986</v>
      </c>
      <c r="AH457" s="360">
        <f t="shared" si="46"/>
        <v>14.327999999999999</v>
      </c>
      <c r="AI457" s="369">
        <f t="shared" si="45"/>
        <v>773.26447130999986</v>
      </c>
    </row>
    <row r="458" spans="1:38" ht="15.75">
      <c r="A458" s="382">
        <f t="shared" si="43"/>
        <v>289</v>
      </c>
      <c r="B458" s="385" t="s">
        <v>1241</v>
      </c>
      <c r="C458" s="396"/>
      <c r="D458" s="385" t="s">
        <v>114</v>
      </c>
      <c r="O458" s="356" t="s">
        <v>1215</v>
      </c>
      <c r="W458" s="361"/>
      <c r="AF458" s="356" t="s">
        <v>1183</v>
      </c>
      <c r="AG458" s="395">
        <f t="shared" si="47"/>
        <v>787.59247130999984</v>
      </c>
      <c r="AH458" s="360">
        <f t="shared" si="46"/>
        <v>14.327999999999999</v>
      </c>
      <c r="AI458" s="369">
        <f t="shared" si="45"/>
        <v>787.59247130999984</v>
      </c>
    </row>
    <row r="459" spans="1:38" ht="15.75">
      <c r="A459" s="382">
        <f t="shared" si="43"/>
        <v>290</v>
      </c>
      <c r="B459" s="385" t="s">
        <v>1205</v>
      </c>
      <c r="C459" s="481">
        <v>355.95</v>
      </c>
      <c r="D459" s="385" t="s">
        <v>151</v>
      </c>
      <c r="G459" s="368" t="s">
        <v>122</v>
      </c>
      <c r="H459" s="356" t="s">
        <v>1242</v>
      </c>
      <c r="M459" s="370">
        <v>8</v>
      </c>
      <c r="N459" s="356" t="s">
        <v>223</v>
      </c>
      <c r="O459" s="356" t="s">
        <v>1218</v>
      </c>
      <c r="P459" s="370">
        <f>(C44)</f>
        <v>9.35</v>
      </c>
      <c r="Q459" s="356" t="s">
        <v>223</v>
      </c>
      <c r="R459" s="370">
        <f>(M459*P459)</f>
        <v>74.8</v>
      </c>
      <c r="W459" s="361"/>
      <c r="AF459" s="356" t="s">
        <v>1185</v>
      </c>
      <c r="AG459" s="395">
        <f t="shared" si="47"/>
        <v>801.92047130999981</v>
      </c>
      <c r="AH459" s="360">
        <f t="shared" si="46"/>
        <v>14.327999999999999</v>
      </c>
      <c r="AI459" s="369">
        <f t="shared" si="45"/>
        <v>801.92047130999981</v>
      </c>
    </row>
    <row r="460" spans="1:38" ht="15.75">
      <c r="A460" s="382">
        <f t="shared" si="43"/>
        <v>291</v>
      </c>
      <c r="B460" s="385" t="s">
        <v>1207</v>
      </c>
      <c r="C460" s="481">
        <v>536.54999999999995</v>
      </c>
      <c r="D460" s="385" t="s">
        <v>151</v>
      </c>
      <c r="H460" s="363" t="s">
        <v>117</v>
      </c>
      <c r="M460" s="370">
        <v>8</v>
      </c>
      <c r="N460" s="356" t="s">
        <v>223</v>
      </c>
      <c r="O460" s="356" t="s">
        <v>1221</v>
      </c>
      <c r="P460" s="370">
        <f>(C51)</f>
        <v>13.5</v>
      </c>
      <c r="Q460" s="356" t="s">
        <v>223</v>
      </c>
      <c r="R460" s="370">
        <f>(M460*P460)</f>
        <v>108</v>
      </c>
      <c r="W460" s="361"/>
      <c r="AG460" s="395">
        <f t="shared" si="47"/>
        <v>816.24847130999979</v>
      </c>
      <c r="AH460" s="360">
        <f t="shared" si="46"/>
        <v>14.327999999999999</v>
      </c>
      <c r="AI460" s="369">
        <f t="shared" si="45"/>
        <v>816.24847130999979</v>
      </c>
    </row>
    <row r="461" spans="1:38" ht="24.75">
      <c r="A461" s="382">
        <f t="shared" si="43"/>
        <v>292</v>
      </c>
      <c r="B461" s="385" t="s">
        <v>1209</v>
      </c>
      <c r="C461" s="482">
        <v>789.6</v>
      </c>
      <c r="D461" s="385" t="s">
        <v>114</v>
      </c>
      <c r="F461" s="370">
        <v>0.5</v>
      </c>
      <c r="G461" s="368" t="s">
        <v>108</v>
      </c>
      <c r="H461" s="356" t="s">
        <v>959</v>
      </c>
      <c r="I461" s="370">
        <f>(K456)</f>
        <v>6623.3186564000007</v>
      </c>
      <c r="J461" s="356" t="s">
        <v>151</v>
      </c>
      <c r="K461" s="370">
        <f>(F461*I461)</f>
        <v>3311.6593282000003</v>
      </c>
      <c r="M461" s="370">
        <v>1</v>
      </c>
      <c r="N461" s="356" t="s">
        <v>128</v>
      </c>
      <c r="O461" s="356" t="s">
        <v>1224</v>
      </c>
      <c r="P461" s="370">
        <f>(C56)</f>
        <v>12.1</v>
      </c>
      <c r="Q461" s="356" t="s">
        <v>128</v>
      </c>
      <c r="R461" s="370">
        <f>(M461*P461)</f>
        <v>12.1</v>
      </c>
      <c r="U461" s="483" t="s">
        <v>1243</v>
      </c>
      <c r="W461" s="361"/>
      <c r="Z461" s="36"/>
      <c r="AC461" s="483" t="s">
        <v>1244</v>
      </c>
      <c r="AG461" s="395">
        <f>AI461</f>
        <v>830.57647130999976</v>
      </c>
      <c r="AH461" s="360">
        <f>AH460</f>
        <v>14.327999999999999</v>
      </c>
      <c r="AI461" s="369">
        <f>AI460+AH461</f>
        <v>830.57647130999976</v>
      </c>
    </row>
    <row r="462" spans="1:38" ht="15.75">
      <c r="A462" s="382">
        <f t="shared" si="43"/>
        <v>293</v>
      </c>
      <c r="B462" s="385" t="s">
        <v>1245</v>
      </c>
      <c r="C462" s="381">
        <f>AG49</f>
        <v>5.04</v>
      </c>
      <c r="D462" s="385" t="s">
        <v>151</v>
      </c>
      <c r="F462" s="370">
        <v>1</v>
      </c>
      <c r="G462" s="368" t="s">
        <v>223</v>
      </c>
      <c r="H462" s="356" t="s">
        <v>162</v>
      </c>
      <c r="I462" s="370">
        <f>(C10)</f>
        <v>1198.8</v>
      </c>
      <c r="J462" s="356" t="s">
        <v>151</v>
      </c>
      <c r="K462" s="370">
        <f>(F462*I462)</f>
        <v>1198.8</v>
      </c>
      <c r="M462" s="370">
        <v>1</v>
      </c>
      <c r="N462" s="356" t="s">
        <v>128</v>
      </c>
      <c r="O462" s="356" t="s">
        <v>129</v>
      </c>
      <c r="Q462" s="356" t="s">
        <v>128</v>
      </c>
      <c r="R462" s="370">
        <v>0</v>
      </c>
      <c r="S462" s="357" t="s">
        <v>1246</v>
      </c>
      <c r="T462" s="368" t="s">
        <v>122</v>
      </c>
      <c r="U462" s="356" t="s">
        <v>1247</v>
      </c>
      <c r="W462" s="361"/>
      <c r="Z462" s="357" t="s">
        <v>1246</v>
      </c>
      <c r="AA462" s="368" t="s">
        <v>122</v>
      </c>
      <c r="AB462" s="368"/>
      <c r="AC462" s="356" t="s">
        <v>1247</v>
      </c>
      <c r="AE462" s="360"/>
      <c r="AG462" s="395">
        <f>AI462</f>
        <v>844.90447130999974</v>
      </c>
      <c r="AH462" s="360">
        <f>AH461</f>
        <v>14.327999999999999</v>
      </c>
      <c r="AI462" s="369">
        <f>AI461+AH462</f>
        <v>844.90447130999974</v>
      </c>
    </row>
    <row r="463" spans="1:38" ht="15.75">
      <c r="A463" s="382">
        <f t="shared" si="43"/>
        <v>294</v>
      </c>
      <c r="B463" s="385" t="s">
        <v>1248</v>
      </c>
      <c r="C463" s="381">
        <f>AG50</f>
        <v>6.3</v>
      </c>
      <c r="D463" s="385" t="s">
        <v>151</v>
      </c>
      <c r="G463" s="368" t="s">
        <v>128</v>
      </c>
      <c r="H463" s="356" t="s">
        <v>129</v>
      </c>
      <c r="I463" s="356" t="s">
        <v>114</v>
      </c>
      <c r="J463" s="356" t="s">
        <v>128</v>
      </c>
      <c r="K463" s="370">
        <v>0</v>
      </c>
      <c r="R463" s="363" t="s">
        <v>117</v>
      </c>
      <c r="S463" s="35"/>
      <c r="T463" s="358"/>
      <c r="U463" s="356" t="s">
        <v>1249</v>
      </c>
      <c r="W463" s="361"/>
      <c r="AA463" s="358"/>
      <c r="AB463" s="358"/>
      <c r="AC463" s="356" t="s">
        <v>1249</v>
      </c>
      <c r="AE463" s="360"/>
      <c r="AG463" s="395">
        <f t="shared" ref="AG463:AG526" si="48">AI463</f>
        <v>859.23247130999971</v>
      </c>
      <c r="AH463" s="360">
        <f>AH462</f>
        <v>14.327999999999999</v>
      </c>
      <c r="AI463" s="369">
        <f>AI462+AH463</f>
        <v>859.23247130999971</v>
      </c>
    </row>
    <row r="464" spans="1:38" ht="15.75">
      <c r="A464" s="382">
        <f t="shared" si="43"/>
        <v>295</v>
      </c>
      <c r="B464" s="385" t="s">
        <v>1250</v>
      </c>
      <c r="C464" s="466">
        <v>350</v>
      </c>
      <c r="D464" s="466">
        <v>375</v>
      </c>
      <c r="K464" s="363" t="s">
        <v>117</v>
      </c>
      <c r="O464" s="356" t="s">
        <v>1229</v>
      </c>
      <c r="R464" s="370">
        <f>SUM(R452:R462)</f>
        <v>2901.7459999999996</v>
      </c>
      <c r="S464" s="35"/>
      <c r="T464" s="358"/>
      <c r="U464" s="356" t="s">
        <v>1251</v>
      </c>
      <c r="W464" s="361"/>
      <c r="AA464" s="358"/>
      <c r="AB464" s="358"/>
      <c r="AC464" s="356" t="s">
        <v>1251</v>
      </c>
      <c r="AE464" s="360"/>
      <c r="AG464" s="395">
        <f t="shared" si="48"/>
        <v>873.56047130999968</v>
      </c>
      <c r="AH464" s="360">
        <f>AH463</f>
        <v>14.327999999999999</v>
      </c>
      <c r="AI464" s="369">
        <f>AI463+AH464</f>
        <v>873.56047130999968</v>
      </c>
    </row>
    <row r="465" spans="1:35" ht="15.75">
      <c r="A465" s="382">
        <f t="shared" si="43"/>
        <v>296</v>
      </c>
      <c r="B465" s="385" t="s">
        <v>1252</v>
      </c>
      <c r="C465" s="466">
        <v>400</v>
      </c>
      <c r="D465" s="466">
        <v>425</v>
      </c>
      <c r="H465" s="356" t="s">
        <v>176</v>
      </c>
      <c r="K465" s="370">
        <f>SUM(K461:K463)</f>
        <v>4510.4593282000005</v>
      </c>
      <c r="R465" s="363" t="s">
        <v>117</v>
      </c>
      <c r="S465" s="35"/>
      <c r="T465" s="358"/>
      <c r="U465" s="363" t="s">
        <v>117</v>
      </c>
      <c r="W465" s="361"/>
      <c r="AA465" s="358"/>
      <c r="AB465" s="358"/>
      <c r="AC465" s="363" t="s">
        <v>117</v>
      </c>
      <c r="AE465" s="360"/>
      <c r="AG465" s="395">
        <f t="shared" si="48"/>
        <v>887.88847130999966</v>
      </c>
      <c r="AH465" s="360">
        <f>AH464</f>
        <v>14.327999999999999</v>
      </c>
      <c r="AI465" s="369">
        <f>AI464+AH465</f>
        <v>887.88847130999966</v>
      </c>
    </row>
    <row r="466" spans="1:35" ht="45">
      <c r="A466" s="382">
        <f t="shared" si="43"/>
        <v>297</v>
      </c>
      <c r="B466" s="385" t="s">
        <v>1253</v>
      </c>
      <c r="C466" s="466">
        <v>450</v>
      </c>
      <c r="D466" s="466">
        <v>500</v>
      </c>
      <c r="K466" s="363" t="s">
        <v>117</v>
      </c>
      <c r="O466" s="356" t="s">
        <v>253</v>
      </c>
      <c r="R466" s="370">
        <f>(R464/30)</f>
        <v>96.724866666666657</v>
      </c>
      <c r="S466" s="370">
        <v>0.01</v>
      </c>
      <c r="T466" s="368" t="s">
        <v>108</v>
      </c>
      <c r="U466" s="440" t="s">
        <v>1254</v>
      </c>
      <c r="V466" s="370">
        <f>AA720</f>
        <v>8825.0046658500014</v>
      </c>
      <c r="W466" s="357" t="s">
        <v>108</v>
      </c>
      <c r="X466" s="370">
        <f>(S466*V466)</f>
        <v>88.250046658500011</v>
      </c>
      <c r="Y466" s="370"/>
      <c r="Z466" s="370">
        <v>0.01</v>
      </c>
      <c r="AA466" s="368" t="s">
        <v>108</v>
      </c>
      <c r="AB466" s="368"/>
      <c r="AC466" s="440" t="s">
        <v>1255</v>
      </c>
      <c r="AD466" s="370">
        <f>Z690</f>
        <v>9394.3075183500005</v>
      </c>
      <c r="AE466" s="356" t="s">
        <v>108</v>
      </c>
      <c r="AF466" s="370">
        <f>(Z466*AD466)</f>
        <v>93.9430751835</v>
      </c>
      <c r="AG466" s="395" t="str">
        <f t="shared" si="48"/>
        <v>|</v>
      </c>
      <c r="AI466" s="356" t="s">
        <v>1256</v>
      </c>
    </row>
    <row r="467" spans="1:35" ht="15.75">
      <c r="A467" s="382">
        <f t="shared" si="43"/>
        <v>298</v>
      </c>
      <c r="B467" s="385" t="s">
        <v>1257</v>
      </c>
      <c r="C467" s="466">
        <v>77.819999999999993</v>
      </c>
      <c r="D467" s="385" t="s">
        <v>151</v>
      </c>
      <c r="H467" s="356" t="s">
        <v>177</v>
      </c>
      <c r="K467" s="370">
        <f>(K465/10)</f>
        <v>451.04593282000008</v>
      </c>
      <c r="R467" s="363" t="s">
        <v>117</v>
      </c>
      <c r="S467" s="370">
        <v>0.01</v>
      </c>
      <c r="T467" s="368" t="s">
        <v>108</v>
      </c>
      <c r="U467" s="356" t="s">
        <v>1258</v>
      </c>
      <c r="V467" s="370"/>
      <c r="W467" s="357" t="s">
        <v>128</v>
      </c>
      <c r="X467" s="370">
        <v>1.1499999999999999</v>
      </c>
      <c r="Y467" s="370"/>
      <c r="Z467" s="370">
        <v>0.01</v>
      </c>
      <c r="AA467" s="368" t="s">
        <v>108</v>
      </c>
      <c r="AB467" s="368"/>
      <c r="AC467" s="356" t="s">
        <v>1258</v>
      </c>
      <c r="AD467" s="370"/>
      <c r="AE467" s="356" t="s">
        <v>128</v>
      </c>
      <c r="AF467" s="370">
        <v>1.1499999999999999</v>
      </c>
      <c r="AG467" s="395" t="str">
        <f t="shared" si="48"/>
        <v>|</v>
      </c>
      <c r="AI467" s="356" t="s">
        <v>1256</v>
      </c>
    </row>
    <row r="468" spans="1:35" ht="15.75">
      <c r="A468" s="382">
        <f t="shared" si="43"/>
        <v>299</v>
      </c>
      <c r="B468" s="385" t="s">
        <v>1259</v>
      </c>
      <c r="C468" s="466">
        <v>99.74</v>
      </c>
      <c r="D468" s="385" t="s">
        <v>151</v>
      </c>
      <c r="K468" s="363" t="s">
        <v>156</v>
      </c>
      <c r="N468" s="356" t="s">
        <v>1260</v>
      </c>
      <c r="O468" s="357" t="s">
        <v>1261</v>
      </c>
      <c r="S468" s="35"/>
      <c r="T468" s="358"/>
      <c r="U468" s="356" t="s">
        <v>1262</v>
      </c>
      <c r="V468" s="370"/>
      <c r="W468" s="361"/>
      <c r="AA468" s="358"/>
      <c r="AB468" s="358"/>
      <c r="AC468" s="356" t="s">
        <v>1262</v>
      </c>
      <c r="AD468" s="370"/>
      <c r="AE468" s="360"/>
      <c r="AG468" s="395" t="str">
        <f t="shared" si="48"/>
        <v>|</v>
      </c>
      <c r="AI468" s="356" t="s">
        <v>1256</v>
      </c>
    </row>
    <row r="469" spans="1:35" ht="15.75">
      <c r="A469" s="382">
        <f t="shared" si="43"/>
        <v>300</v>
      </c>
      <c r="B469" s="385" t="s">
        <v>1209</v>
      </c>
      <c r="C469" s="466">
        <v>165</v>
      </c>
      <c r="D469" s="385" t="s">
        <v>151</v>
      </c>
      <c r="H469" s="356" t="s">
        <v>172</v>
      </c>
      <c r="K469" s="369">
        <f>(K467+C19/10*F461)</f>
        <v>455.77993282000006</v>
      </c>
      <c r="O469" s="363" t="s">
        <v>117</v>
      </c>
      <c r="S469" s="35"/>
      <c r="T469" s="358"/>
      <c r="V469" s="370"/>
      <c r="W469" s="361"/>
      <c r="X469" s="363" t="s">
        <v>117</v>
      </c>
      <c r="Y469" s="363"/>
      <c r="AA469" s="358"/>
      <c r="AB469" s="358"/>
      <c r="AD469" s="370"/>
      <c r="AE469" s="360"/>
      <c r="AF469" s="363" t="s">
        <v>117</v>
      </c>
      <c r="AG469" s="395" t="str">
        <f t="shared" si="48"/>
        <v>|</v>
      </c>
      <c r="AI469" s="356" t="s">
        <v>1256</v>
      </c>
    </row>
    <row r="470" spans="1:35" ht="15.75">
      <c r="A470" s="382">
        <f t="shared" si="43"/>
        <v>301</v>
      </c>
      <c r="B470" s="385" t="s">
        <v>1211</v>
      </c>
      <c r="C470" s="466">
        <v>258</v>
      </c>
      <c r="D470" s="385" t="s">
        <v>151</v>
      </c>
      <c r="H470" s="356" t="s">
        <v>873</v>
      </c>
      <c r="K470" s="369">
        <f>(K469+C20/10*F461)</f>
        <v>465.33193282000008</v>
      </c>
      <c r="M470" s="370">
        <v>8.1</v>
      </c>
      <c r="N470" s="356" t="s">
        <v>108</v>
      </c>
      <c r="O470" s="356" t="s">
        <v>1204</v>
      </c>
      <c r="P470" s="370">
        <f>(C61)*2</f>
        <v>268.91999999999996</v>
      </c>
      <c r="Q470" s="356" t="s">
        <v>108</v>
      </c>
      <c r="R470" s="370">
        <f>(M470*P470)</f>
        <v>2178.2519999999995</v>
      </c>
      <c r="S470" s="35"/>
      <c r="T470" s="358"/>
      <c r="U470" s="356" t="s">
        <v>1263</v>
      </c>
      <c r="V470" s="370"/>
      <c r="W470" s="361"/>
      <c r="X470" s="370">
        <f>SUM(X466:X468)</f>
        <v>89.400046658500017</v>
      </c>
      <c r="Y470" s="370"/>
      <c r="AA470" s="358"/>
      <c r="AB470" s="358"/>
      <c r="AC470" s="356" t="s">
        <v>1263</v>
      </c>
      <c r="AD470" s="370"/>
      <c r="AE470" s="360"/>
      <c r="AF470" s="370">
        <f>SUM(AF466:AF468)</f>
        <v>95.093075183500005</v>
      </c>
      <c r="AG470" s="395" t="str">
        <f t="shared" si="48"/>
        <v>|</v>
      </c>
      <c r="AI470" s="356" t="s">
        <v>1256</v>
      </c>
    </row>
    <row r="471" spans="1:35" ht="15.75">
      <c r="A471" s="382">
        <f t="shared" si="43"/>
        <v>302</v>
      </c>
      <c r="B471" s="385" t="s">
        <v>1213</v>
      </c>
      <c r="C471" s="466">
        <v>298</v>
      </c>
      <c r="D471" s="385" t="s">
        <v>151</v>
      </c>
      <c r="H471" s="356" t="s">
        <v>876</v>
      </c>
      <c r="K471" s="369">
        <f>(K470+C21/10*F461)</f>
        <v>474.8839328200001</v>
      </c>
      <c r="M471" s="370">
        <v>8.1</v>
      </c>
      <c r="N471" s="356" t="s">
        <v>108</v>
      </c>
      <c r="O471" s="356" t="s">
        <v>1206</v>
      </c>
      <c r="P471" s="370">
        <f>(C26)</f>
        <v>46.74</v>
      </c>
      <c r="Q471" s="356" t="s">
        <v>108</v>
      </c>
      <c r="R471" s="370">
        <f>(M471*P471)</f>
        <v>378.59399999999999</v>
      </c>
      <c r="S471" s="35"/>
      <c r="T471" s="358"/>
      <c r="V471" s="370"/>
      <c r="W471" s="361"/>
      <c r="X471" s="363" t="s">
        <v>117</v>
      </c>
      <c r="Y471" s="363"/>
      <c r="AA471" s="358"/>
      <c r="AB471" s="358"/>
      <c r="AD471" s="370"/>
      <c r="AE471" s="360"/>
      <c r="AF471" s="363" t="s">
        <v>117</v>
      </c>
      <c r="AG471" s="395" t="str">
        <f t="shared" si="48"/>
        <v>|</v>
      </c>
      <c r="AI471" s="356" t="s">
        <v>1256</v>
      </c>
    </row>
    <row r="472" spans="1:35" ht="15.75">
      <c r="A472" s="382">
        <f t="shared" si="43"/>
        <v>303</v>
      </c>
      <c r="B472" s="385" t="s">
        <v>1090</v>
      </c>
      <c r="C472" s="466">
        <v>398</v>
      </c>
      <c r="D472" s="385" t="s">
        <v>151</v>
      </c>
      <c r="H472" s="356" t="s">
        <v>878</v>
      </c>
      <c r="K472" s="369">
        <f>(K471+C21/10*F461)</f>
        <v>484.43593282000012</v>
      </c>
      <c r="L472" s="35">
        <f t="shared" ref="L472:L478" si="49">K472-K471</f>
        <v>9.5520000000000209</v>
      </c>
      <c r="M472" s="370">
        <v>30</v>
      </c>
      <c r="N472" s="356" t="s">
        <v>110</v>
      </c>
      <c r="O472" s="356" t="s">
        <v>1208</v>
      </c>
      <c r="P472" s="370">
        <f>(C42)</f>
        <v>5</v>
      </c>
      <c r="Q472" s="356" t="s">
        <v>110</v>
      </c>
      <c r="R472" s="370">
        <f>(M472*P472)</f>
        <v>150</v>
      </c>
      <c r="S472" s="35"/>
      <c r="T472" s="358"/>
      <c r="U472" s="356" t="s">
        <v>155</v>
      </c>
      <c r="V472" s="370"/>
      <c r="W472" s="361"/>
      <c r="X472" s="370">
        <f>ROUND(X470*100,0)</f>
        <v>8940</v>
      </c>
      <c r="Y472" s="370"/>
      <c r="AA472" s="358"/>
      <c r="AB472" s="358"/>
      <c r="AC472" s="356" t="s">
        <v>155</v>
      </c>
      <c r="AD472" s="370"/>
      <c r="AE472" s="360"/>
      <c r="AF472" s="370">
        <f>ROUND(AF470*100,0)</f>
        <v>9509</v>
      </c>
      <c r="AG472" s="395" t="str">
        <f t="shared" si="48"/>
        <v>|</v>
      </c>
      <c r="AI472" s="356" t="s">
        <v>1256</v>
      </c>
    </row>
    <row r="473" spans="1:35" ht="15.75">
      <c r="A473" s="382">
        <f t="shared" si="43"/>
        <v>304</v>
      </c>
      <c r="B473" s="385" t="s">
        <v>1202</v>
      </c>
      <c r="C473" s="435"/>
      <c r="D473" s="385" t="s">
        <v>151</v>
      </c>
      <c r="H473" s="356" t="s">
        <v>951</v>
      </c>
      <c r="K473" s="369">
        <f>(K472+C21/10*F461)</f>
        <v>493.98793282000014</v>
      </c>
      <c r="L473" s="35">
        <f t="shared" si="49"/>
        <v>9.5520000000000209</v>
      </c>
      <c r="O473" s="356" t="s">
        <v>1210</v>
      </c>
      <c r="S473" s="356" t="s">
        <v>114</v>
      </c>
      <c r="T473" s="358"/>
      <c r="V473" s="370"/>
      <c r="W473" s="361"/>
      <c r="Z473" s="356" t="s">
        <v>114</v>
      </c>
      <c r="AA473" s="358"/>
      <c r="AB473" s="358"/>
      <c r="AD473" s="370"/>
      <c r="AE473" s="360"/>
      <c r="AG473" s="395" t="str">
        <f t="shared" si="48"/>
        <v>|</v>
      </c>
      <c r="AI473" s="356" t="s">
        <v>1256</v>
      </c>
    </row>
    <row r="474" spans="1:35" ht="15.75">
      <c r="A474" s="382"/>
      <c r="B474" s="385"/>
      <c r="C474" s="396"/>
      <c r="D474" s="385"/>
      <c r="H474" s="356">
        <v>5</v>
      </c>
      <c r="K474" s="369">
        <f>(K473+C21/10*F461)</f>
        <v>503.53993282000016</v>
      </c>
      <c r="L474" s="35">
        <f t="shared" si="49"/>
        <v>9.5520000000000209</v>
      </c>
      <c r="O474" s="356"/>
      <c r="S474" s="35"/>
      <c r="T474" s="358"/>
      <c r="V474" s="370"/>
      <c r="W474" s="361"/>
      <c r="X474" s="363" t="s">
        <v>156</v>
      </c>
      <c r="Y474" s="363"/>
      <c r="AA474" s="358"/>
      <c r="AB474" s="358"/>
      <c r="AD474" s="370"/>
      <c r="AE474" s="360"/>
      <c r="AF474" s="363" t="s">
        <v>156</v>
      </c>
      <c r="AG474" s="395"/>
      <c r="AI474" s="356"/>
    </row>
    <row r="475" spans="1:35" ht="15.75">
      <c r="A475" s="382"/>
      <c r="B475" s="385"/>
      <c r="C475" s="396"/>
      <c r="D475" s="385"/>
      <c r="H475" s="356">
        <v>6</v>
      </c>
      <c r="K475" s="369">
        <f>(K474+C21/10*F461)</f>
        <v>513.09193282000012</v>
      </c>
      <c r="L475" s="35">
        <f t="shared" si="49"/>
        <v>9.5519999999999641</v>
      </c>
      <c r="O475" s="356"/>
      <c r="S475" s="35"/>
      <c r="T475" s="368" t="s">
        <v>932</v>
      </c>
      <c r="U475" s="356" t="s">
        <v>1264</v>
      </c>
      <c r="V475" s="370"/>
      <c r="W475" s="361"/>
      <c r="AA475" s="368" t="s">
        <v>932</v>
      </c>
      <c r="AB475" s="368"/>
      <c r="AC475" s="356" t="s">
        <v>1264</v>
      </c>
      <c r="AD475" s="370"/>
      <c r="AE475" s="360"/>
      <c r="AG475" s="395"/>
      <c r="AI475" s="356"/>
    </row>
    <row r="476" spans="1:35" ht="15.75">
      <c r="A476" s="382"/>
      <c r="B476" s="385"/>
      <c r="C476" s="396"/>
      <c r="D476" s="385"/>
      <c r="H476" s="356">
        <v>7</v>
      </c>
      <c r="K476" s="369">
        <f>(K475+C21/10*F461)</f>
        <v>522.64393282000015</v>
      </c>
      <c r="L476" s="35">
        <f t="shared" si="49"/>
        <v>9.5520000000000209</v>
      </c>
      <c r="O476" s="356"/>
      <c r="S476" s="35"/>
      <c r="T476" s="358"/>
      <c r="U476" s="356" t="s">
        <v>1265</v>
      </c>
      <c r="V476" s="370"/>
      <c r="W476" s="361"/>
      <c r="AA476" s="358"/>
      <c r="AB476" s="358"/>
      <c r="AC476" s="356" t="s">
        <v>1265</v>
      </c>
      <c r="AD476" s="370"/>
      <c r="AE476" s="360"/>
      <c r="AG476" s="395"/>
      <c r="AI476" s="356"/>
    </row>
    <row r="477" spans="1:35" ht="15.75">
      <c r="A477" s="382"/>
      <c r="B477" s="385"/>
      <c r="C477" s="396"/>
      <c r="D477" s="385"/>
      <c r="H477" s="356">
        <v>8</v>
      </c>
      <c r="K477" s="369">
        <f>(K476+C21/10*F461)</f>
        <v>532.19593282000017</v>
      </c>
      <c r="L477" s="35">
        <f t="shared" si="49"/>
        <v>9.5520000000000209</v>
      </c>
      <c r="O477" s="356"/>
      <c r="S477" s="35"/>
      <c r="T477" s="358"/>
      <c r="U477" s="363" t="s">
        <v>117</v>
      </c>
      <c r="V477" s="370"/>
      <c r="W477" s="361"/>
      <c r="AA477" s="358"/>
      <c r="AB477" s="358"/>
      <c r="AC477" s="363" t="s">
        <v>117</v>
      </c>
      <c r="AD477" s="370"/>
      <c r="AE477" s="360"/>
      <c r="AG477" s="395"/>
      <c r="AI477" s="356"/>
    </row>
    <row r="478" spans="1:35" ht="15.75">
      <c r="A478" s="382"/>
      <c r="B478" s="385"/>
      <c r="C478" s="396"/>
      <c r="D478" s="385"/>
      <c r="H478" s="356">
        <v>9</v>
      </c>
      <c r="K478" s="369">
        <f>(K477+C21/10*F461)</f>
        <v>541.74793282000019</v>
      </c>
      <c r="L478" s="35">
        <f t="shared" si="49"/>
        <v>9.5520000000000209</v>
      </c>
      <c r="O478" s="356"/>
      <c r="S478" s="407">
        <v>1.4E-2</v>
      </c>
      <c r="T478" s="368" t="s">
        <v>108</v>
      </c>
      <c r="U478" s="356" t="s">
        <v>1266</v>
      </c>
      <c r="V478" s="370">
        <f>X472</f>
        <v>8940</v>
      </c>
      <c r="W478" s="357" t="s">
        <v>108</v>
      </c>
      <c r="X478" s="370">
        <f>(S478*V478)</f>
        <v>125.16</v>
      </c>
      <c r="Y478" s="370"/>
      <c r="Z478" s="407">
        <v>1.4E-2</v>
      </c>
      <c r="AA478" s="368" t="s">
        <v>108</v>
      </c>
      <c r="AB478" s="368"/>
      <c r="AC478" s="356" t="s">
        <v>1266</v>
      </c>
      <c r="AD478" s="370">
        <f>AF472</f>
        <v>9509</v>
      </c>
      <c r="AE478" s="356" t="s">
        <v>108</v>
      </c>
      <c r="AF478" s="370">
        <f>(Z478*AD478)</f>
        <v>133.126</v>
      </c>
      <c r="AG478" s="395"/>
      <c r="AI478" s="356"/>
    </row>
    <row r="479" spans="1:35" ht="15.75">
      <c r="A479" s="382"/>
      <c r="B479" s="385"/>
      <c r="C479" s="396"/>
      <c r="D479" s="385"/>
      <c r="H479" s="356">
        <v>10</v>
      </c>
      <c r="K479" s="369">
        <f>(K478+C21/10*F461)</f>
        <v>551.29993282000021</v>
      </c>
      <c r="L479" s="35">
        <f>K479-K478</f>
        <v>9.5520000000000209</v>
      </c>
      <c r="O479" s="356"/>
      <c r="S479" s="407"/>
      <c r="T479" s="358"/>
      <c r="U479" s="356" t="s">
        <v>1267</v>
      </c>
      <c r="V479" s="370"/>
      <c r="W479" s="361"/>
      <c r="X479" s="356" t="s">
        <v>114</v>
      </c>
      <c r="Y479" s="356"/>
      <c r="Z479" s="407"/>
      <c r="AA479" s="358"/>
      <c r="AB479" s="358"/>
      <c r="AC479" s="356" t="s">
        <v>1267</v>
      </c>
      <c r="AD479" s="370"/>
      <c r="AE479" s="360"/>
      <c r="AF479" s="356" t="s">
        <v>114</v>
      </c>
      <c r="AG479" s="395"/>
      <c r="AI479" s="356"/>
    </row>
    <row r="480" spans="1:35" ht="15.75">
      <c r="A480" s="382"/>
      <c r="B480" s="385"/>
      <c r="C480" s="396"/>
      <c r="D480" s="385"/>
      <c r="H480" s="356"/>
      <c r="K480" s="369">
        <f>(K479+C21/10*F461)</f>
        <v>560.85193282000023</v>
      </c>
      <c r="L480" s="35">
        <f>K480-K479</f>
        <v>9.5520000000000209</v>
      </c>
      <c r="O480" s="356"/>
      <c r="S480" s="370">
        <v>0.5</v>
      </c>
      <c r="T480" s="368" t="s">
        <v>223</v>
      </c>
      <c r="U480" s="356" t="s">
        <v>162</v>
      </c>
      <c r="V480" s="370">
        <f>C10</f>
        <v>1198.8</v>
      </c>
      <c r="W480" s="357" t="s">
        <v>223</v>
      </c>
      <c r="X480" s="370">
        <f>(S480*V480)</f>
        <v>599.4</v>
      </c>
      <c r="Y480" s="370"/>
      <c r="Z480" s="370">
        <v>0.5</v>
      </c>
      <c r="AA480" s="368" t="s">
        <v>223</v>
      </c>
      <c r="AB480" s="368"/>
      <c r="AC480" s="356" t="s">
        <v>162</v>
      </c>
      <c r="AD480" s="370">
        <f>V480</f>
        <v>1198.8</v>
      </c>
      <c r="AE480" s="356" t="s">
        <v>223</v>
      </c>
      <c r="AF480" s="370">
        <f>(Z480*AD480)</f>
        <v>599.4</v>
      </c>
      <c r="AG480" s="395"/>
      <c r="AI480" s="356"/>
    </row>
    <row r="481" spans="1:35" ht="15.75">
      <c r="A481" s="382">
        <f>(A473+1)</f>
        <v>305</v>
      </c>
      <c r="B481" s="480" t="s">
        <v>1268</v>
      </c>
      <c r="C481" s="396"/>
      <c r="D481" s="385" t="s">
        <v>151</v>
      </c>
      <c r="F481" s="357" t="s">
        <v>1269</v>
      </c>
      <c r="G481" s="368" t="s">
        <v>122</v>
      </c>
      <c r="H481" s="356" t="s">
        <v>1270</v>
      </c>
      <c r="K481" s="369">
        <f>(K480+C21/10*F461)</f>
        <v>570.40393282000025</v>
      </c>
      <c r="L481" s="35">
        <f>K481-K480</f>
        <v>9.5520000000000209</v>
      </c>
      <c r="O481" s="356" t="s">
        <v>1212</v>
      </c>
      <c r="S481" s="370">
        <v>0.75</v>
      </c>
      <c r="T481" s="368" t="s">
        <v>223</v>
      </c>
      <c r="U481" s="356" t="s">
        <v>153</v>
      </c>
      <c r="V481" s="370">
        <f>C12</f>
        <v>781.19999999999993</v>
      </c>
      <c r="W481" s="357" t="s">
        <v>223</v>
      </c>
      <c r="X481" s="370">
        <f>(S481*V481)</f>
        <v>585.9</v>
      </c>
      <c r="Y481" s="370"/>
      <c r="Z481" s="370">
        <v>0.75</v>
      </c>
      <c r="AA481" s="368" t="s">
        <v>223</v>
      </c>
      <c r="AB481" s="368"/>
      <c r="AC481" s="356" t="s">
        <v>153</v>
      </c>
      <c r="AD481" s="370">
        <f>V481</f>
        <v>781.19999999999993</v>
      </c>
      <c r="AE481" s="356" t="s">
        <v>223</v>
      </c>
      <c r="AF481" s="370">
        <f>(Z481*AD481)</f>
        <v>585.9</v>
      </c>
      <c r="AG481" s="395" t="str">
        <f t="shared" si="48"/>
        <v>|</v>
      </c>
      <c r="AI481" s="356" t="s">
        <v>1256</v>
      </c>
    </row>
    <row r="482" spans="1:35" ht="15.75">
      <c r="A482" s="382">
        <f t="shared" si="43"/>
        <v>306</v>
      </c>
      <c r="B482" s="385" t="s">
        <v>1205</v>
      </c>
      <c r="C482" s="481">
        <v>168</v>
      </c>
      <c r="D482" s="385" t="s">
        <v>151</v>
      </c>
      <c r="H482" s="356" t="s">
        <v>1271</v>
      </c>
      <c r="O482" s="356" t="s">
        <v>1214</v>
      </c>
      <c r="S482" s="35"/>
      <c r="T482" s="368" t="s">
        <v>128</v>
      </c>
      <c r="U482" s="356" t="s">
        <v>129</v>
      </c>
      <c r="V482" s="370"/>
      <c r="W482" s="357" t="s">
        <v>128</v>
      </c>
      <c r="X482" s="370">
        <v>0</v>
      </c>
      <c r="Y482" s="370"/>
      <c r="AA482" s="368" t="s">
        <v>128</v>
      </c>
      <c r="AB482" s="368"/>
      <c r="AC482" s="356" t="s">
        <v>129</v>
      </c>
      <c r="AD482" s="370">
        <f>V482</f>
        <v>0</v>
      </c>
      <c r="AE482" s="356" t="s">
        <v>128</v>
      </c>
      <c r="AF482" s="370">
        <v>0</v>
      </c>
      <c r="AG482" s="395" t="str">
        <f t="shared" si="48"/>
        <v>|</v>
      </c>
      <c r="AI482" s="356" t="s">
        <v>1256</v>
      </c>
    </row>
    <row r="483" spans="1:35" ht="15.75">
      <c r="A483" s="382">
        <f t="shared" si="43"/>
        <v>307</v>
      </c>
      <c r="B483" s="385" t="s">
        <v>1272</v>
      </c>
      <c r="C483" s="394">
        <v>350</v>
      </c>
      <c r="D483" s="385" t="s">
        <v>151</v>
      </c>
      <c r="H483" s="363" t="s">
        <v>117</v>
      </c>
      <c r="O483" s="356" t="s">
        <v>1215</v>
      </c>
      <c r="S483" s="35"/>
      <c r="T483" s="358"/>
      <c r="V483" s="370"/>
      <c r="W483" s="361"/>
      <c r="X483" s="363" t="s">
        <v>117</v>
      </c>
      <c r="Y483" s="363"/>
      <c r="AA483" s="358"/>
      <c r="AB483" s="358"/>
      <c r="AD483" s="370"/>
      <c r="AE483" s="360"/>
      <c r="AF483" s="363" t="s">
        <v>117</v>
      </c>
      <c r="AG483" s="395" t="str">
        <f t="shared" si="48"/>
        <v>|</v>
      </c>
      <c r="AI483" s="356" t="s">
        <v>1256</v>
      </c>
    </row>
    <row r="484" spans="1:35" ht="15.75">
      <c r="A484" s="382">
        <f t="shared" si="43"/>
        <v>308</v>
      </c>
      <c r="B484" s="385" t="s">
        <v>1273</v>
      </c>
      <c r="C484" s="394">
        <v>592</v>
      </c>
      <c r="D484" s="385" t="s">
        <v>151</v>
      </c>
      <c r="F484" s="370">
        <v>1</v>
      </c>
      <c r="G484" s="368" t="s">
        <v>108</v>
      </c>
      <c r="H484" s="356" t="s">
        <v>1274</v>
      </c>
      <c r="I484" s="370">
        <f>(C26)</f>
        <v>46.74</v>
      </c>
      <c r="J484" s="356" t="s">
        <v>108</v>
      </c>
      <c r="K484" s="369">
        <f>(F484*I484)</f>
        <v>46.74</v>
      </c>
      <c r="M484" s="370">
        <v>8</v>
      </c>
      <c r="N484" s="356" t="s">
        <v>223</v>
      </c>
      <c r="O484" s="356" t="s">
        <v>1218</v>
      </c>
      <c r="P484" s="370">
        <f>(C45)</f>
        <v>11.2</v>
      </c>
      <c r="Q484" s="356" t="s">
        <v>223</v>
      </c>
      <c r="R484" s="370">
        <f>(M484*P484)</f>
        <v>89.6</v>
      </c>
      <c r="S484" s="35"/>
      <c r="T484" s="358"/>
      <c r="U484" s="356" t="s">
        <v>1275</v>
      </c>
      <c r="V484" s="370"/>
      <c r="W484" s="361"/>
      <c r="X484" s="370">
        <f>SUM(X478:X482)</f>
        <v>1310.46</v>
      </c>
      <c r="Y484" s="370"/>
      <c r="AA484" s="358"/>
      <c r="AB484" s="358"/>
      <c r="AC484" s="356" t="s">
        <v>1275</v>
      </c>
      <c r="AD484" s="370"/>
      <c r="AE484" s="360"/>
      <c r="AF484" s="370">
        <f>SUM(AF478:AF482)</f>
        <v>1318.4259999999999</v>
      </c>
      <c r="AG484" s="395" t="str">
        <f t="shared" si="48"/>
        <v>|</v>
      </c>
      <c r="AI484" s="356" t="s">
        <v>1256</v>
      </c>
    </row>
    <row r="485" spans="1:35" ht="15.75">
      <c r="A485" s="382">
        <f t="shared" si="43"/>
        <v>309</v>
      </c>
      <c r="B485" s="385" t="s">
        <v>1276</v>
      </c>
      <c r="C485" s="394">
        <v>760</v>
      </c>
      <c r="D485" s="385" t="s">
        <v>151</v>
      </c>
      <c r="K485" s="363" t="s">
        <v>156</v>
      </c>
      <c r="M485" s="370">
        <v>8</v>
      </c>
      <c r="N485" s="356" t="s">
        <v>223</v>
      </c>
      <c r="O485" s="356" t="s">
        <v>1221</v>
      </c>
      <c r="P485" s="370">
        <f>(C52)</f>
        <v>28.05</v>
      </c>
      <c r="Q485" s="356" t="s">
        <v>223</v>
      </c>
      <c r="R485" s="370">
        <f>(M485*P485)</f>
        <v>224.4</v>
      </c>
      <c r="S485" s="35"/>
      <c r="T485" s="358"/>
      <c r="V485" s="370"/>
      <c r="W485" s="361"/>
      <c r="X485" s="363" t="s">
        <v>117</v>
      </c>
      <c r="Y485" s="363"/>
      <c r="AA485" s="358"/>
      <c r="AB485" s="358"/>
      <c r="AD485" s="370"/>
      <c r="AE485" s="360"/>
      <c r="AF485" s="363" t="s">
        <v>117</v>
      </c>
      <c r="AG485" s="395" t="str">
        <f t="shared" si="48"/>
        <v>|</v>
      </c>
      <c r="AI485" s="356" t="s">
        <v>1256</v>
      </c>
    </row>
    <row r="486" spans="1:35" ht="15.75">
      <c r="A486" s="382">
        <f t="shared" si="43"/>
        <v>310</v>
      </c>
      <c r="B486" s="385" t="s">
        <v>1277</v>
      </c>
      <c r="C486" s="394">
        <v>977</v>
      </c>
      <c r="D486" s="385" t="s">
        <v>151</v>
      </c>
      <c r="F486" s="412">
        <v>7.3</v>
      </c>
      <c r="G486" s="368" t="s">
        <v>122</v>
      </c>
      <c r="H486" s="356" t="s">
        <v>1278</v>
      </c>
      <c r="M486" s="370">
        <v>1</v>
      </c>
      <c r="N486" s="356" t="s">
        <v>128</v>
      </c>
      <c r="O486" s="356" t="s">
        <v>1224</v>
      </c>
      <c r="P486" s="370">
        <f>(C56)</f>
        <v>12.1</v>
      </c>
      <c r="Q486" s="356" t="s">
        <v>128</v>
      </c>
      <c r="R486" s="370">
        <f>(M486*P486)</f>
        <v>12.1</v>
      </c>
      <c r="S486" s="35"/>
      <c r="T486" s="358"/>
      <c r="U486" s="356" t="s">
        <v>177</v>
      </c>
      <c r="W486" s="361"/>
      <c r="X486" s="370">
        <f>(X484/0.372)</f>
        <v>3522.7419354838712</v>
      </c>
      <c r="Y486" s="370"/>
      <c r="AA486" s="358"/>
      <c r="AB486" s="358"/>
      <c r="AC486" s="356" t="s">
        <v>177</v>
      </c>
      <c r="AE486" s="360"/>
      <c r="AF486" s="370">
        <f>(AF484/0.372)</f>
        <v>3544.1559139784945</v>
      </c>
      <c r="AG486" s="395" t="str">
        <f t="shared" si="48"/>
        <v>|</v>
      </c>
      <c r="AI486" s="356" t="s">
        <v>1256</v>
      </c>
    </row>
    <row r="487" spans="1:35" ht="15.75">
      <c r="A487" s="382">
        <f t="shared" si="43"/>
        <v>311</v>
      </c>
      <c r="B487" s="385" t="s">
        <v>1279</v>
      </c>
      <c r="C487" s="394">
        <v>1241</v>
      </c>
      <c r="D487" s="385" t="s">
        <v>151</v>
      </c>
      <c r="F487" s="356" t="s">
        <v>114</v>
      </c>
      <c r="H487" s="356" t="s">
        <v>1280</v>
      </c>
      <c r="M487" s="370">
        <v>1</v>
      </c>
      <c r="N487" s="356" t="s">
        <v>128</v>
      </c>
      <c r="O487" s="356" t="s">
        <v>129</v>
      </c>
      <c r="Q487" s="356" t="s">
        <v>128</v>
      </c>
      <c r="R487" s="370">
        <v>0</v>
      </c>
      <c r="S487" s="35"/>
      <c r="T487" s="358"/>
      <c r="W487" s="361"/>
      <c r="X487" s="363" t="s">
        <v>156</v>
      </c>
      <c r="Y487" s="363"/>
      <c r="AA487" s="358"/>
      <c r="AB487" s="358"/>
      <c r="AE487" s="360"/>
      <c r="AF487" s="363" t="s">
        <v>156</v>
      </c>
      <c r="AG487" s="395" t="str">
        <f t="shared" si="48"/>
        <v>|</v>
      </c>
      <c r="AI487" s="356" t="s">
        <v>1256</v>
      </c>
    </row>
    <row r="488" spans="1:35" ht="15.75">
      <c r="A488" s="382">
        <f t="shared" si="43"/>
        <v>312</v>
      </c>
      <c r="B488" s="385" t="s">
        <v>1281</v>
      </c>
      <c r="C488" s="448">
        <v>1523</v>
      </c>
      <c r="D488" s="385" t="s">
        <v>151</v>
      </c>
      <c r="F488" s="356" t="s">
        <v>114</v>
      </c>
      <c r="H488" s="363" t="s">
        <v>1282</v>
      </c>
      <c r="R488" s="363" t="s">
        <v>117</v>
      </c>
      <c r="S488" s="35"/>
      <c r="T488" s="358"/>
      <c r="U488" s="356" t="s">
        <v>172</v>
      </c>
      <c r="V488" s="35">
        <f>X486</f>
        <v>3522.7419354838712</v>
      </c>
      <c r="W488" s="361">
        <f>J661</f>
        <v>5.4125806451612899</v>
      </c>
      <c r="X488" s="369">
        <f>V488+W488</f>
        <v>3528.1545161290323</v>
      </c>
      <c r="Y488" s="369"/>
      <c r="AA488" s="358"/>
      <c r="AB488" s="358"/>
      <c r="AC488" s="356" t="s">
        <v>172</v>
      </c>
      <c r="AD488" s="35">
        <f>AF486</f>
        <v>3544.1559139784945</v>
      </c>
      <c r="AE488" s="360">
        <f>W488</f>
        <v>5.4125806451612899</v>
      </c>
      <c r="AF488" s="369">
        <f>AD488+AE488</f>
        <v>3549.5684946236556</v>
      </c>
      <c r="AG488" s="395" t="str">
        <f t="shared" si="48"/>
        <v>|</v>
      </c>
      <c r="AI488" s="356" t="s">
        <v>1256</v>
      </c>
    </row>
    <row r="489" spans="1:35" ht="15.75">
      <c r="A489" s="382">
        <f t="shared" si="43"/>
        <v>313</v>
      </c>
      <c r="B489" s="480" t="s">
        <v>1283</v>
      </c>
      <c r="C489" s="396"/>
      <c r="D489" s="385"/>
      <c r="F489" s="370">
        <v>0.13</v>
      </c>
      <c r="G489" s="368" t="s">
        <v>108</v>
      </c>
      <c r="H489" s="356" t="s">
        <v>133</v>
      </c>
      <c r="I489" s="370">
        <f>(K40)</f>
        <v>4212.3004000000001</v>
      </c>
      <c r="J489" s="356" t="s">
        <v>108</v>
      </c>
      <c r="K489" s="370">
        <f t="shared" ref="K489:K494" si="50">(F489*I489)</f>
        <v>547.59905200000003</v>
      </c>
      <c r="O489" s="356" t="s">
        <v>1229</v>
      </c>
      <c r="R489" s="370">
        <f>SUM(R470:R487)</f>
        <v>3032.9459999999995</v>
      </c>
      <c r="S489" s="35"/>
      <c r="T489" s="358"/>
      <c r="U489" s="356" t="s">
        <v>873</v>
      </c>
      <c r="V489" s="35">
        <f>X488</f>
        <v>3528.1545161290323</v>
      </c>
      <c r="W489" s="361">
        <f>J664</f>
        <v>10.66258064516129</v>
      </c>
      <c r="X489" s="369">
        <f>V489+W489</f>
        <v>3538.8170967741935</v>
      </c>
      <c r="Y489" s="369"/>
      <c r="AA489" s="358"/>
      <c r="AB489" s="358"/>
      <c r="AC489" s="356" t="s">
        <v>873</v>
      </c>
      <c r="AD489" s="35">
        <f>AF488</f>
        <v>3549.5684946236556</v>
      </c>
      <c r="AE489" s="360">
        <f>W489</f>
        <v>10.66258064516129</v>
      </c>
      <c r="AF489" s="369">
        <f>AD489+AE489</f>
        <v>3560.2310752688168</v>
      </c>
      <c r="AG489" s="395" t="str">
        <f t="shared" si="48"/>
        <v>|</v>
      </c>
      <c r="AI489" s="356" t="s">
        <v>1256</v>
      </c>
    </row>
    <row r="490" spans="1:35" ht="15.75">
      <c r="A490" s="382">
        <f t="shared" ref="A490:A496" si="51">(A489+1)</f>
        <v>314</v>
      </c>
      <c r="B490" s="385" t="s">
        <v>1284</v>
      </c>
      <c r="C490" s="394">
        <v>169</v>
      </c>
      <c r="D490" s="385" t="s">
        <v>151</v>
      </c>
      <c r="F490" s="370">
        <v>0.7</v>
      </c>
      <c r="G490" s="368" t="s">
        <v>223</v>
      </c>
      <c r="H490" s="356" t="s">
        <v>162</v>
      </c>
      <c r="I490" s="370">
        <f>(C10)</f>
        <v>1198.8</v>
      </c>
      <c r="J490" s="356" t="s">
        <v>223</v>
      </c>
      <c r="K490" s="370">
        <f t="shared" si="50"/>
        <v>839.16</v>
      </c>
      <c r="R490" s="363" t="s">
        <v>117</v>
      </c>
      <c r="S490" s="35"/>
      <c r="T490" s="358"/>
      <c r="U490" s="356" t="s">
        <v>876</v>
      </c>
      <c r="V490" s="35">
        <f>X489</f>
        <v>3538.8170967741935</v>
      </c>
      <c r="W490" s="361">
        <f>J665</f>
        <v>10.66258064516129</v>
      </c>
      <c r="X490" s="369">
        <f>V490+W490</f>
        <v>3549.4796774193546</v>
      </c>
      <c r="Y490" s="369"/>
      <c r="AA490" s="358"/>
      <c r="AB490" s="358"/>
      <c r="AC490" s="356" t="s">
        <v>876</v>
      </c>
      <c r="AD490" s="35">
        <f>AF489</f>
        <v>3560.2310752688168</v>
      </c>
      <c r="AE490" s="360">
        <f>W490</f>
        <v>10.66258064516129</v>
      </c>
      <c r="AF490" s="369">
        <f>AD490+AE490</f>
        <v>3570.8936559139779</v>
      </c>
      <c r="AG490" s="395" t="str">
        <f t="shared" si="48"/>
        <v>|</v>
      </c>
      <c r="AI490" s="356" t="s">
        <v>1256</v>
      </c>
    </row>
    <row r="491" spans="1:35" ht="15.75">
      <c r="A491" s="382">
        <f t="shared" si="51"/>
        <v>315</v>
      </c>
      <c r="B491" s="385" t="s">
        <v>1285</v>
      </c>
      <c r="C491" s="394">
        <v>241</v>
      </c>
      <c r="D491" s="385" t="s">
        <v>151</v>
      </c>
      <c r="F491" s="370">
        <v>0.7</v>
      </c>
      <c r="G491" s="368" t="s">
        <v>223</v>
      </c>
      <c r="H491" s="356" t="s">
        <v>152</v>
      </c>
      <c r="I491" s="370">
        <f>(C11)</f>
        <v>1118.3999999999999</v>
      </c>
      <c r="J491" s="356" t="s">
        <v>223</v>
      </c>
      <c r="K491" s="370">
        <f t="shared" si="50"/>
        <v>782.87999999999988</v>
      </c>
      <c r="O491" s="356" t="s">
        <v>253</v>
      </c>
      <c r="R491" s="370">
        <f>(R489/30)</f>
        <v>101.09819999999998</v>
      </c>
      <c r="S491" s="35"/>
      <c r="T491" s="358"/>
      <c r="U491" s="356" t="s">
        <v>878</v>
      </c>
      <c r="V491" s="35">
        <f>X490</f>
        <v>3549.4796774193546</v>
      </c>
      <c r="W491" s="361">
        <f>J666</f>
        <v>10.66258064516129</v>
      </c>
      <c r="X491" s="369">
        <f>V491+W491</f>
        <v>3560.1422580645158</v>
      </c>
      <c r="Y491" s="369"/>
      <c r="AA491" s="358"/>
      <c r="AB491" s="358"/>
      <c r="AC491" s="356" t="s">
        <v>878</v>
      </c>
      <c r="AD491" s="35">
        <f>AF490</f>
        <v>3570.8936559139779</v>
      </c>
      <c r="AE491" s="360">
        <f>W491</f>
        <v>10.66258064516129</v>
      </c>
      <c r="AF491" s="369">
        <f>AD491+AE491</f>
        <v>3581.5562365591391</v>
      </c>
      <c r="AG491" s="395" t="str">
        <f t="shared" si="48"/>
        <v>|</v>
      </c>
      <c r="AI491" s="356" t="s">
        <v>1256</v>
      </c>
    </row>
    <row r="492" spans="1:35" ht="15.75">
      <c r="A492" s="382">
        <f t="shared" si="51"/>
        <v>316</v>
      </c>
      <c r="B492" s="385" t="s">
        <v>1286</v>
      </c>
      <c r="C492" s="394">
        <v>351</v>
      </c>
      <c r="D492" s="385" t="s">
        <v>151</v>
      </c>
      <c r="F492" s="370">
        <v>1.5</v>
      </c>
      <c r="G492" s="368" t="s">
        <v>223</v>
      </c>
      <c r="H492" s="356" t="s">
        <v>153</v>
      </c>
      <c r="I492" s="370">
        <f>(C12)</f>
        <v>781.19999999999993</v>
      </c>
      <c r="J492" s="356" t="s">
        <v>223</v>
      </c>
      <c r="K492" s="370">
        <f t="shared" si="50"/>
        <v>1171.8</v>
      </c>
      <c r="R492" s="363" t="s">
        <v>117</v>
      </c>
      <c r="S492" s="35"/>
      <c r="T492" s="358"/>
      <c r="U492" s="356" t="s">
        <v>1287</v>
      </c>
      <c r="V492" s="35">
        <f>X491</f>
        <v>3560.1422580645158</v>
      </c>
      <c r="W492" s="361">
        <f>J667</f>
        <v>10.66258064516129</v>
      </c>
      <c r="X492" s="369">
        <f>V492+W492</f>
        <v>3570.8048387096769</v>
      </c>
      <c r="Y492" s="369"/>
      <c r="AA492" s="358"/>
      <c r="AB492" s="358"/>
      <c r="AC492" s="356" t="s">
        <v>1287</v>
      </c>
      <c r="AD492" s="35">
        <f>AF491</f>
        <v>3581.5562365591391</v>
      </c>
      <c r="AE492" s="360">
        <f>W492</f>
        <v>10.66258064516129</v>
      </c>
      <c r="AF492" s="369">
        <f>AD492+AE492</f>
        <v>3592.2188172043002</v>
      </c>
      <c r="AG492" s="395" t="str">
        <f t="shared" si="48"/>
        <v>|</v>
      </c>
      <c r="AI492" s="356" t="s">
        <v>1256</v>
      </c>
    </row>
    <row r="493" spans="1:35" ht="15.75">
      <c r="A493" s="382">
        <f t="shared" si="51"/>
        <v>317</v>
      </c>
      <c r="B493" s="385" t="s">
        <v>1288</v>
      </c>
      <c r="C493" s="394">
        <v>513</v>
      </c>
      <c r="D493" s="385" t="s">
        <v>151</v>
      </c>
      <c r="F493" s="370">
        <v>0.5</v>
      </c>
      <c r="G493" s="368" t="s">
        <v>223</v>
      </c>
      <c r="H493" s="356" t="s">
        <v>154</v>
      </c>
      <c r="I493" s="370">
        <f>(C13)</f>
        <v>640.79999999999995</v>
      </c>
      <c r="J493" s="356" t="s">
        <v>223</v>
      </c>
      <c r="K493" s="370">
        <f t="shared" si="50"/>
        <v>320.39999999999998</v>
      </c>
      <c r="M493" s="356" t="s">
        <v>114</v>
      </c>
      <c r="W493" s="361"/>
      <c r="Z493" s="36"/>
      <c r="AC493" s="356" t="s">
        <v>1163</v>
      </c>
      <c r="AE493" s="360">
        <f t="shared" ref="AE493:AE499" si="52">AE492</f>
        <v>10.66258064516129</v>
      </c>
      <c r="AF493" s="369">
        <f t="shared" ref="AF493:AF499" si="53">AF492+AE493</f>
        <v>3602.8813978494613</v>
      </c>
      <c r="AG493" s="395" t="str">
        <f t="shared" si="48"/>
        <v>|</v>
      </c>
      <c r="AI493" s="356" t="s">
        <v>1256</v>
      </c>
    </row>
    <row r="494" spans="1:35" ht="24.75">
      <c r="A494" s="382">
        <f t="shared" si="51"/>
        <v>318</v>
      </c>
      <c r="B494" s="385" t="s">
        <v>1289</v>
      </c>
      <c r="C494" s="394">
        <v>652</v>
      </c>
      <c r="D494" s="385" t="s">
        <v>151</v>
      </c>
      <c r="F494" s="370">
        <v>0.94</v>
      </c>
      <c r="G494" s="368" t="s">
        <v>213</v>
      </c>
      <c r="H494" s="356" t="s">
        <v>1290</v>
      </c>
      <c r="I494" s="370">
        <f>C655</f>
        <v>42.7</v>
      </c>
      <c r="J494" s="356" t="s">
        <v>213</v>
      </c>
      <c r="K494" s="370">
        <f t="shared" si="50"/>
        <v>40.137999999999998</v>
      </c>
      <c r="N494" s="356" t="s">
        <v>122</v>
      </c>
      <c r="O494" s="356" t="s">
        <v>1193</v>
      </c>
      <c r="U494" s="483" t="s">
        <v>1291</v>
      </c>
      <c r="Z494" s="36"/>
      <c r="AC494" s="356" t="s">
        <v>1165</v>
      </c>
      <c r="AE494" s="360">
        <f t="shared" si="52"/>
        <v>10.66258064516129</v>
      </c>
      <c r="AF494" s="369">
        <f t="shared" si="53"/>
        <v>3613.5439784946225</v>
      </c>
      <c r="AG494" s="395" t="str">
        <f t="shared" si="48"/>
        <v>|</v>
      </c>
      <c r="AI494" s="356" t="s">
        <v>1256</v>
      </c>
    </row>
    <row r="495" spans="1:35" ht="15.75">
      <c r="A495" s="382">
        <f t="shared" si="51"/>
        <v>319</v>
      </c>
      <c r="B495" s="385" t="s">
        <v>1090</v>
      </c>
      <c r="C495" s="466">
        <v>584</v>
      </c>
      <c r="D495" s="385" t="s">
        <v>151</v>
      </c>
      <c r="H495" s="356" t="s">
        <v>129</v>
      </c>
      <c r="I495" s="356" t="s">
        <v>114</v>
      </c>
      <c r="J495" s="356" t="s">
        <v>128</v>
      </c>
      <c r="K495" s="370">
        <v>0</v>
      </c>
      <c r="O495" s="356" t="s">
        <v>1195</v>
      </c>
      <c r="S495" s="357" t="s">
        <v>1246</v>
      </c>
      <c r="T495" s="368" t="s">
        <v>122</v>
      </c>
      <c r="U495" s="356" t="s">
        <v>1247</v>
      </c>
      <c r="W495" s="360"/>
      <c r="Z495" s="36"/>
      <c r="AC495" s="356" t="s">
        <v>1181</v>
      </c>
      <c r="AE495" s="360">
        <f t="shared" si="52"/>
        <v>10.66258064516129</v>
      </c>
      <c r="AF495" s="35">
        <f t="shared" si="53"/>
        <v>3624.2065591397836</v>
      </c>
      <c r="AG495" s="395" t="str">
        <f t="shared" si="48"/>
        <v>|</v>
      </c>
      <c r="AI495" s="356" t="s">
        <v>1256</v>
      </c>
    </row>
    <row r="496" spans="1:35" ht="15.75">
      <c r="A496" s="382">
        <f t="shared" si="51"/>
        <v>320</v>
      </c>
      <c r="B496" s="385" t="s">
        <v>1202</v>
      </c>
      <c r="C496" s="396"/>
      <c r="D496" s="385" t="s">
        <v>151</v>
      </c>
      <c r="K496" s="363" t="s">
        <v>117</v>
      </c>
      <c r="O496" s="356" t="s">
        <v>1292</v>
      </c>
      <c r="S496" s="35"/>
      <c r="T496" s="358"/>
      <c r="U496" s="356" t="s">
        <v>1249</v>
      </c>
      <c r="W496" s="360"/>
      <c r="Z496" s="36"/>
      <c r="AC496" s="356" t="s">
        <v>1293</v>
      </c>
      <c r="AE496" s="360">
        <f t="shared" si="52"/>
        <v>10.66258064516129</v>
      </c>
      <c r="AF496" s="35">
        <f t="shared" si="53"/>
        <v>3634.8691397849448</v>
      </c>
      <c r="AG496" s="395" t="str">
        <f t="shared" si="48"/>
        <v>|</v>
      </c>
      <c r="AI496" s="356" t="s">
        <v>1256</v>
      </c>
    </row>
    <row r="497" spans="1:35" ht="15.75">
      <c r="A497" s="382">
        <f>(A496+1)</f>
        <v>321</v>
      </c>
      <c r="B497" s="480" t="s">
        <v>1294</v>
      </c>
      <c r="C497" s="396"/>
      <c r="D497" s="385" t="s">
        <v>151</v>
      </c>
      <c r="H497" s="356" t="s">
        <v>176</v>
      </c>
      <c r="K497" s="370">
        <f>SUM(K488:K495)</f>
        <v>3701.9770519999997</v>
      </c>
      <c r="O497" s="363" t="s">
        <v>117</v>
      </c>
      <c r="S497" s="35"/>
      <c r="T497" s="358"/>
      <c r="U497" s="356" t="s">
        <v>1251</v>
      </c>
      <c r="W497" s="360"/>
      <c r="Z497" s="36"/>
      <c r="AC497" s="356" t="s">
        <v>1185</v>
      </c>
      <c r="AE497" s="360">
        <f t="shared" si="52"/>
        <v>10.66258064516129</v>
      </c>
      <c r="AF497" s="369">
        <f t="shared" si="53"/>
        <v>3645.5317204301059</v>
      </c>
      <c r="AG497" s="395" t="str">
        <f t="shared" si="48"/>
        <v>|</v>
      </c>
      <c r="AI497" s="356" t="s">
        <v>1256</v>
      </c>
    </row>
    <row r="498" spans="1:35" ht="15.75">
      <c r="A498" s="382">
        <f>(A497+1)</f>
        <v>322</v>
      </c>
      <c r="B498" s="385" t="s">
        <v>1295</v>
      </c>
      <c r="C498" s="394">
        <v>20.3</v>
      </c>
      <c r="D498" s="385" t="s">
        <v>151</v>
      </c>
      <c r="K498" s="363" t="s">
        <v>117</v>
      </c>
      <c r="N498" s="356" t="s">
        <v>1200</v>
      </c>
      <c r="O498" s="357" t="s">
        <v>1296</v>
      </c>
      <c r="S498" s="35"/>
      <c r="T498" s="358"/>
      <c r="U498" s="363" t="s">
        <v>117</v>
      </c>
      <c r="W498" s="360"/>
      <c r="Z498" s="36"/>
      <c r="AC498" s="356" t="s">
        <v>1297</v>
      </c>
      <c r="AE498" s="360">
        <f t="shared" si="52"/>
        <v>10.66258064516129</v>
      </c>
      <c r="AF498" s="369">
        <f t="shared" si="53"/>
        <v>3656.194301075267</v>
      </c>
      <c r="AG498" s="395" t="str">
        <f t="shared" si="48"/>
        <v>|</v>
      </c>
      <c r="AI498" s="356" t="s">
        <v>1256</v>
      </c>
    </row>
    <row r="499" spans="1:35" ht="30">
      <c r="A499" s="382">
        <f>(A498+1)</f>
        <v>323</v>
      </c>
      <c r="B499" s="385" t="s">
        <v>1298</v>
      </c>
      <c r="C499" s="466">
        <v>11.5</v>
      </c>
      <c r="D499" s="385" t="s">
        <v>151</v>
      </c>
      <c r="H499" s="372" t="s">
        <v>177</v>
      </c>
      <c r="K499" s="369">
        <f>(K497/10)</f>
        <v>370.19770519999997</v>
      </c>
      <c r="O499" s="363" t="s">
        <v>117</v>
      </c>
      <c r="S499" s="370">
        <v>0.01</v>
      </c>
      <c r="T499" s="368" t="s">
        <v>108</v>
      </c>
      <c r="U499" s="440" t="s">
        <v>1255</v>
      </c>
      <c r="V499" s="370">
        <f>Z744</f>
        <v>9022.0082833500001</v>
      </c>
      <c r="W499" s="356" t="s">
        <v>108</v>
      </c>
      <c r="X499" s="370">
        <f>V499*S499</f>
        <v>90.220082833500001</v>
      </c>
      <c r="Y499" s="370"/>
      <c r="Z499" s="36"/>
      <c r="AC499" s="356" t="s">
        <v>1299</v>
      </c>
      <c r="AE499" s="360">
        <f t="shared" si="52"/>
        <v>10.66258064516129</v>
      </c>
      <c r="AF499" s="369">
        <f t="shared" si="53"/>
        <v>3666.8568817204282</v>
      </c>
      <c r="AG499" s="395" t="str">
        <f t="shared" si="48"/>
        <v>|</v>
      </c>
      <c r="AI499" s="356" t="s">
        <v>1256</v>
      </c>
    </row>
    <row r="500" spans="1:35" ht="15.75">
      <c r="A500" s="396"/>
      <c r="B500" s="396"/>
      <c r="C500" s="396"/>
      <c r="D500" s="396"/>
      <c r="F500" s="356" t="s">
        <v>114</v>
      </c>
      <c r="S500" s="370">
        <v>0.01</v>
      </c>
      <c r="T500" s="368" t="s">
        <v>108</v>
      </c>
      <c r="U500" s="356" t="s">
        <v>1258</v>
      </c>
      <c r="V500" s="370">
        <f>V467</f>
        <v>0</v>
      </c>
      <c r="W500" s="356" t="s">
        <v>128</v>
      </c>
      <c r="X500" s="370">
        <v>1.1499999999999999</v>
      </c>
      <c r="Y500" s="370"/>
      <c r="AF500" s="369">
        <f>AF499+AE499</f>
        <v>3677.5194623655893</v>
      </c>
      <c r="AG500" s="395" t="str">
        <f t="shared" si="48"/>
        <v>|</v>
      </c>
      <c r="AI500" s="356" t="s">
        <v>1256</v>
      </c>
    </row>
    <row r="501" spans="1:35" ht="15.75">
      <c r="A501" s="382">
        <f>(A499+1)</f>
        <v>324</v>
      </c>
      <c r="B501" s="385" t="s">
        <v>1300</v>
      </c>
      <c r="C501" s="394">
        <v>28.6</v>
      </c>
      <c r="D501" s="385" t="s">
        <v>151</v>
      </c>
      <c r="K501" s="363" t="s">
        <v>156</v>
      </c>
      <c r="M501" s="370">
        <v>30</v>
      </c>
      <c r="N501" s="356" t="s">
        <v>110</v>
      </c>
      <c r="O501" s="356" t="s">
        <v>1301</v>
      </c>
      <c r="P501" s="370">
        <f>(C42)</f>
        <v>5</v>
      </c>
      <c r="Q501" s="356" t="s">
        <v>110</v>
      </c>
      <c r="R501" s="370">
        <f>(M501*P501)</f>
        <v>150</v>
      </c>
      <c r="S501" s="35"/>
      <c r="T501" s="358"/>
      <c r="U501" s="356" t="s">
        <v>1262</v>
      </c>
      <c r="V501" s="370"/>
      <c r="W501" s="360"/>
      <c r="AG501" s="395" t="str">
        <f t="shared" si="48"/>
        <v>|</v>
      </c>
      <c r="AI501" s="356" t="s">
        <v>1256</v>
      </c>
    </row>
    <row r="502" spans="1:35" ht="15.75">
      <c r="A502" s="382">
        <f t="shared" ref="A502:A564" si="54">(A501+1)</f>
        <v>325</v>
      </c>
      <c r="B502" s="385" t="s">
        <v>1302</v>
      </c>
      <c r="C502" s="466">
        <v>56.74</v>
      </c>
      <c r="D502" s="385" t="s">
        <v>151</v>
      </c>
      <c r="F502" s="357"/>
      <c r="G502" s="368" t="s">
        <v>122</v>
      </c>
      <c r="H502" s="356" t="s">
        <v>1303</v>
      </c>
      <c r="M502" s="356" t="s">
        <v>114</v>
      </c>
      <c r="O502" s="356" t="s">
        <v>1304</v>
      </c>
      <c r="P502" s="356" t="s">
        <v>114</v>
      </c>
      <c r="R502" s="356" t="s">
        <v>114</v>
      </c>
      <c r="S502" s="35"/>
      <c r="T502" s="358"/>
      <c r="V502" s="370"/>
      <c r="W502" s="360"/>
      <c r="X502" s="363" t="s">
        <v>117</v>
      </c>
      <c r="Y502" s="363"/>
      <c r="AG502" s="395" t="str">
        <f t="shared" si="48"/>
        <v>|</v>
      </c>
      <c r="AI502" s="356" t="s">
        <v>1256</v>
      </c>
    </row>
    <row r="503" spans="1:35" ht="15.75">
      <c r="A503" s="382">
        <f t="shared" si="54"/>
        <v>326</v>
      </c>
      <c r="B503" s="385" t="s">
        <v>1305</v>
      </c>
      <c r="C503" s="466">
        <v>56.74</v>
      </c>
      <c r="D503" s="385" t="s">
        <v>151</v>
      </c>
      <c r="H503" s="356" t="s">
        <v>1029</v>
      </c>
      <c r="M503" s="370">
        <v>8</v>
      </c>
      <c r="N503" s="356" t="s">
        <v>151</v>
      </c>
      <c r="O503" s="356" t="s">
        <v>1218</v>
      </c>
      <c r="P503" s="370">
        <f>(C43)</f>
        <v>9.35</v>
      </c>
      <c r="Q503" s="356" t="s">
        <v>151</v>
      </c>
      <c r="R503" s="370">
        <f t="shared" ref="R503:R508" si="55">(M503*P503)</f>
        <v>74.8</v>
      </c>
      <c r="S503" s="35"/>
      <c r="T503" s="358"/>
      <c r="U503" s="356" t="s">
        <v>1263</v>
      </c>
      <c r="V503" s="370"/>
      <c r="W503" s="360"/>
      <c r="X503" s="370">
        <f>SUM(X499:X501)</f>
        <v>91.370082833500007</v>
      </c>
      <c r="Y503" s="370"/>
      <c r="AG503" s="395" t="str">
        <f t="shared" si="48"/>
        <v>|</v>
      </c>
      <c r="AI503" s="356" t="s">
        <v>1256</v>
      </c>
    </row>
    <row r="504" spans="1:35" ht="15.75">
      <c r="A504" s="382">
        <f t="shared" si="54"/>
        <v>327</v>
      </c>
      <c r="B504" s="480" t="s">
        <v>1306</v>
      </c>
      <c r="C504" s="396"/>
      <c r="D504" s="385" t="s">
        <v>114</v>
      </c>
      <c r="H504" s="363" t="s">
        <v>117</v>
      </c>
      <c r="M504" s="370">
        <v>8</v>
      </c>
      <c r="N504" s="356" t="s">
        <v>151</v>
      </c>
      <c r="O504" s="356" t="s">
        <v>1221</v>
      </c>
      <c r="P504" s="370">
        <f>(C50)</f>
        <v>13.35</v>
      </c>
      <c r="Q504" s="356" t="s">
        <v>151</v>
      </c>
      <c r="R504" s="370">
        <f t="shared" si="55"/>
        <v>106.8</v>
      </c>
      <c r="S504" s="35"/>
      <c r="T504" s="358"/>
      <c r="V504" s="370"/>
      <c r="W504" s="360"/>
      <c r="X504" s="363" t="s">
        <v>117</v>
      </c>
      <c r="Y504" s="363"/>
      <c r="AG504" s="395" t="str">
        <f t="shared" si="48"/>
        <v>|</v>
      </c>
      <c r="AI504" s="356" t="s">
        <v>1256</v>
      </c>
    </row>
    <row r="505" spans="1:35" ht="15.75">
      <c r="A505" s="382">
        <f t="shared" si="54"/>
        <v>328</v>
      </c>
      <c r="B505" s="385" t="s">
        <v>1307</v>
      </c>
      <c r="C505" s="394">
        <v>69.8</v>
      </c>
      <c r="D505" s="385" t="s">
        <v>151</v>
      </c>
      <c r="F505" s="370">
        <v>9</v>
      </c>
      <c r="G505" s="368" t="s">
        <v>108</v>
      </c>
      <c r="H505" s="356" t="s">
        <v>1308</v>
      </c>
      <c r="I505" s="370">
        <f>(C70)</f>
        <v>1163.9499999999998</v>
      </c>
      <c r="J505" s="356" t="s">
        <v>108</v>
      </c>
      <c r="K505" s="370">
        <f t="shared" ref="K505:K510" si="56">(F505*I505)</f>
        <v>10475.549999999999</v>
      </c>
      <c r="M505" s="370">
        <v>3</v>
      </c>
      <c r="N505" s="356" t="s">
        <v>151</v>
      </c>
      <c r="O505" s="356" t="s">
        <v>1309</v>
      </c>
      <c r="P505" s="370">
        <f>(C41)</f>
        <v>885.6</v>
      </c>
      <c r="Q505" s="356" t="s">
        <v>151</v>
      </c>
      <c r="R505" s="370">
        <f t="shared" si="55"/>
        <v>2656.8</v>
      </c>
      <c r="S505" s="35"/>
      <c r="T505" s="358"/>
      <c r="U505" s="356" t="s">
        <v>155</v>
      </c>
      <c r="V505" s="370"/>
      <c r="W505" s="360"/>
      <c r="X505" s="370">
        <f>ROUND(X503*100,0)</f>
        <v>9137</v>
      </c>
      <c r="Y505" s="370"/>
      <c r="AG505" s="395" t="str">
        <f t="shared" si="48"/>
        <v>|</v>
      </c>
      <c r="AI505" s="356" t="s">
        <v>1256</v>
      </c>
    </row>
    <row r="506" spans="1:35" ht="15.75">
      <c r="A506" s="382">
        <f t="shared" si="54"/>
        <v>329</v>
      </c>
      <c r="B506" s="385" t="s">
        <v>1298</v>
      </c>
      <c r="C506" s="466">
        <v>15.6</v>
      </c>
      <c r="D506" s="385" t="s">
        <v>151</v>
      </c>
      <c r="F506" s="407">
        <v>3.2309999999999999</v>
      </c>
      <c r="G506" s="368" t="s">
        <v>124</v>
      </c>
      <c r="H506" s="356" t="s">
        <v>125</v>
      </c>
      <c r="I506" s="370">
        <f>(C67)</f>
        <v>6372.14</v>
      </c>
      <c r="J506" s="356" t="s">
        <v>124</v>
      </c>
      <c r="K506" s="370">
        <f t="shared" si="56"/>
        <v>20588.384340000001</v>
      </c>
      <c r="M506" s="370">
        <v>1</v>
      </c>
      <c r="N506" s="356" t="s">
        <v>151</v>
      </c>
      <c r="O506" s="356" t="s">
        <v>1310</v>
      </c>
      <c r="P506" s="370">
        <f>(C10)</f>
        <v>1198.8</v>
      </c>
      <c r="Q506" s="356" t="s">
        <v>151</v>
      </c>
      <c r="R506" s="370">
        <f t="shared" si="55"/>
        <v>1198.8</v>
      </c>
      <c r="S506" s="356" t="s">
        <v>114</v>
      </c>
      <c r="T506" s="358"/>
      <c r="V506" s="370"/>
      <c r="W506" s="360"/>
      <c r="AG506" s="395" t="str">
        <f t="shared" si="48"/>
        <v>|</v>
      </c>
      <c r="AI506" s="356" t="s">
        <v>1256</v>
      </c>
    </row>
    <row r="507" spans="1:35" ht="15.75">
      <c r="A507" s="382">
        <f t="shared" si="54"/>
        <v>330</v>
      </c>
      <c r="B507" s="385" t="s">
        <v>1311</v>
      </c>
      <c r="C507" s="394">
        <v>75.3</v>
      </c>
      <c r="D507" s="385" t="s">
        <v>151</v>
      </c>
      <c r="F507" s="370">
        <v>4.5</v>
      </c>
      <c r="G507" s="368" t="s">
        <v>108</v>
      </c>
      <c r="H507" s="356" t="s">
        <v>126</v>
      </c>
      <c r="I507" s="370">
        <f>(C78)</f>
        <v>1779.13</v>
      </c>
      <c r="J507" s="356" t="s">
        <v>108</v>
      </c>
      <c r="K507" s="370">
        <f t="shared" si="56"/>
        <v>8006.0850000000009</v>
      </c>
      <c r="M507" s="370">
        <v>2</v>
      </c>
      <c r="N507" s="356" t="s">
        <v>151</v>
      </c>
      <c r="O507" s="356" t="s">
        <v>153</v>
      </c>
      <c r="P507" s="370">
        <f>(C12)</f>
        <v>781.19999999999993</v>
      </c>
      <c r="Q507" s="356" t="s">
        <v>151</v>
      </c>
      <c r="R507" s="370">
        <f t="shared" si="55"/>
        <v>1562.3999999999999</v>
      </c>
      <c r="S507" s="35"/>
      <c r="T507" s="358"/>
      <c r="V507" s="370"/>
      <c r="W507" s="360"/>
      <c r="X507" s="363" t="s">
        <v>156</v>
      </c>
      <c r="Y507" s="363"/>
      <c r="AG507" s="395" t="str">
        <f t="shared" si="48"/>
        <v>|</v>
      </c>
      <c r="AI507" s="356" t="s">
        <v>1256</v>
      </c>
    </row>
    <row r="508" spans="1:35" ht="15.75">
      <c r="A508" s="382">
        <f t="shared" si="54"/>
        <v>331</v>
      </c>
      <c r="B508" s="385" t="s">
        <v>1302</v>
      </c>
      <c r="C508" s="466">
        <v>100.3</v>
      </c>
      <c r="D508" s="385" t="s">
        <v>151</v>
      </c>
      <c r="F508" s="370">
        <v>3.5</v>
      </c>
      <c r="G508" s="368" t="s">
        <v>151</v>
      </c>
      <c r="H508" s="356" t="s">
        <v>152</v>
      </c>
      <c r="I508" s="370">
        <f>(C11)</f>
        <v>1118.3999999999999</v>
      </c>
      <c r="J508" s="356" t="s">
        <v>151</v>
      </c>
      <c r="K508" s="370">
        <f t="shared" si="56"/>
        <v>3914.3999999999996</v>
      </c>
      <c r="M508" s="370">
        <v>1</v>
      </c>
      <c r="N508" s="356" t="s">
        <v>151</v>
      </c>
      <c r="O508" s="356" t="s">
        <v>154</v>
      </c>
      <c r="P508" s="370">
        <f>(C13)</f>
        <v>640.79999999999995</v>
      </c>
      <c r="Q508" s="356" t="s">
        <v>151</v>
      </c>
      <c r="R508" s="370">
        <f t="shared" si="55"/>
        <v>640.79999999999995</v>
      </c>
      <c r="S508" s="35"/>
      <c r="T508" s="368" t="s">
        <v>932</v>
      </c>
      <c r="U508" s="356" t="s">
        <v>1264</v>
      </c>
      <c r="V508" s="370"/>
      <c r="W508" s="360"/>
      <c r="AG508" s="395" t="str">
        <f t="shared" si="48"/>
        <v>|</v>
      </c>
      <c r="AI508" s="356" t="s">
        <v>1256</v>
      </c>
    </row>
    <row r="509" spans="1:35" ht="15.75">
      <c r="A509" s="382">
        <f t="shared" si="54"/>
        <v>332</v>
      </c>
      <c r="B509" s="385" t="s">
        <v>1305</v>
      </c>
      <c r="C509" s="466">
        <v>100.3</v>
      </c>
      <c r="D509" s="385" t="s">
        <v>151</v>
      </c>
      <c r="F509" s="370">
        <v>21.2</v>
      </c>
      <c r="G509" s="368" t="s">
        <v>151</v>
      </c>
      <c r="H509" s="356" t="s">
        <v>153</v>
      </c>
      <c r="I509" s="370">
        <f>(C12)</f>
        <v>781.19999999999993</v>
      </c>
      <c r="J509" s="356" t="s">
        <v>151</v>
      </c>
      <c r="K509" s="370">
        <f t="shared" si="56"/>
        <v>16561.439999999999</v>
      </c>
      <c r="N509" s="356" t="s">
        <v>128</v>
      </c>
      <c r="O509" s="356" t="s">
        <v>1312</v>
      </c>
      <c r="P509" s="356" t="s">
        <v>114</v>
      </c>
      <c r="Q509" s="356" t="s">
        <v>128</v>
      </c>
      <c r="R509" s="370">
        <f>(C56)</f>
        <v>12.1</v>
      </c>
      <c r="S509" s="35"/>
      <c r="T509" s="358"/>
      <c r="U509" s="356" t="s">
        <v>1265</v>
      </c>
      <c r="V509" s="370"/>
      <c r="W509" s="360"/>
      <c r="AG509" s="395" t="str">
        <f t="shared" si="48"/>
        <v>|</v>
      </c>
      <c r="AI509" s="356" t="s">
        <v>1256</v>
      </c>
    </row>
    <row r="510" spans="1:35" ht="15.75">
      <c r="A510" s="382">
        <f t="shared" si="54"/>
        <v>333</v>
      </c>
      <c r="B510" s="480" t="s">
        <v>1313</v>
      </c>
      <c r="C510" s="396"/>
      <c r="D510" s="385" t="s">
        <v>114</v>
      </c>
      <c r="F510" s="370">
        <v>35.299999999999997</v>
      </c>
      <c r="G510" s="368" t="s">
        <v>151</v>
      </c>
      <c r="H510" s="356" t="s">
        <v>154</v>
      </c>
      <c r="I510" s="370">
        <f>(C13)</f>
        <v>640.79999999999995</v>
      </c>
      <c r="J510" s="356" t="s">
        <v>151</v>
      </c>
      <c r="K510" s="370">
        <f t="shared" si="56"/>
        <v>22620.239999999998</v>
      </c>
      <c r="O510" s="356" t="s">
        <v>1314</v>
      </c>
      <c r="P510" s="356" t="s">
        <v>114</v>
      </c>
      <c r="R510" s="356" t="s">
        <v>114</v>
      </c>
      <c r="S510" s="35"/>
      <c r="T510" s="358"/>
      <c r="U510" s="363" t="s">
        <v>117</v>
      </c>
      <c r="V510" s="370"/>
      <c r="W510" s="360"/>
      <c r="AG510" s="395" t="str">
        <f t="shared" si="48"/>
        <v>|</v>
      </c>
      <c r="AI510" s="356" t="s">
        <v>1256</v>
      </c>
    </row>
    <row r="511" spans="1:35" ht="15.75">
      <c r="A511" s="382">
        <f t="shared" si="54"/>
        <v>334</v>
      </c>
      <c r="B511" s="385" t="s">
        <v>1315</v>
      </c>
      <c r="C511" s="394">
        <v>40.4</v>
      </c>
      <c r="D511" s="385" t="s">
        <v>151</v>
      </c>
      <c r="G511" s="368" t="s">
        <v>128</v>
      </c>
      <c r="H511" s="356" t="s">
        <v>129</v>
      </c>
      <c r="I511" s="356" t="s">
        <v>114</v>
      </c>
      <c r="J511" s="356" t="s">
        <v>128</v>
      </c>
      <c r="K511" s="370">
        <v>0</v>
      </c>
      <c r="N511" s="356" t="s">
        <v>128</v>
      </c>
      <c r="O511" s="356" t="s">
        <v>129</v>
      </c>
      <c r="Q511" s="356" t="s">
        <v>128</v>
      </c>
      <c r="R511" s="370">
        <v>0</v>
      </c>
      <c r="S511" s="407">
        <v>1.4E-2</v>
      </c>
      <c r="T511" s="368" t="s">
        <v>108</v>
      </c>
      <c r="U511" s="356" t="s">
        <v>1266</v>
      </c>
      <c r="V511" s="370">
        <f>X505</f>
        <v>9137</v>
      </c>
      <c r="W511" s="356" t="s">
        <v>108</v>
      </c>
      <c r="X511" s="370">
        <f>(S511*V511)</f>
        <v>127.91800000000001</v>
      </c>
      <c r="Y511" s="370"/>
      <c r="AG511" s="395" t="str">
        <f t="shared" si="48"/>
        <v>|</v>
      </c>
      <c r="AI511" s="356" t="s">
        <v>1256</v>
      </c>
    </row>
    <row r="512" spans="1:35" ht="15.75">
      <c r="A512" s="382">
        <f t="shared" si="54"/>
        <v>335</v>
      </c>
      <c r="B512" s="385" t="s">
        <v>1298</v>
      </c>
      <c r="C512" s="484">
        <v>47</v>
      </c>
      <c r="D512" s="385" t="s">
        <v>151</v>
      </c>
      <c r="K512" s="363" t="s">
        <v>117</v>
      </c>
      <c r="R512" s="363" t="s">
        <v>117</v>
      </c>
      <c r="S512" s="407"/>
      <c r="T512" s="358"/>
      <c r="U512" s="356" t="s">
        <v>1267</v>
      </c>
      <c r="V512" s="370"/>
      <c r="W512" s="360"/>
      <c r="X512" s="356" t="s">
        <v>114</v>
      </c>
      <c r="Y512" s="356"/>
      <c r="AG512" s="395" t="str">
        <f t="shared" si="48"/>
        <v>|</v>
      </c>
      <c r="AI512" s="356" t="s">
        <v>1256</v>
      </c>
    </row>
    <row r="513" spans="1:38" ht="15.75">
      <c r="A513" s="382">
        <f t="shared" si="54"/>
        <v>336</v>
      </c>
      <c r="B513" s="385" t="s">
        <v>1316</v>
      </c>
      <c r="C513" s="394">
        <v>52</v>
      </c>
      <c r="D513" s="385" t="s">
        <v>151</v>
      </c>
      <c r="H513" s="356" t="s">
        <v>1044</v>
      </c>
      <c r="K513" s="370">
        <f>SUM(K505:K511)</f>
        <v>82166.099339999986</v>
      </c>
      <c r="O513" s="356" t="s">
        <v>1317</v>
      </c>
      <c r="R513" s="370">
        <f>SUM(R501:R511)</f>
        <v>6402.5</v>
      </c>
      <c r="S513" s="370">
        <v>0.5</v>
      </c>
      <c r="T513" s="368" t="s">
        <v>223</v>
      </c>
      <c r="U513" s="356" t="s">
        <v>162</v>
      </c>
      <c r="V513" s="370">
        <f>V480</f>
        <v>1198.8</v>
      </c>
      <c r="W513" s="356" t="s">
        <v>223</v>
      </c>
      <c r="X513" s="370">
        <f>(S513*V513)</f>
        <v>599.4</v>
      </c>
      <c r="Y513" s="370"/>
      <c r="AG513" s="395" t="str">
        <f t="shared" si="48"/>
        <v>|</v>
      </c>
      <c r="AI513" s="356" t="s">
        <v>1256</v>
      </c>
    </row>
    <row r="514" spans="1:38" ht="15.75">
      <c r="A514" s="382">
        <f t="shared" si="54"/>
        <v>337</v>
      </c>
      <c r="B514" s="385" t="s">
        <v>1318</v>
      </c>
      <c r="C514" s="466">
        <v>36.61</v>
      </c>
      <c r="D514" s="385" t="s">
        <v>151</v>
      </c>
      <c r="K514" s="363" t="s">
        <v>117</v>
      </c>
      <c r="R514" s="363" t="s">
        <v>117</v>
      </c>
      <c r="S514" s="370">
        <v>0.75</v>
      </c>
      <c r="T514" s="368" t="s">
        <v>223</v>
      </c>
      <c r="U514" s="356" t="s">
        <v>153</v>
      </c>
      <c r="V514" s="370">
        <f>V481</f>
        <v>781.19999999999993</v>
      </c>
      <c r="W514" s="356" t="s">
        <v>223</v>
      </c>
      <c r="X514" s="370">
        <f>(S514*V514)</f>
        <v>585.9</v>
      </c>
      <c r="Y514" s="370"/>
      <c r="AG514" s="395" t="str">
        <f t="shared" si="48"/>
        <v>|</v>
      </c>
      <c r="AI514" s="356" t="s">
        <v>1256</v>
      </c>
    </row>
    <row r="515" spans="1:38" ht="15.75">
      <c r="A515" s="382">
        <f t="shared" si="54"/>
        <v>338</v>
      </c>
      <c r="B515" s="385" t="s">
        <v>1302</v>
      </c>
      <c r="C515" s="466">
        <v>78.709999999999994</v>
      </c>
      <c r="D515" s="385" t="s">
        <v>151</v>
      </c>
      <c r="H515" s="356" t="s">
        <v>155</v>
      </c>
      <c r="K515" s="370">
        <f>(K513/10)</f>
        <v>8216.6099339999982</v>
      </c>
      <c r="O515" s="356" t="s">
        <v>253</v>
      </c>
      <c r="R515" s="370">
        <f>(R513/30)</f>
        <v>213.41666666666666</v>
      </c>
      <c r="S515" s="35"/>
      <c r="T515" s="368" t="s">
        <v>128</v>
      </c>
      <c r="U515" s="356" t="s">
        <v>129</v>
      </c>
      <c r="V515" s="370">
        <f>V482</f>
        <v>0</v>
      </c>
      <c r="W515" s="356" t="s">
        <v>128</v>
      </c>
      <c r="X515" s="370">
        <v>0</v>
      </c>
      <c r="Y515" s="370"/>
      <c r="AG515" s="395" t="str">
        <f t="shared" si="48"/>
        <v>|</v>
      </c>
      <c r="AI515" s="356" t="s">
        <v>1256</v>
      </c>
    </row>
    <row r="516" spans="1:38" ht="15.75">
      <c r="A516" s="382">
        <f t="shared" si="54"/>
        <v>339</v>
      </c>
      <c r="B516" s="385" t="s">
        <v>1305</v>
      </c>
      <c r="C516" s="466">
        <v>78.709999999999994</v>
      </c>
      <c r="D516" s="385" t="s">
        <v>151</v>
      </c>
      <c r="R516" s="363" t="s">
        <v>117</v>
      </c>
      <c r="S516" s="35"/>
      <c r="T516" s="358"/>
      <c r="V516" s="370">
        <f>V483</f>
        <v>0</v>
      </c>
      <c r="W516" s="360"/>
      <c r="X516" s="363" t="s">
        <v>117</v>
      </c>
      <c r="Y516" s="363"/>
      <c r="AG516" s="395">
        <f t="shared" si="48"/>
        <v>0</v>
      </c>
    </row>
    <row r="517" spans="1:38" ht="15.75">
      <c r="A517" s="382">
        <f t="shared" si="54"/>
        <v>340</v>
      </c>
      <c r="B517" s="385" t="s">
        <v>1319</v>
      </c>
      <c r="C517" s="396"/>
      <c r="D517" s="385" t="s">
        <v>1320</v>
      </c>
      <c r="F517" s="370">
        <v>1</v>
      </c>
      <c r="G517" s="368" t="s">
        <v>108</v>
      </c>
      <c r="H517" s="356" t="s">
        <v>1052</v>
      </c>
      <c r="K517" s="370">
        <f>C25</f>
        <v>113.04</v>
      </c>
      <c r="N517" s="356" t="s">
        <v>5</v>
      </c>
      <c r="O517" s="357" t="s">
        <v>1321</v>
      </c>
      <c r="S517" s="35"/>
      <c r="T517" s="358"/>
      <c r="U517" s="356" t="s">
        <v>1275</v>
      </c>
      <c r="V517" s="370"/>
      <c r="W517" s="360"/>
      <c r="X517" s="370">
        <f>SUM(X511:X515)</f>
        <v>1313.2179999999998</v>
      </c>
      <c r="Y517" s="370"/>
      <c r="AG517" s="395" t="str">
        <f t="shared" si="48"/>
        <v>|</v>
      </c>
      <c r="AI517" s="356" t="s">
        <v>1256</v>
      </c>
    </row>
    <row r="518" spans="1:38" ht="15.75">
      <c r="A518" s="382">
        <f t="shared" si="54"/>
        <v>341</v>
      </c>
      <c r="B518" s="385" t="s">
        <v>1322</v>
      </c>
      <c r="C518" s="402">
        <v>20.55</v>
      </c>
      <c r="D518" s="385" t="s">
        <v>110</v>
      </c>
      <c r="K518" s="363" t="s">
        <v>117</v>
      </c>
      <c r="O518" s="363" t="s">
        <v>117</v>
      </c>
      <c r="S518" s="35"/>
      <c r="T518" s="358"/>
      <c r="V518" s="370"/>
      <c r="W518" s="360"/>
      <c r="X518" s="363" t="s">
        <v>117</v>
      </c>
      <c r="Y518" s="363"/>
      <c r="AG518" s="395" t="str">
        <f t="shared" si="48"/>
        <v>|</v>
      </c>
      <c r="AI518" s="356" t="s">
        <v>1256</v>
      </c>
    </row>
    <row r="519" spans="1:38" ht="15.75">
      <c r="A519" s="382">
        <f t="shared" si="54"/>
        <v>342</v>
      </c>
      <c r="B519" s="385" t="s">
        <v>1323</v>
      </c>
      <c r="C519" s="402">
        <v>26</v>
      </c>
      <c r="D519" s="385" t="s">
        <v>110</v>
      </c>
      <c r="E519" s="448">
        <v>98.6</v>
      </c>
      <c r="H519" s="356" t="s">
        <v>1324</v>
      </c>
      <c r="K519" s="370">
        <f>SUM(K515:K517)</f>
        <v>8329.6499339999991</v>
      </c>
      <c r="M519" s="370">
        <v>30</v>
      </c>
      <c r="N519" s="356" t="s">
        <v>110</v>
      </c>
      <c r="O519" s="356" t="s">
        <v>1301</v>
      </c>
      <c r="P519" s="370">
        <f>(C42)</f>
        <v>5</v>
      </c>
      <c r="Q519" s="356" t="s">
        <v>110</v>
      </c>
      <c r="R519" s="370">
        <f>(M519*P519)</f>
        <v>150</v>
      </c>
      <c r="S519" s="35"/>
      <c r="T519" s="358"/>
      <c r="U519" s="356" t="s">
        <v>177</v>
      </c>
      <c r="W519" s="360"/>
      <c r="X519" s="370">
        <f>(X517/0.372)</f>
        <v>3530.155913978494</v>
      </c>
      <c r="Y519" s="370"/>
      <c r="AG519" s="395" t="str">
        <f t="shared" si="48"/>
        <v>|</v>
      </c>
      <c r="AI519" s="356" t="s">
        <v>1256</v>
      </c>
    </row>
    <row r="520" spans="1:38" ht="15.75">
      <c r="A520" s="382">
        <f t="shared" si="54"/>
        <v>343</v>
      </c>
      <c r="B520" s="385" t="s">
        <v>1325</v>
      </c>
      <c r="C520" s="402">
        <v>35</v>
      </c>
      <c r="D520" s="385" t="s">
        <v>110</v>
      </c>
      <c r="K520" s="363" t="s">
        <v>117</v>
      </c>
      <c r="M520" s="356" t="s">
        <v>114</v>
      </c>
      <c r="O520" s="356" t="s">
        <v>1304</v>
      </c>
      <c r="P520" s="356" t="s">
        <v>114</v>
      </c>
      <c r="R520" s="356" t="s">
        <v>114</v>
      </c>
      <c r="S520" s="35"/>
      <c r="T520" s="358"/>
      <c r="W520" s="360"/>
      <c r="X520" s="363" t="s">
        <v>156</v>
      </c>
      <c r="Y520" s="363"/>
      <c r="AG520" s="395" t="str">
        <f t="shared" si="48"/>
        <v>|</v>
      </c>
      <c r="AI520" s="356" t="s">
        <v>1256</v>
      </c>
    </row>
    <row r="521" spans="1:38" ht="15.75">
      <c r="A521" s="382">
        <f t="shared" si="54"/>
        <v>344</v>
      </c>
      <c r="B521" s="385" t="s">
        <v>1326</v>
      </c>
      <c r="C521" s="402">
        <v>52</v>
      </c>
      <c r="D521" s="385" t="s">
        <v>110</v>
      </c>
      <c r="G521" s="368" t="s">
        <v>1327</v>
      </c>
      <c r="H521" s="356" t="s">
        <v>172</v>
      </c>
      <c r="K521" s="370">
        <f>(K519+C22)</f>
        <v>8473.4699339999988</v>
      </c>
      <c r="L521" s="35">
        <f>K521-K519</f>
        <v>143.81999999999971</v>
      </c>
      <c r="M521" s="370">
        <v>8</v>
      </c>
      <c r="N521" s="356" t="s">
        <v>151</v>
      </c>
      <c r="O521" s="356" t="s">
        <v>1218</v>
      </c>
      <c r="P521" s="370">
        <f>(C44)</f>
        <v>9.35</v>
      </c>
      <c r="Q521" s="356" t="s">
        <v>151</v>
      </c>
      <c r="R521" s="370">
        <f t="shared" ref="R521:R526" si="57">(M521*P521)</f>
        <v>74.8</v>
      </c>
      <c r="S521" s="35"/>
      <c r="T521" s="358"/>
      <c r="U521" s="356" t="s">
        <v>172</v>
      </c>
      <c r="V521" s="35">
        <f>X519</f>
        <v>3530.155913978494</v>
      </c>
      <c r="W521" s="360">
        <f>W488</f>
        <v>5.4125806451612899</v>
      </c>
      <c r="X521" s="369">
        <f>V521+W521</f>
        <v>3535.5684946236552</v>
      </c>
      <c r="Y521" s="369"/>
      <c r="AG521" s="395" t="str">
        <f t="shared" si="48"/>
        <v>|</v>
      </c>
      <c r="AI521" s="356" t="s">
        <v>1256</v>
      </c>
    </row>
    <row r="522" spans="1:38" ht="15.75">
      <c r="A522" s="382">
        <f t="shared" si="54"/>
        <v>345</v>
      </c>
      <c r="B522" s="385" t="s">
        <v>1328</v>
      </c>
      <c r="C522" s="402">
        <v>65</v>
      </c>
      <c r="D522" s="384">
        <v>21</v>
      </c>
      <c r="G522" s="368" t="s">
        <v>1329</v>
      </c>
      <c r="H522" s="356" t="s">
        <v>873</v>
      </c>
      <c r="K522" s="370">
        <f>(K521+C23)</f>
        <v>8756.7899339999985</v>
      </c>
      <c r="M522" s="370">
        <v>8</v>
      </c>
      <c r="N522" s="356" t="s">
        <v>151</v>
      </c>
      <c r="O522" s="356" t="s">
        <v>1221</v>
      </c>
      <c r="P522" s="370">
        <f>(C51)</f>
        <v>13.5</v>
      </c>
      <c r="Q522" s="356" t="s">
        <v>151</v>
      </c>
      <c r="R522" s="370">
        <f t="shared" si="57"/>
        <v>108</v>
      </c>
      <c r="S522" s="35"/>
      <c r="T522" s="358"/>
      <c r="U522" s="356" t="s">
        <v>873</v>
      </c>
      <c r="V522" s="35">
        <f t="shared" ref="V522:V527" si="58">X521</f>
        <v>3535.5684946236552</v>
      </c>
      <c r="W522" s="360">
        <f>W489</f>
        <v>10.66258064516129</v>
      </c>
      <c r="X522" s="369">
        <f>V522+W522</f>
        <v>3546.2310752688163</v>
      </c>
      <c r="Y522" s="369"/>
      <c r="AG522" s="395" t="str">
        <f t="shared" si="48"/>
        <v>|</v>
      </c>
      <c r="AI522" s="356" t="s">
        <v>1256</v>
      </c>
    </row>
    <row r="523" spans="1:38" ht="15.75">
      <c r="A523" s="382">
        <f t="shared" si="54"/>
        <v>346</v>
      </c>
      <c r="B523" s="385" t="s">
        <v>1330</v>
      </c>
      <c r="C523" s="402">
        <v>82</v>
      </c>
      <c r="D523" s="384">
        <v>37.15</v>
      </c>
      <c r="G523" s="368" t="s">
        <v>1331</v>
      </c>
      <c r="H523" s="356" t="s">
        <v>876</v>
      </c>
      <c r="K523" s="370">
        <f>(K522+C24)</f>
        <v>9040.1099339999982</v>
      </c>
      <c r="M523" s="370">
        <v>3</v>
      </c>
      <c r="N523" s="356" t="s">
        <v>151</v>
      </c>
      <c r="O523" s="356" t="s">
        <v>1309</v>
      </c>
      <c r="P523" s="370">
        <f>(C41)</f>
        <v>885.6</v>
      </c>
      <c r="Q523" s="356" t="s">
        <v>151</v>
      </c>
      <c r="R523" s="370">
        <f t="shared" si="57"/>
        <v>2656.8</v>
      </c>
      <c r="S523" s="35"/>
      <c r="T523" s="358"/>
      <c r="U523" s="356" t="s">
        <v>876</v>
      </c>
      <c r="V523" s="35">
        <f t="shared" si="58"/>
        <v>3546.2310752688163</v>
      </c>
      <c r="W523" s="360">
        <f>W490</f>
        <v>10.66258064516129</v>
      </c>
      <c r="X523" s="369">
        <f>V523+W523</f>
        <v>3556.8936559139775</v>
      </c>
      <c r="Y523" s="369"/>
      <c r="AG523" s="395" t="str">
        <f t="shared" si="48"/>
        <v>|</v>
      </c>
      <c r="AI523" s="356" t="s">
        <v>1256</v>
      </c>
    </row>
    <row r="524" spans="1:38" ht="15.75">
      <c r="A524" s="382">
        <f t="shared" si="54"/>
        <v>347</v>
      </c>
      <c r="B524" s="385" t="s">
        <v>1332</v>
      </c>
      <c r="C524" s="396"/>
      <c r="D524" s="385" t="s">
        <v>114</v>
      </c>
      <c r="G524" s="368" t="s">
        <v>1333</v>
      </c>
      <c r="H524" s="356" t="s">
        <v>878</v>
      </c>
      <c r="K524" s="370">
        <f>(K523+C24)</f>
        <v>9323.429933999998</v>
      </c>
      <c r="M524" s="370">
        <v>1</v>
      </c>
      <c r="N524" s="356" t="s">
        <v>151</v>
      </c>
      <c r="O524" s="356" t="s">
        <v>1310</v>
      </c>
      <c r="P524" s="370">
        <f>(C10)</f>
        <v>1198.8</v>
      </c>
      <c r="Q524" s="356" t="s">
        <v>151</v>
      </c>
      <c r="R524" s="370">
        <f t="shared" si="57"/>
        <v>1198.8</v>
      </c>
      <c r="S524" s="35"/>
      <c r="T524" s="358"/>
      <c r="U524" s="356" t="s">
        <v>878</v>
      </c>
      <c r="V524" s="35">
        <f t="shared" si="58"/>
        <v>3556.8936559139775</v>
      </c>
      <c r="W524" s="360">
        <f>W491</f>
        <v>10.66258064516129</v>
      </c>
      <c r="X524" s="369">
        <f>V524+W524</f>
        <v>3567.5562365591386</v>
      </c>
      <c r="Y524" s="369"/>
      <c r="AG524" s="395" t="str">
        <f t="shared" si="48"/>
        <v>|::</v>
      </c>
      <c r="AI524" s="356" t="s">
        <v>1001</v>
      </c>
    </row>
    <row r="525" spans="1:38" ht="15.75">
      <c r="A525" s="382">
        <f t="shared" si="54"/>
        <v>348</v>
      </c>
      <c r="B525" s="385" t="s">
        <v>1205</v>
      </c>
      <c r="C525" s="402">
        <v>4.1900000000000004</v>
      </c>
      <c r="D525" s="385" t="s">
        <v>151</v>
      </c>
      <c r="M525" s="370">
        <v>2</v>
      </c>
      <c r="N525" s="356" t="s">
        <v>151</v>
      </c>
      <c r="O525" s="356" t="s">
        <v>153</v>
      </c>
      <c r="P525" s="370">
        <f>(C12)</f>
        <v>781.19999999999993</v>
      </c>
      <c r="Q525" s="356" t="s">
        <v>151</v>
      </c>
      <c r="R525" s="370">
        <f t="shared" si="57"/>
        <v>1562.3999999999999</v>
      </c>
      <c r="S525" s="35"/>
      <c r="T525" s="358"/>
      <c r="U525" s="356" t="s">
        <v>1287</v>
      </c>
      <c r="V525" s="35">
        <f t="shared" si="58"/>
        <v>3567.5562365591386</v>
      </c>
      <c r="W525" s="360">
        <f>W492</f>
        <v>10.66258064516129</v>
      </c>
      <c r="X525" s="369">
        <f>V525+W525</f>
        <v>3578.2188172042997</v>
      </c>
      <c r="Y525" s="369"/>
      <c r="AG525" s="395">
        <f t="shared" si="48"/>
        <v>0</v>
      </c>
    </row>
    <row r="526" spans="1:38" ht="15.75">
      <c r="A526" s="382">
        <f t="shared" si="54"/>
        <v>349</v>
      </c>
      <c r="B526" s="385" t="s">
        <v>1207</v>
      </c>
      <c r="C526" s="402">
        <v>5</v>
      </c>
      <c r="D526" s="385" t="s">
        <v>151</v>
      </c>
      <c r="F526" s="357" t="s">
        <v>1334</v>
      </c>
      <c r="G526" s="368" t="s">
        <v>122</v>
      </c>
      <c r="H526" s="356" t="s">
        <v>1335</v>
      </c>
      <c r="M526" s="370">
        <v>1</v>
      </c>
      <c r="N526" s="356" t="s">
        <v>151</v>
      </c>
      <c r="O526" s="356" t="s">
        <v>154</v>
      </c>
      <c r="P526" s="370">
        <f>(C13)</f>
        <v>640.79999999999995</v>
      </c>
      <c r="Q526" s="356" t="s">
        <v>151</v>
      </c>
      <c r="R526" s="370">
        <f t="shared" si="57"/>
        <v>640.79999999999995</v>
      </c>
      <c r="U526" s="356" t="s">
        <v>1163</v>
      </c>
      <c r="V526" s="35">
        <f t="shared" si="58"/>
        <v>3578.2188172042997</v>
      </c>
      <c r="W526" s="360">
        <f>W525</f>
        <v>10.66258064516129</v>
      </c>
      <c r="X526" s="369">
        <f>X525+W526</f>
        <v>3588.8813978494609</v>
      </c>
      <c r="Y526" s="369"/>
      <c r="AG526" s="395">
        <f t="shared" si="48"/>
        <v>0</v>
      </c>
    </row>
    <row r="527" spans="1:38" ht="24.75">
      <c r="A527" s="382">
        <f t="shared" si="54"/>
        <v>350</v>
      </c>
      <c r="B527" s="385" t="s">
        <v>1209</v>
      </c>
      <c r="C527" s="402">
        <v>8.06</v>
      </c>
      <c r="D527" s="385" t="s">
        <v>151</v>
      </c>
      <c r="H527" s="363" t="s">
        <v>117</v>
      </c>
      <c r="N527" s="356" t="s">
        <v>128</v>
      </c>
      <c r="O527" s="356" t="s">
        <v>1312</v>
      </c>
      <c r="P527" s="356" t="s">
        <v>114</v>
      </c>
      <c r="Q527" s="356" t="s">
        <v>128</v>
      </c>
      <c r="R527" s="370">
        <f>(C56)</f>
        <v>12.1</v>
      </c>
      <c r="U527" s="356" t="s">
        <v>1165</v>
      </c>
      <c r="V527" s="35">
        <f t="shared" si="58"/>
        <v>3588.8813978494609</v>
      </c>
      <c r="W527" s="360">
        <f>W526</f>
        <v>10.66258064516129</v>
      </c>
      <c r="X527" s="369">
        <f>X526+W527</f>
        <v>3599.543978494622</v>
      </c>
      <c r="Y527" s="369"/>
      <c r="AC527" s="485" t="s">
        <v>1336</v>
      </c>
      <c r="AG527" s="395">
        <f t="shared" ref="AG527:AG598" si="59">AI527</f>
        <v>0</v>
      </c>
      <c r="AJ527" s="485" t="s">
        <v>1337</v>
      </c>
    </row>
    <row r="528" spans="1:38" ht="15.75">
      <c r="A528" s="382">
        <f t="shared" si="54"/>
        <v>351</v>
      </c>
      <c r="B528" s="385" t="s">
        <v>1211</v>
      </c>
      <c r="C528" s="402">
        <v>11.86</v>
      </c>
      <c r="D528" s="385" t="s">
        <v>151</v>
      </c>
      <c r="F528" s="407">
        <v>1.4999999999999999E-2</v>
      </c>
      <c r="G528" s="368" t="s">
        <v>108</v>
      </c>
      <c r="H528" s="356" t="s">
        <v>1338</v>
      </c>
      <c r="I528" s="370">
        <f>(K515)</f>
        <v>8216.6099339999982</v>
      </c>
      <c r="J528" s="356" t="s">
        <v>108</v>
      </c>
      <c r="K528" s="370">
        <f>(F528*I528)</f>
        <v>123.24914900999997</v>
      </c>
      <c r="O528" s="356" t="s">
        <v>1314</v>
      </c>
      <c r="P528" s="356" t="s">
        <v>114</v>
      </c>
      <c r="R528" s="356" t="s">
        <v>114</v>
      </c>
      <c r="Z528" s="357" t="s">
        <v>1334</v>
      </c>
      <c r="AA528" s="368" t="s">
        <v>122</v>
      </c>
      <c r="AB528" s="368"/>
      <c r="AC528" s="356" t="s">
        <v>1339</v>
      </c>
      <c r="AE528" s="360"/>
      <c r="AG528" s="395" t="str">
        <f t="shared" si="59"/>
        <v>*</v>
      </c>
      <c r="AH528" s="357" t="s">
        <v>1334</v>
      </c>
      <c r="AI528" s="368" t="s">
        <v>122</v>
      </c>
      <c r="AJ528" s="356" t="s">
        <v>1340</v>
      </c>
      <c r="AL528" s="360"/>
    </row>
    <row r="529" spans="1:39" ht="15.75">
      <c r="A529" s="382">
        <f t="shared" si="54"/>
        <v>352</v>
      </c>
      <c r="B529" s="385" t="s">
        <v>1213</v>
      </c>
      <c r="C529" s="402">
        <v>18.88</v>
      </c>
      <c r="D529" s="385" t="s">
        <v>151</v>
      </c>
      <c r="F529" s="370">
        <v>0.5</v>
      </c>
      <c r="G529" s="368" t="s">
        <v>223</v>
      </c>
      <c r="H529" s="356" t="s">
        <v>162</v>
      </c>
      <c r="I529" s="370">
        <f>(C10)</f>
        <v>1198.8</v>
      </c>
      <c r="J529" s="356" t="s">
        <v>223</v>
      </c>
      <c r="K529" s="370">
        <f>(F529*I529)</f>
        <v>599.4</v>
      </c>
      <c r="N529" s="356" t="s">
        <v>128</v>
      </c>
      <c r="O529" s="356" t="s">
        <v>129</v>
      </c>
      <c r="Q529" s="356" t="s">
        <v>128</v>
      </c>
      <c r="R529" s="370">
        <v>0</v>
      </c>
      <c r="S529" s="357" t="s">
        <v>1334</v>
      </c>
      <c r="T529" s="368" t="s">
        <v>122</v>
      </c>
      <c r="U529" s="356" t="s">
        <v>1341</v>
      </c>
      <c r="W529" s="361"/>
      <c r="AA529" s="358"/>
      <c r="AB529" s="358"/>
      <c r="AC529" s="363" t="s">
        <v>117</v>
      </c>
      <c r="AE529" s="360"/>
      <c r="AG529" s="395">
        <f t="shared" si="59"/>
        <v>0</v>
      </c>
      <c r="AI529" s="358"/>
      <c r="AJ529" s="363" t="s">
        <v>117</v>
      </c>
      <c r="AL529" s="360"/>
    </row>
    <row r="530" spans="1:39" ht="15.75">
      <c r="A530" s="382">
        <f t="shared" si="54"/>
        <v>353</v>
      </c>
      <c r="B530" s="385" t="s">
        <v>1090</v>
      </c>
      <c r="C530" s="402">
        <v>26</v>
      </c>
      <c r="D530" s="385" t="s">
        <v>151</v>
      </c>
      <c r="F530" s="370">
        <v>0.75</v>
      </c>
      <c r="G530" s="368" t="s">
        <v>223</v>
      </c>
      <c r="H530" s="356" t="s">
        <v>153</v>
      </c>
      <c r="I530" s="370">
        <f>(C12)</f>
        <v>781.19999999999993</v>
      </c>
      <c r="J530" s="356" t="s">
        <v>223</v>
      </c>
      <c r="K530" s="370">
        <f>(F530*I530)</f>
        <v>585.9</v>
      </c>
      <c r="R530" s="363" t="s">
        <v>117</v>
      </c>
      <c r="S530" s="35"/>
      <c r="T530" s="358"/>
      <c r="U530" s="363" t="s">
        <v>117</v>
      </c>
      <c r="W530" s="361"/>
      <c r="Z530" s="407">
        <v>1.4999999999999999E-2</v>
      </c>
      <c r="AA530" s="368" t="s">
        <v>108</v>
      </c>
      <c r="AB530" s="368"/>
      <c r="AC530" s="356" t="s">
        <v>1338</v>
      </c>
      <c r="AD530" s="370">
        <f>Z690</f>
        <v>9394.3075183500005</v>
      </c>
      <c r="AE530" s="356" t="s">
        <v>108</v>
      </c>
      <c r="AF530" s="370">
        <f>(Z530*AD530)</f>
        <v>140.91461277524999</v>
      </c>
      <c r="AG530" s="395" t="str">
        <f t="shared" si="59"/>
        <v>CUM</v>
      </c>
      <c r="AH530" s="407">
        <v>1.4999999999999999E-2</v>
      </c>
      <c r="AI530" s="368" t="s">
        <v>108</v>
      </c>
      <c r="AJ530" s="356" t="s">
        <v>1338</v>
      </c>
      <c r="AK530" s="370">
        <f>Z744</f>
        <v>9022.0082833500001</v>
      </c>
      <c r="AL530" s="356" t="s">
        <v>108</v>
      </c>
      <c r="AM530" s="370">
        <f>(AH530*AK530)</f>
        <v>135.33012425025001</v>
      </c>
    </row>
    <row r="531" spans="1:39" ht="15.75">
      <c r="A531" s="382">
        <f t="shared" si="54"/>
        <v>354</v>
      </c>
      <c r="B531" s="385" t="s">
        <v>1342</v>
      </c>
      <c r="C531" s="465"/>
      <c r="D531" s="385" t="s">
        <v>114</v>
      </c>
      <c r="G531" s="368" t="s">
        <v>128</v>
      </c>
      <c r="H531" s="356" t="s">
        <v>129</v>
      </c>
      <c r="J531" s="356" t="s">
        <v>128</v>
      </c>
      <c r="K531" s="370">
        <v>0</v>
      </c>
      <c r="O531" s="356" t="s">
        <v>1317</v>
      </c>
      <c r="R531" s="370">
        <f>SUM(R519:R529)</f>
        <v>6403.7000000000007</v>
      </c>
      <c r="S531" s="407">
        <v>1.4999999999999999E-2</v>
      </c>
      <c r="T531" s="368" t="s">
        <v>108</v>
      </c>
      <c r="U531" s="356" t="s">
        <v>1338</v>
      </c>
      <c r="V531" s="370">
        <f>X659</f>
        <v>8324.4906463499974</v>
      </c>
      <c r="W531" s="357" t="s">
        <v>108</v>
      </c>
      <c r="X531" s="370">
        <f>(S531*V531)</f>
        <v>124.86735969524996</v>
      </c>
      <c r="Y531" s="370"/>
      <c r="Z531" s="370">
        <v>0.5</v>
      </c>
      <c r="AA531" s="368" t="s">
        <v>223</v>
      </c>
      <c r="AB531" s="368"/>
      <c r="AC531" s="356" t="s">
        <v>162</v>
      </c>
      <c r="AD531" s="370">
        <f>V532</f>
        <v>1198.8</v>
      </c>
      <c r="AE531" s="356" t="s">
        <v>223</v>
      </c>
      <c r="AF531" s="370">
        <f>(Z531*AD531)</f>
        <v>599.4</v>
      </c>
      <c r="AG531" s="395" t="str">
        <f t="shared" si="59"/>
        <v>NO</v>
      </c>
      <c r="AH531" s="370">
        <v>0.5</v>
      </c>
      <c r="AI531" s="368" t="s">
        <v>223</v>
      </c>
      <c r="AJ531" s="356" t="s">
        <v>162</v>
      </c>
      <c r="AK531" s="370">
        <f>AD531</f>
        <v>1198.8</v>
      </c>
      <c r="AL531" s="356" t="s">
        <v>223</v>
      </c>
      <c r="AM531" s="370">
        <f>(AH531*AK531)</f>
        <v>599.4</v>
      </c>
    </row>
    <row r="532" spans="1:39" ht="15.75">
      <c r="A532" s="382">
        <f t="shared" si="54"/>
        <v>355</v>
      </c>
      <c r="B532" s="385" t="s">
        <v>1205</v>
      </c>
      <c r="C532" s="402">
        <v>4.62</v>
      </c>
      <c r="D532" s="385" t="s">
        <v>151</v>
      </c>
      <c r="K532" s="363" t="s">
        <v>117</v>
      </c>
      <c r="R532" s="363" t="s">
        <v>117</v>
      </c>
      <c r="S532" s="370">
        <v>0.5</v>
      </c>
      <c r="T532" s="368" t="s">
        <v>223</v>
      </c>
      <c r="U532" s="356" t="s">
        <v>162</v>
      </c>
      <c r="V532" s="370">
        <f>C10</f>
        <v>1198.8</v>
      </c>
      <c r="W532" s="357" t="s">
        <v>223</v>
      </c>
      <c r="X532" s="370">
        <f>(S532*V532)</f>
        <v>599.4</v>
      </c>
      <c r="Y532" s="370"/>
      <c r="Z532" s="370">
        <v>0.75</v>
      </c>
      <c r="AA532" s="368" t="s">
        <v>223</v>
      </c>
      <c r="AB532" s="368"/>
      <c r="AC532" s="356" t="s">
        <v>153</v>
      </c>
      <c r="AD532" s="370">
        <f>V533</f>
        <v>781.19999999999993</v>
      </c>
      <c r="AE532" s="356" t="s">
        <v>223</v>
      </c>
      <c r="AF532" s="370">
        <f>(Z532*AD532)</f>
        <v>585.9</v>
      </c>
      <c r="AG532" s="395" t="str">
        <f t="shared" si="59"/>
        <v>NO</v>
      </c>
      <c r="AH532" s="370">
        <v>0.75</v>
      </c>
      <c r="AI532" s="368" t="s">
        <v>223</v>
      </c>
      <c r="AJ532" s="356" t="s">
        <v>153</v>
      </c>
      <c r="AK532" s="370">
        <f>AD532</f>
        <v>781.19999999999993</v>
      </c>
      <c r="AL532" s="356" t="s">
        <v>223</v>
      </c>
      <c r="AM532" s="370">
        <f>(AH532*AK532)</f>
        <v>585.9</v>
      </c>
    </row>
    <row r="533" spans="1:39" ht="15.75">
      <c r="A533" s="382">
        <f t="shared" si="54"/>
        <v>356</v>
      </c>
      <c r="B533" s="385" t="s">
        <v>1207</v>
      </c>
      <c r="C533" s="402">
        <v>7.83</v>
      </c>
      <c r="D533" s="385" t="s">
        <v>151</v>
      </c>
      <c r="H533" s="356" t="s">
        <v>1343</v>
      </c>
      <c r="K533" s="370">
        <f>SUM(K528:K531)</f>
        <v>1308.5491490099998</v>
      </c>
      <c r="O533" s="356" t="s">
        <v>253</v>
      </c>
      <c r="R533" s="370">
        <f>(R531/30)</f>
        <v>213.45666666666668</v>
      </c>
      <c r="S533" s="370">
        <v>0.75</v>
      </c>
      <c r="T533" s="368" t="s">
        <v>223</v>
      </c>
      <c r="U533" s="356" t="s">
        <v>153</v>
      </c>
      <c r="V533" s="370">
        <f>C12</f>
        <v>781.19999999999993</v>
      </c>
      <c r="W533" s="357" t="s">
        <v>223</v>
      </c>
      <c r="X533" s="370">
        <f>(S533*V533)</f>
        <v>585.9</v>
      </c>
      <c r="Y533" s="370"/>
      <c r="AA533" s="368" t="s">
        <v>128</v>
      </c>
      <c r="AB533" s="368"/>
      <c r="AC533" s="356" t="s">
        <v>129</v>
      </c>
      <c r="AD533" s="370">
        <f>V534</f>
        <v>0</v>
      </c>
      <c r="AE533" s="356" t="s">
        <v>128</v>
      </c>
      <c r="AF533" s="370">
        <v>0</v>
      </c>
      <c r="AG533" s="395" t="str">
        <f t="shared" si="59"/>
        <v>L.S</v>
      </c>
      <c r="AI533" s="368" t="s">
        <v>128</v>
      </c>
      <c r="AJ533" s="356" t="s">
        <v>129</v>
      </c>
      <c r="AK533" s="370">
        <f>AD533</f>
        <v>0</v>
      </c>
      <c r="AL533" s="356" t="s">
        <v>128</v>
      </c>
      <c r="AM533" s="370">
        <v>0</v>
      </c>
    </row>
    <row r="534" spans="1:39" ht="15.75">
      <c r="A534" s="382">
        <f t="shared" si="54"/>
        <v>357</v>
      </c>
      <c r="B534" s="385" t="s">
        <v>1209</v>
      </c>
      <c r="C534" s="402">
        <v>11.38</v>
      </c>
      <c r="D534" s="385" t="s">
        <v>151</v>
      </c>
      <c r="K534" s="363" t="s">
        <v>117</v>
      </c>
      <c r="R534" s="363" t="s">
        <v>117</v>
      </c>
      <c r="S534" s="35"/>
      <c r="T534" s="368" t="s">
        <v>128</v>
      </c>
      <c r="U534" s="356" t="s">
        <v>129</v>
      </c>
      <c r="W534" s="357" t="s">
        <v>128</v>
      </c>
      <c r="X534" s="370">
        <v>0</v>
      </c>
      <c r="Y534" s="370"/>
      <c r="AA534" s="358"/>
      <c r="AB534" s="358"/>
      <c r="AE534" s="360"/>
      <c r="AF534" s="363" t="s">
        <v>117</v>
      </c>
      <c r="AG534" s="395">
        <f t="shared" si="59"/>
        <v>0</v>
      </c>
      <c r="AI534" s="358"/>
      <c r="AL534" s="360"/>
      <c r="AM534" s="363" t="s">
        <v>117</v>
      </c>
    </row>
    <row r="535" spans="1:39" ht="15.75">
      <c r="A535" s="382">
        <f t="shared" si="54"/>
        <v>358</v>
      </c>
      <c r="B535" s="385" t="s">
        <v>1211</v>
      </c>
      <c r="C535" s="402">
        <v>18.75</v>
      </c>
      <c r="D535" s="385" t="s">
        <v>151</v>
      </c>
      <c r="H535" s="356" t="s">
        <v>177</v>
      </c>
      <c r="K535" s="370">
        <f>(K533/0.743)</f>
        <v>1761.1697833243604</v>
      </c>
      <c r="S535" s="35"/>
      <c r="T535" s="358"/>
      <c r="W535" s="361"/>
      <c r="X535" s="363" t="s">
        <v>117</v>
      </c>
      <c r="Y535" s="363"/>
      <c r="AA535" s="358"/>
      <c r="AB535" s="358"/>
      <c r="AC535" s="356" t="s">
        <v>1343</v>
      </c>
      <c r="AE535" s="360"/>
      <c r="AF535" s="370">
        <f>SUM(AF530:AF533)</f>
        <v>1326.2146127752499</v>
      </c>
      <c r="AG535" s="395">
        <f t="shared" si="59"/>
        <v>0</v>
      </c>
      <c r="AI535" s="358"/>
      <c r="AJ535" s="356" t="s">
        <v>1343</v>
      </c>
      <c r="AL535" s="360"/>
      <c r="AM535" s="370">
        <f>SUM(AM530:AM533)</f>
        <v>1320.63012425025</v>
      </c>
    </row>
    <row r="536" spans="1:39" ht="15.75">
      <c r="A536" s="382">
        <f t="shared" si="54"/>
        <v>359</v>
      </c>
      <c r="B536" s="385" t="s">
        <v>1213</v>
      </c>
      <c r="C536" s="402">
        <v>35.1</v>
      </c>
      <c r="D536" s="385" t="s">
        <v>151</v>
      </c>
      <c r="K536" s="363" t="s">
        <v>156</v>
      </c>
      <c r="S536" s="35"/>
      <c r="T536" s="358"/>
      <c r="U536" s="356" t="s">
        <v>1343</v>
      </c>
      <c r="W536" s="361"/>
      <c r="X536" s="370">
        <f>SUM(X531:X534)</f>
        <v>1310.1673596952501</v>
      </c>
      <c r="Y536" s="370"/>
      <c r="AA536" s="358"/>
      <c r="AB536" s="358"/>
      <c r="AE536" s="360"/>
      <c r="AF536" s="363" t="s">
        <v>117</v>
      </c>
      <c r="AG536" s="395">
        <f t="shared" si="59"/>
        <v>0</v>
      </c>
      <c r="AI536" s="358"/>
      <c r="AL536" s="360"/>
      <c r="AM536" s="363" t="s">
        <v>117</v>
      </c>
    </row>
    <row r="537" spans="1:39" ht="15.75">
      <c r="A537" s="382">
        <f t="shared" si="54"/>
        <v>360</v>
      </c>
      <c r="B537" s="385" t="s">
        <v>1090</v>
      </c>
      <c r="C537" s="402">
        <v>45.57</v>
      </c>
      <c r="D537" s="385" t="s">
        <v>151</v>
      </c>
      <c r="H537" s="356" t="s">
        <v>172</v>
      </c>
      <c r="I537" s="370">
        <f>K535</f>
        <v>1761.1697833243604</v>
      </c>
      <c r="J537" s="356">
        <f>C22*0.015/0.743</f>
        <v>2.9034993270524896</v>
      </c>
      <c r="K537" s="369">
        <f>I537+J537</f>
        <v>1764.0732826514129</v>
      </c>
      <c r="N537" s="356" t="s">
        <v>1260</v>
      </c>
      <c r="O537" s="357" t="s">
        <v>1344</v>
      </c>
      <c r="S537" s="35"/>
      <c r="T537" s="358"/>
      <c r="W537" s="361"/>
      <c r="X537" s="363" t="s">
        <v>117</v>
      </c>
      <c r="Y537" s="363"/>
      <c r="AA537" s="358"/>
      <c r="AB537" s="358"/>
      <c r="AC537" s="356" t="s">
        <v>177</v>
      </c>
      <c r="AE537" s="360"/>
      <c r="AF537" s="370">
        <f>(AF535/0.743)</f>
        <v>1784.9456430353296</v>
      </c>
      <c r="AG537" s="395">
        <f t="shared" si="59"/>
        <v>0</v>
      </c>
      <c r="AI537" s="358"/>
      <c r="AJ537" s="356" t="s">
        <v>177</v>
      </c>
      <c r="AL537" s="360"/>
      <c r="AM537" s="370">
        <f>(AM535/0.743)</f>
        <v>1777.4295077392328</v>
      </c>
    </row>
    <row r="538" spans="1:39" ht="15.75">
      <c r="A538" s="382">
        <f t="shared" si="54"/>
        <v>361</v>
      </c>
      <c r="B538" s="385" t="s">
        <v>1345</v>
      </c>
      <c r="C538" s="465"/>
      <c r="D538" s="385" t="s">
        <v>114</v>
      </c>
      <c r="H538" s="356" t="s">
        <v>873</v>
      </c>
      <c r="I538" s="370">
        <f>K537</f>
        <v>1764.0732826514129</v>
      </c>
      <c r="J538" s="356">
        <f>C23*0.015/0.743</f>
        <v>5.7197846567967696</v>
      </c>
      <c r="K538" s="369">
        <f>I538+J538</f>
        <v>1769.7930673082096</v>
      </c>
      <c r="O538" s="363" t="s">
        <v>117</v>
      </c>
      <c r="S538" s="35"/>
      <c r="T538" s="358"/>
      <c r="U538" s="356" t="s">
        <v>177</v>
      </c>
      <c r="W538" s="361"/>
      <c r="X538" s="370">
        <f>(X536/0.743)</f>
        <v>1763.3477250272545</v>
      </c>
      <c r="Y538" s="370"/>
      <c r="AA538" s="358"/>
      <c r="AB538" s="358"/>
      <c r="AE538" s="360"/>
      <c r="AF538" s="363" t="s">
        <v>156</v>
      </c>
      <c r="AG538" s="395">
        <f t="shared" si="59"/>
        <v>0</v>
      </c>
      <c r="AI538" s="358"/>
      <c r="AL538" s="360"/>
      <c r="AM538" s="363" t="s">
        <v>156</v>
      </c>
    </row>
    <row r="539" spans="1:39" ht="15.75">
      <c r="A539" s="382">
        <f t="shared" si="54"/>
        <v>362</v>
      </c>
      <c r="B539" s="385" t="s">
        <v>1205</v>
      </c>
      <c r="C539" s="402">
        <v>7.8</v>
      </c>
      <c r="D539" s="385" t="s">
        <v>151</v>
      </c>
      <c r="H539" s="356" t="s">
        <v>876</v>
      </c>
      <c r="I539" s="370">
        <f>K538</f>
        <v>1769.7930673082096</v>
      </c>
      <c r="J539" s="356">
        <f>J538</f>
        <v>5.7197846567967696</v>
      </c>
      <c r="K539" s="369">
        <f>I539+J539</f>
        <v>1775.5128519650063</v>
      </c>
      <c r="M539" s="370">
        <v>30</v>
      </c>
      <c r="N539" s="356" t="s">
        <v>110</v>
      </c>
      <c r="O539" s="356" t="s">
        <v>1301</v>
      </c>
      <c r="P539" s="370">
        <f>(C42)</f>
        <v>5</v>
      </c>
      <c r="Q539" s="356" t="s">
        <v>110</v>
      </c>
      <c r="R539" s="370">
        <f>(M539*P539)</f>
        <v>150</v>
      </c>
      <c r="S539" s="35"/>
      <c r="T539" s="358"/>
      <c r="W539" s="361"/>
      <c r="X539" s="363" t="s">
        <v>156</v>
      </c>
      <c r="Y539" s="363"/>
      <c r="AA539" s="358"/>
      <c r="AB539" s="358"/>
      <c r="AC539" s="356" t="s">
        <v>172</v>
      </c>
      <c r="AD539" s="370">
        <f>AF537</f>
        <v>1784.9456430353296</v>
      </c>
      <c r="AE539" s="356">
        <f t="shared" ref="AE539:AE551" si="60">W540</f>
        <v>2.9034993270524896</v>
      </c>
      <c r="AF539" s="369">
        <f>AD539+AE539</f>
        <v>1787.8491423623821</v>
      </c>
      <c r="AG539" s="395">
        <f t="shared" si="59"/>
        <v>0</v>
      </c>
      <c r="AI539" s="358"/>
      <c r="AJ539" s="356" t="s">
        <v>172</v>
      </c>
      <c r="AK539" s="370">
        <f>AM537</f>
        <v>1777.4295077392328</v>
      </c>
      <c r="AL539" s="356">
        <f>AE539</f>
        <v>2.9034993270524896</v>
      </c>
      <c r="AM539" s="369">
        <f>AK539+AL539</f>
        <v>1780.3330070662853</v>
      </c>
    </row>
    <row r="540" spans="1:39" ht="15.75">
      <c r="A540" s="382">
        <f t="shared" si="54"/>
        <v>363</v>
      </c>
      <c r="B540" s="385" t="s">
        <v>1207</v>
      </c>
      <c r="C540" s="402">
        <v>9.49</v>
      </c>
      <c r="D540" s="385" t="s">
        <v>151</v>
      </c>
      <c r="H540" s="356" t="s">
        <v>878</v>
      </c>
      <c r="I540" s="370">
        <f>K539</f>
        <v>1775.5128519650063</v>
      </c>
      <c r="J540" s="356">
        <f>J539</f>
        <v>5.7197846567967696</v>
      </c>
      <c r="K540" s="369">
        <f>I540+J540</f>
        <v>1781.2326366218031</v>
      </c>
      <c r="M540" s="356" t="s">
        <v>114</v>
      </c>
      <c r="O540" s="356" t="s">
        <v>1304</v>
      </c>
      <c r="P540" s="356" t="s">
        <v>114</v>
      </c>
      <c r="R540" s="356" t="s">
        <v>114</v>
      </c>
      <c r="S540" s="35"/>
      <c r="T540" s="358"/>
      <c r="U540" s="356" t="s">
        <v>172</v>
      </c>
      <c r="V540" s="370">
        <f>X538</f>
        <v>1763.3477250272545</v>
      </c>
      <c r="W540" s="357">
        <f>J537</f>
        <v>2.9034993270524896</v>
      </c>
      <c r="X540" s="369">
        <f>V540+W540</f>
        <v>1766.2512243543069</v>
      </c>
      <c r="Y540" s="369"/>
      <c r="AA540" s="358"/>
      <c r="AB540" s="358"/>
      <c r="AC540" s="356" t="s">
        <v>873</v>
      </c>
      <c r="AD540" s="370">
        <f>AF539</f>
        <v>1787.8491423623821</v>
      </c>
      <c r="AE540" s="356">
        <f t="shared" si="60"/>
        <v>5.7197846567967696</v>
      </c>
      <c r="AF540" s="369">
        <f>AD540+AE540</f>
        <v>1793.5689270191788</v>
      </c>
      <c r="AG540" s="395">
        <f t="shared" si="59"/>
        <v>0</v>
      </c>
      <c r="AI540" s="358"/>
      <c r="AJ540" s="356" t="s">
        <v>873</v>
      </c>
      <c r="AK540" s="370">
        <f>AM539</f>
        <v>1780.3330070662853</v>
      </c>
      <c r="AL540" s="356">
        <f t="shared" ref="AL540:AL550" si="61">AE540</f>
        <v>5.7197846567967696</v>
      </c>
      <c r="AM540" s="369">
        <f>AK540+AL540</f>
        <v>1786.052791723082</v>
      </c>
    </row>
    <row r="541" spans="1:39" ht="15.75">
      <c r="A541" s="382">
        <f t="shared" si="54"/>
        <v>364</v>
      </c>
      <c r="B541" s="385" t="s">
        <v>1209</v>
      </c>
      <c r="C541" s="402">
        <v>13.91</v>
      </c>
      <c r="D541" s="385" t="s">
        <v>151</v>
      </c>
      <c r="H541" s="356" t="s">
        <v>873</v>
      </c>
      <c r="I541" s="370">
        <f>K540</f>
        <v>1781.2326366218031</v>
      </c>
      <c r="J541" s="356">
        <f>J540</f>
        <v>5.7197846567967696</v>
      </c>
      <c r="K541" s="369">
        <f>I541+J541</f>
        <v>1786.9524212785998</v>
      </c>
      <c r="M541" s="370">
        <v>8</v>
      </c>
      <c r="N541" s="356" t="s">
        <v>151</v>
      </c>
      <c r="O541" s="356" t="s">
        <v>1218</v>
      </c>
      <c r="P541" s="370">
        <f>(C45)</f>
        <v>11.2</v>
      </c>
      <c r="Q541" s="356" t="s">
        <v>151</v>
      </c>
      <c r="R541" s="370">
        <f>(M541*P541)</f>
        <v>89.6</v>
      </c>
      <c r="S541" s="35"/>
      <c r="T541" s="358"/>
      <c r="U541" s="356" t="s">
        <v>873</v>
      </c>
      <c r="V541" s="370">
        <f>X540</f>
        <v>1766.2512243543069</v>
      </c>
      <c r="W541" s="357">
        <f t="shared" ref="W541:W552" si="62">J540</f>
        <v>5.7197846567967696</v>
      </c>
      <c r="X541" s="369">
        <f>V541+W541</f>
        <v>1771.9710090111037</v>
      </c>
      <c r="Y541" s="369"/>
      <c r="AA541" s="358"/>
      <c r="AB541" s="358"/>
      <c r="AC541" s="356" t="s">
        <v>876</v>
      </c>
      <c r="AD541" s="370">
        <f>AF540</f>
        <v>1793.5689270191788</v>
      </c>
      <c r="AE541" s="356">
        <f t="shared" si="60"/>
        <v>5.7197846567967696</v>
      </c>
      <c r="AF541" s="369">
        <f>AD541+AE541</f>
        <v>1799.2887116759755</v>
      </c>
      <c r="AG541" s="395">
        <f t="shared" si="59"/>
        <v>0</v>
      </c>
      <c r="AI541" s="358"/>
      <c r="AJ541" s="356" t="s">
        <v>876</v>
      </c>
      <c r="AK541" s="370">
        <f>AM540</f>
        <v>1786.052791723082</v>
      </c>
      <c r="AL541" s="356">
        <f t="shared" si="61"/>
        <v>5.7197846567967696</v>
      </c>
      <c r="AM541" s="369">
        <f>AK541+AL541</f>
        <v>1791.7725763798787</v>
      </c>
    </row>
    <row r="542" spans="1:39" ht="15.75">
      <c r="A542" s="382"/>
      <c r="B542" s="385"/>
      <c r="C542" s="384"/>
      <c r="D542" s="385"/>
      <c r="H542" s="356">
        <v>5</v>
      </c>
      <c r="I542" s="370">
        <f t="shared" ref="I542:I547" si="63">K541</f>
        <v>1786.9524212785998</v>
      </c>
      <c r="J542" s="356">
        <f t="shared" ref="J542:J549" si="64">J541</f>
        <v>5.7197846567967696</v>
      </c>
      <c r="K542" s="369">
        <f t="shared" ref="K542:K547" si="65">I542+J542</f>
        <v>1792.6722059353965</v>
      </c>
      <c r="M542" s="370"/>
      <c r="N542" s="356"/>
      <c r="O542" s="356"/>
      <c r="P542" s="370"/>
      <c r="Q542" s="356"/>
      <c r="R542" s="370"/>
      <c r="S542" s="35"/>
      <c r="T542" s="358"/>
      <c r="U542" s="356" t="s">
        <v>876</v>
      </c>
      <c r="V542" s="370">
        <f>X541</f>
        <v>1771.9710090111037</v>
      </c>
      <c r="W542" s="357">
        <f t="shared" si="62"/>
        <v>5.7197846567967696</v>
      </c>
      <c r="X542" s="369">
        <f>V542+W542</f>
        <v>1777.6907936679004</v>
      </c>
      <c r="Y542" s="369"/>
      <c r="AA542" s="358"/>
      <c r="AB542" s="358"/>
      <c r="AC542" s="356" t="s">
        <v>878</v>
      </c>
      <c r="AD542" s="370">
        <f>AF541</f>
        <v>1799.2887116759755</v>
      </c>
      <c r="AE542" s="356">
        <f t="shared" si="60"/>
        <v>5.7197846567967696</v>
      </c>
      <c r="AF542" s="369">
        <f>AD542+AE542</f>
        <v>1805.0084963327722</v>
      </c>
      <c r="AG542" s="395"/>
      <c r="AI542" s="358"/>
      <c r="AJ542" s="356" t="s">
        <v>878</v>
      </c>
      <c r="AK542" s="370">
        <f>AM541</f>
        <v>1791.7725763798787</v>
      </c>
      <c r="AL542" s="356">
        <f t="shared" si="61"/>
        <v>5.7197846567967696</v>
      </c>
      <c r="AM542" s="369">
        <f>AK542+AL542</f>
        <v>1797.4923610366754</v>
      </c>
    </row>
    <row r="543" spans="1:39" ht="15.75">
      <c r="A543" s="382"/>
      <c r="B543" s="385"/>
      <c r="C543" s="384"/>
      <c r="D543" s="385"/>
      <c r="H543" s="356">
        <v>6</v>
      </c>
      <c r="I543" s="370">
        <f t="shared" si="63"/>
        <v>1792.6722059353965</v>
      </c>
      <c r="J543" s="356">
        <f t="shared" si="64"/>
        <v>5.7197846567967696</v>
      </c>
      <c r="K543" s="369">
        <f t="shared" si="65"/>
        <v>1798.3919905921932</v>
      </c>
      <c r="M543" s="370"/>
      <c r="N543" s="356"/>
      <c r="O543" s="356"/>
      <c r="P543" s="370"/>
      <c r="Q543" s="356"/>
      <c r="R543" s="370"/>
      <c r="S543" s="35"/>
      <c r="T543" s="358"/>
      <c r="U543" s="356" t="s">
        <v>878</v>
      </c>
      <c r="V543" s="370">
        <f>X542</f>
        <v>1777.6907936679004</v>
      </c>
      <c r="W543" s="357">
        <f t="shared" si="62"/>
        <v>5.7197846567967696</v>
      </c>
      <c r="X543" s="369">
        <f>V543+W543</f>
        <v>1783.4105783246971</v>
      </c>
      <c r="Y543" s="369"/>
      <c r="AA543" s="358"/>
      <c r="AB543" s="358"/>
      <c r="AC543" s="356" t="s">
        <v>873</v>
      </c>
      <c r="AD543" s="370">
        <f>AF542</f>
        <v>1805.0084963327722</v>
      </c>
      <c r="AE543" s="356">
        <f t="shared" si="60"/>
        <v>5.7197846567967696</v>
      </c>
      <c r="AF543" s="369">
        <f>AD543+AE543</f>
        <v>1810.7282809895689</v>
      </c>
      <c r="AG543" s="395"/>
      <c r="AI543" s="358"/>
      <c r="AJ543" s="356" t="s">
        <v>873</v>
      </c>
      <c r="AK543" s="370">
        <f>AM542</f>
        <v>1797.4923610366754</v>
      </c>
      <c r="AL543" s="356">
        <f t="shared" si="61"/>
        <v>5.7197846567967696</v>
      </c>
      <c r="AM543" s="369">
        <f>AK543+AL543</f>
        <v>1803.2121456934722</v>
      </c>
    </row>
    <row r="544" spans="1:39" ht="15.75">
      <c r="A544" s="382"/>
      <c r="B544" s="385"/>
      <c r="C544" s="384"/>
      <c r="D544" s="385"/>
      <c r="H544" s="356">
        <v>7</v>
      </c>
      <c r="I544" s="370">
        <f t="shared" si="63"/>
        <v>1798.3919905921932</v>
      </c>
      <c r="J544" s="356">
        <f t="shared" si="64"/>
        <v>5.7197846567967696</v>
      </c>
      <c r="K544" s="369">
        <f t="shared" si="65"/>
        <v>1804.1117752489899</v>
      </c>
      <c r="M544" s="370"/>
      <c r="N544" s="356"/>
      <c r="O544" s="356"/>
      <c r="P544" s="370"/>
      <c r="Q544" s="356"/>
      <c r="R544" s="370"/>
      <c r="S544" s="35"/>
      <c r="T544" s="358"/>
      <c r="U544" s="356" t="s">
        <v>873</v>
      </c>
      <c r="V544" s="370">
        <f>X543</f>
        <v>1783.4105783246971</v>
      </c>
      <c r="W544" s="357">
        <f t="shared" si="62"/>
        <v>5.7197846567967696</v>
      </c>
      <c r="X544" s="369">
        <f>V544+W544</f>
        <v>1789.1303629814938</v>
      </c>
      <c r="Y544" s="369"/>
      <c r="AA544" s="358"/>
      <c r="AB544" s="358"/>
      <c r="AC544" s="356">
        <v>5</v>
      </c>
      <c r="AD544" s="370">
        <f t="shared" ref="AD544:AD549" si="66">AF543</f>
        <v>1810.7282809895689</v>
      </c>
      <c r="AE544" s="356">
        <f t="shared" si="60"/>
        <v>5.7197846567967696</v>
      </c>
      <c r="AF544" s="369">
        <f t="shared" ref="AF544:AF549" si="67">AD544+AE544</f>
        <v>1816.4480656463656</v>
      </c>
      <c r="AG544" s="395"/>
      <c r="AI544" s="358"/>
      <c r="AJ544" s="356">
        <v>5</v>
      </c>
      <c r="AK544" s="370">
        <f t="shared" ref="AK544:AK549" si="68">AM543</f>
        <v>1803.2121456934722</v>
      </c>
      <c r="AL544" s="356">
        <f t="shared" si="61"/>
        <v>5.7197846567967696</v>
      </c>
      <c r="AM544" s="369">
        <f t="shared" ref="AM544:AM549" si="69">AK544+AL544</f>
        <v>1808.9319303502689</v>
      </c>
    </row>
    <row r="545" spans="1:39" ht="15.75">
      <c r="A545" s="382"/>
      <c r="B545" s="385"/>
      <c r="C545" s="384"/>
      <c r="D545" s="385"/>
      <c r="H545" s="356">
        <v>8</v>
      </c>
      <c r="I545" s="370">
        <f t="shared" si="63"/>
        <v>1804.1117752489899</v>
      </c>
      <c r="J545" s="356">
        <f t="shared" si="64"/>
        <v>5.7197846567967696</v>
      </c>
      <c r="K545" s="369">
        <f t="shared" si="65"/>
        <v>1809.8315599057867</v>
      </c>
      <c r="M545" s="370"/>
      <c r="N545" s="356"/>
      <c r="O545" s="356"/>
      <c r="P545" s="370"/>
      <c r="Q545" s="356"/>
      <c r="R545" s="370"/>
      <c r="S545" s="35"/>
      <c r="T545" s="358"/>
      <c r="U545" s="356">
        <v>5</v>
      </c>
      <c r="V545" s="370">
        <f t="shared" ref="V545:V550" si="70">X544</f>
        <v>1789.1303629814938</v>
      </c>
      <c r="W545" s="357">
        <f t="shared" si="62"/>
        <v>5.7197846567967696</v>
      </c>
      <c r="X545" s="369">
        <f t="shared" ref="X545:X550" si="71">V545+W545</f>
        <v>1794.8501476382905</v>
      </c>
      <c r="Y545" s="369"/>
      <c r="AA545" s="358"/>
      <c r="AB545" s="358"/>
      <c r="AC545" s="356">
        <v>6</v>
      </c>
      <c r="AD545" s="370">
        <f t="shared" si="66"/>
        <v>1816.4480656463656</v>
      </c>
      <c r="AE545" s="356">
        <f t="shared" si="60"/>
        <v>5.7197846567967696</v>
      </c>
      <c r="AF545" s="369">
        <f t="shared" si="67"/>
        <v>1822.1678503031624</v>
      </c>
      <c r="AG545" s="395"/>
      <c r="AI545" s="358"/>
      <c r="AJ545" s="356">
        <v>6</v>
      </c>
      <c r="AK545" s="370">
        <f t="shared" si="68"/>
        <v>1808.9319303502689</v>
      </c>
      <c r="AL545" s="356">
        <f t="shared" si="61"/>
        <v>5.7197846567967696</v>
      </c>
      <c r="AM545" s="369">
        <f t="shared" si="69"/>
        <v>1814.6517150070656</v>
      </c>
    </row>
    <row r="546" spans="1:39" ht="15.75">
      <c r="A546" s="382"/>
      <c r="B546" s="385"/>
      <c r="C546" s="384"/>
      <c r="D546" s="385"/>
      <c r="H546" s="356">
        <v>9</v>
      </c>
      <c r="I546" s="370">
        <f t="shared" si="63"/>
        <v>1809.8315599057867</v>
      </c>
      <c r="J546" s="356">
        <f t="shared" si="64"/>
        <v>5.7197846567967696</v>
      </c>
      <c r="K546" s="369">
        <f t="shared" si="65"/>
        <v>1815.5513445625834</v>
      </c>
      <c r="M546" s="370"/>
      <c r="N546" s="356"/>
      <c r="O546" s="356"/>
      <c r="P546" s="370"/>
      <c r="Q546" s="356"/>
      <c r="R546" s="370"/>
      <c r="S546" s="35"/>
      <c r="T546" s="358"/>
      <c r="U546" s="356">
        <v>6</v>
      </c>
      <c r="V546" s="370">
        <f t="shared" si="70"/>
        <v>1794.8501476382905</v>
      </c>
      <c r="W546" s="357">
        <f t="shared" si="62"/>
        <v>5.7197846567967696</v>
      </c>
      <c r="X546" s="369">
        <f t="shared" si="71"/>
        <v>1800.5699322950873</v>
      </c>
      <c r="Y546" s="369"/>
      <c r="AA546" s="358"/>
      <c r="AB546" s="358"/>
      <c r="AC546" s="356">
        <v>7</v>
      </c>
      <c r="AD546" s="370">
        <f t="shared" si="66"/>
        <v>1822.1678503031624</v>
      </c>
      <c r="AE546" s="356">
        <f t="shared" si="60"/>
        <v>5.7197846567967696</v>
      </c>
      <c r="AF546" s="369">
        <f t="shared" si="67"/>
        <v>1827.8876349599591</v>
      </c>
      <c r="AG546" s="395"/>
      <c r="AI546" s="358"/>
      <c r="AJ546" s="356">
        <v>7</v>
      </c>
      <c r="AK546" s="370">
        <f t="shared" si="68"/>
        <v>1814.6517150070656</v>
      </c>
      <c r="AL546" s="356">
        <f t="shared" si="61"/>
        <v>5.7197846567967696</v>
      </c>
      <c r="AM546" s="369">
        <f t="shared" si="69"/>
        <v>1820.3714996638623</v>
      </c>
    </row>
    <row r="547" spans="1:39" ht="15.75">
      <c r="A547" s="382"/>
      <c r="B547" s="385"/>
      <c r="C547" s="384"/>
      <c r="D547" s="385"/>
      <c r="H547" s="356">
        <v>10</v>
      </c>
      <c r="I547" s="370">
        <f t="shared" si="63"/>
        <v>1815.5513445625834</v>
      </c>
      <c r="J547" s="356">
        <f t="shared" si="64"/>
        <v>5.7197846567967696</v>
      </c>
      <c r="K547" s="369">
        <f t="shared" si="65"/>
        <v>1821.2711292193801</v>
      </c>
      <c r="M547" s="370"/>
      <c r="N547" s="356"/>
      <c r="O547" s="356"/>
      <c r="P547" s="370"/>
      <c r="Q547" s="356"/>
      <c r="R547" s="370"/>
      <c r="S547" s="35"/>
      <c r="T547" s="358"/>
      <c r="U547" s="356">
        <v>7</v>
      </c>
      <c r="V547" s="370">
        <f t="shared" si="70"/>
        <v>1800.5699322950873</v>
      </c>
      <c r="W547" s="357">
        <f t="shared" si="62"/>
        <v>5.7197846567967696</v>
      </c>
      <c r="X547" s="369">
        <f t="shared" si="71"/>
        <v>1806.289716951884</v>
      </c>
      <c r="Y547" s="369"/>
      <c r="AA547" s="358"/>
      <c r="AB547" s="358"/>
      <c r="AC547" s="356">
        <v>8</v>
      </c>
      <c r="AD547" s="370">
        <f t="shared" si="66"/>
        <v>1827.8876349599591</v>
      </c>
      <c r="AE547" s="356">
        <f t="shared" si="60"/>
        <v>5.7197846567967696</v>
      </c>
      <c r="AF547" s="369">
        <f t="shared" si="67"/>
        <v>1833.6074196167558</v>
      </c>
      <c r="AG547" s="395"/>
      <c r="AI547" s="358"/>
      <c r="AJ547" s="356">
        <v>8</v>
      </c>
      <c r="AK547" s="370">
        <f t="shared" si="68"/>
        <v>1820.3714996638623</v>
      </c>
      <c r="AL547" s="356">
        <f t="shared" si="61"/>
        <v>5.7197846567967696</v>
      </c>
      <c r="AM547" s="369">
        <f t="shared" si="69"/>
        <v>1826.091284320659</v>
      </c>
    </row>
    <row r="548" spans="1:39" ht="15.75">
      <c r="A548" s="382"/>
      <c r="B548" s="385"/>
      <c r="C548" s="384"/>
      <c r="D548" s="385"/>
      <c r="H548" s="356">
        <v>11</v>
      </c>
      <c r="I548" s="370">
        <f>K547</f>
        <v>1821.2711292193801</v>
      </c>
      <c r="J548" s="356">
        <f t="shared" si="64"/>
        <v>5.7197846567967696</v>
      </c>
      <c r="K548" s="369">
        <f>I548+J548</f>
        <v>1826.9909138761768</v>
      </c>
      <c r="M548" s="370"/>
      <c r="N548" s="356"/>
      <c r="O548" s="356"/>
      <c r="P548" s="370"/>
      <c r="Q548" s="356"/>
      <c r="R548" s="370"/>
      <c r="S548" s="35"/>
      <c r="T548" s="358"/>
      <c r="U548" s="356">
        <v>8</v>
      </c>
      <c r="V548" s="370">
        <f t="shared" si="70"/>
        <v>1806.289716951884</v>
      </c>
      <c r="W548" s="357">
        <f t="shared" si="62"/>
        <v>5.7197846567967696</v>
      </c>
      <c r="X548" s="369">
        <f t="shared" si="71"/>
        <v>1812.0095016086807</v>
      </c>
      <c r="Y548" s="369"/>
      <c r="AA548" s="358"/>
      <c r="AB548" s="358"/>
      <c r="AC548" s="356">
        <v>9</v>
      </c>
      <c r="AD548" s="370">
        <f t="shared" si="66"/>
        <v>1833.6074196167558</v>
      </c>
      <c r="AE548" s="356">
        <f t="shared" si="60"/>
        <v>5.7197846567967696</v>
      </c>
      <c r="AF548" s="369">
        <f t="shared" si="67"/>
        <v>1839.3272042735525</v>
      </c>
      <c r="AG548" s="395"/>
      <c r="AI548" s="358"/>
      <c r="AJ548" s="356">
        <v>9</v>
      </c>
      <c r="AK548" s="370">
        <f t="shared" si="68"/>
        <v>1826.091284320659</v>
      </c>
      <c r="AL548" s="356">
        <f t="shared" si="61"/>
        <v>5.7197846567967696</v>
      </c>
      <c r="AM548" s="369">
        <f t="shared" si="69"/>
        <v>1831.8110689774558</v>
      </c>
    </row>
    <row r="549" spans="1:39" ht="15.75">
      <c r="A549" s="382"/>
      <c r="B549" s="385"/>
      <c r="C549" s="384"/>
      <c r="D549" s="385"/>
      <c r="H549" s="356">
        <v>12</v>
      </c>
      <c r="I549" s="370">
        <f>K548</f>
        <v>1826.9909138761768</v>
      </c>
      <c r="J549" s="356">
        <f t="shared" si="64"/>
        <v>5.7197846567967696</v>
      </c>
      <c r="K549" s="369">
        <f>I549+J549</f>
        <v>1832.7106985329735</v>
      </c>
      <c r="M549" s="370"/>
      <c r="N549" s="356"/>
      <c r="O549" s="356"/>
      <c r="P549" s="370"/>
      <c r="Q549" s="356"/>
      <c r="R549" s="370"/>
      <c r="S549" s="35"/>
      <c r="T549" s="358"/>
      <c r="U549" s="356">
        <v>9</v>
      </c>
      <c r="V549" s="370">
        <f t="shared" si="70"/>
        <v>1812.0095016086807</v>
      </c>
      <c r="W549" s="357">
        <f t="shared" si="62"/>
        <v>5.7197846567967696</v>
      </c>
      <c r="X549" s="369">
        <f t="shared" si="71"/>
        <v>1817.7292862654774</v>
      </c>
      <c r="Y549" s="369"/>
      <c r="AA549" s="358"/>
      <c r="AB549" s="358"/>
      <c r="AC549" s="356">
        <v>10</v>
      </c>
      <c r="AD549" s="370">
        <f t="shared" si="66"/>
        <v>1839.3272042735525</v>
      </c>
      <c r="AE549" s="356">
        <f t="shared" si="60"/>
        <v>5.7197846567967696</v>
      </c>
      <c r="AF549" s="369">
        <f t="shared" si="67"/>
        <v>1845.0469889303492</v>
      </c>
      <c r="AG549" s="395"/>
      <c r="AI549" s="358"/>
      <c r="AJ549" s="356">
        <v>10</v>
      </c>
      <c r="AK549" s="370">
        <f t="shared" si="68"/>
        <v>1831.8110689774558</v>
      </c>
      <c r="AL549" s="356">
        <f t="shared" si="61"/>
        <v>5.7197846567967696</v>
      </c>
      <c r="AM549" s="369">
        <f t="shared" si="69"/>
        <v>1837.5308536342525</v>
      </c>
    </row>
    <row r="550" spans="1:39" ht="15.75">
      <c r="A550" s="382">
        <f>(A541+1)</f>
        <v>365</v>
      </c>
      <c r="B550" s="385" t="s">
        <v>1211</v>
      </c>
      <c r="C550" s="402">
        <v>26.59</v>
      </c>
      <c r="D550" s="385" t="s">
        <v>151</v>
      </c>
      <c r="F550" s="357" t="s">
        <v>1346</v>
      </c>
      <c r="G550" s="368" t="s">
        <v>122</v>
      </c>
      <c r="H550" s="356" t="s">
        <v>1347</v>
      </c>
      <c r="M550" s="370">
        <v>8</v>
      </c>
      <c r="N550" s="356" t="s">
        <v>151</v>
      </c>
      <c r="O550" s="356" t="s">
        <v>1221</v>
      </c>
      <c r="P550" s="370">
        <f>(C52)</f>
        <v>28.05</v>
      </c>
      <c r="Q550" s="356" t="s">
        <v>151</v>
      </c>
      <c r="R550" s="370">
        <f>(M550*P550)</f>
        <v>224.4</v>
      </c>
      <c r="S550" s="35"/>
      <c r="T550" s="358"/>
      <c r="U550" s="356">
        <v>10</v>
      </c>
      <c r="V550" s="370">
        <f t="shared" si="70"/>
        <v>1817.7292862654774</v>
      </c>
      <c r="W550" s="357">
        <f t="shared" si="62"/>
        <v>5.7197846567967696</v>
      </c>
      <c r="X550" s="369">
        <f t="shared" si="71"/>
        <v>1823.4490709222741</v>
      </c>
      <c r="Y550" s="369"/>
      <c r="AA550" s="358"/>
      <c r="AB550" s="358"/>
      <c r="AC550" s="356">
        <v>11</v>
      </c>
      <c r="AD550" s="370">
        <f>AF549</f>
        <v>1845.0469889303492</v>
      </c>
      <c r="AE550" s="356">
        <f t="shared" si="60"/>
        <v>0</v>
      </c>
      <c r="AF550" s="369">
        <f>AD550+AE550</f>
        <v>1845.0469889303492</v>
      </c>
      <c r="AG550" s="395">
        <f t="shared" si="59"/>
        <v>0</v>
      </c>
      <c r="AI550" s="358"/>
      <c r="AJ550" s="356">
        <v>11</v>
      </c>
      <c r="AK550" s="370">
        <f>AM549</f>
        <v>1837.5308536342525</v>
      </c>
      <c r="AL550" s="356">
        <f t="shared" si="61"/>
        <v>0</v>
      </c>
      <c r="AM550" s="369">
        <f>AK550+AL550</f>
        <v>1837.5308536342525</v>
      </c>
    </row>
    <row r="551" spans="1:39" ht="15.75">
      <c r="A551" s="382">
        <f t="shared" si="54"/>
        <v>366</v>
      </c>
      <c r="B551" s="385" t="s">
        <v>1213</v>
      </c>
      <c r="C551" s="402">
        <v>39.909999999999997</v>
      </c>
      <c r="D551" s="385" t="s">
        <v>151</v>
      </c>
      <c r="H551" s="363" t="s">
        <v>117</v>
      </c>
      <c r="M551" s="370">
        <v>3</v>
      </c>
      <c r="N551" s="356" t="s">
        <v>151</v>
      </c>
      <c r="O551" s="356" t="s">
        <v>1309</v>
      </c>
      <c r="P551" s="370">
        <f>(C41)</f>
        <v>885.6</v>
      </c>
      <c r="Q551" s="356" t="s">
        <v>151</v>
      </c>
      <c r="R551" s="370">
        <f>(M551*P551)</f>
        <v>2656.8</v>
      </c>
      <c r="S551" s="35"/>
      <c r="T551" s="358"/>
      <c r="U551" s="356">
        <v>11</v>
      </c>
      <c r="V551" s="370">
        <f>X550</f>
        <v>1823.4490709222741</v>
      </c>
      <c r="W551" s="357">
        <f t="shared" si="62"/>
        <v>0</v>
      </c>
      <c r="X551" s="369">
        <f>V551+W551</f>
        <v>1823.4490709222741</v>
      </c>
      <c r="Y551" s="369"/>
      <c r="AA551" s="358"/>
      <c r="AB551" s="358"/>
      <c r="AC551" s="356">
        <v>12</v>
      </c>
      <c r="AD551" s="370">
        <f>AF550</f>
        <v>1845.0469889303492</v>
      </c>
      <c r="AE551" s="356">
        <f t="shared" si="60"/>
        <v>0</v>
      </c>
      <c r="AF551" s="369">
        <f>AD551+AE551</f>
        <v>1845.0469889303492</v>
      </c>
      <c r="AG551" s="395">
        <f t="shared" si="59"/>
        <v>0</v>
      </c>
      <c r="AI551" s="358"/>
      <c r="AJ551" s="356">
        <v>12</v>
      </c>
      <c r="AK551" s="370">
        <f>AM550</f>
        <v>1837.5308536342525</v>
      </c>
      <c r="AL551" s="356">
        <f>AF551</f>
        <v>1845.0469889303492</v>
      </c>
      <c r="AM551" s="369">
        <f>AK551+AL551</f>
        <v>3682.5778425646017</v>
      </c>
    </row>
    <row r="552" spans="1:39" ht="15.75">
      <c r="A552" s="382">
        <f t="shared" si="54"/>
        <v>367</v>
      </c>
      <c r="B552" s="385" t="s">
        <v>1090</v>
      </c>
      <c r="C552" s="402">
        <v>66</v>
      </c>
      <c r="D552" s="385" t="s">
        <v>151</v>
      </c>
      <c r="F552" s="370">
        <v>0.03</v>
      </c>
      <c r="G552" s="368" t="s">
        <v>108</v>
      </c>
      <c r="H552" s="356" t="s">
        <v>1338</v>
      </c>
      <c r="I552" s="370">
        <f>(K515)</f>
        <v>8216.6099339999982</v>
      </c>
      <c r="J552" s="356" t="s">
        <v>108</v>
      </c>
      <c r="K552" s="370">
        <f>(F552*I552)</f>
        <v>246.49829801999994</v>
      </c>
      <c r="M552" s="370">
        <v>1</v>
      </c>
      <c r="N552" s="356" t="s">
        <v>151</v>
      </c>
      <c r="O552" s="356" t="s">
        <v>1310</v>
      </c>
      <c r="P552" s="370">
        <f>(C10)</f>
        <v>1198.8</v>
      </c>
      <c r="Q552" s="356" t="s">
        <v>151</v>
      </c>
      <c r="R552" s="370">
        <f>(M552*P552)</f>
        <v>1198.8</v>
      </c>
      <c r="S552" s="35"/>
      <c r="T552" s="358"/>
      <c r="U552" s="356">
        <v>12</v>
      </c>
      <c r="V552" s="370">
        <f>X551</f>
        <v>1823.4490709222741</v>
      </c>
      <c r="W552" s="357">
        <f t="shared" si="62"/>
        <v>0</v>
      </c>
      <c r="X552" s="369">
        <f>V552+W552</f>
        <v>1823.4490709222741</v>
      </c>
      <c r="Y552" s="369"/>
      <c r="Z552" s="357" t="s">
        <v>1346</v>
      </c>
      <c r="AA552" s="368" t="s">
        <v>122</v>
      </c>
      <c r="AB552" s="368"/>
      <c r="AC552" s="486" t="s">
        <v>1348</v>
      </c>
      <c r="AD552" s="486"/>
      <c r="AE552" s="356"/>
      <c r="AG552" s="395" t="str">
        <f t="shared" si="59"/>
        <v>*</v>
      </c>
      <c r="AH552" s="357" t="s">
        <v>1346</v>
      </c>
      <c r="AI552" s="368" t="s">
        <v>122</v>
      </c>
      <c r="AJ552" s="486" t="s">
        <v>1349</v>
      </c>
      <c r="AK552" s="486"/>
      <c r="AL552" s="356"/>
    </row>
    <row r="553" spans="1:39" ht="31.5">
      <c r="A553" s="382">
        <f t="shared" si="54"/>
        <v>368</v>
      </c>
      <c r="B553" s="385" t="s">
        <v>1350</v>
      </c>
      <c r="C553" s="465"/>
      <c r="D553" s="385" t="s">
        <v>114</v>
      </c>
      <c r="F553" s="370">
        <v>0.5</v>
      </c>
      <c r="G553" s="368" t="s">
        <v>223</v>
      </c>
      <c r="H553" s="356" t="s">
        <v>162</v>
      </c>
      <c r="I553" s="370">
        <f>(C10)</f>
        <v>1198.8</v>
      </c>
      <c r="J553" s="356" t="s">
        <v>223</v>
      </c>
      <c r="K553" s="370">
        <f>(F553*I553)</f>
        <v>599.4</v>
      </c>
      <c r="M553" s="370">
        <v>2</v>
      </c>
      <c r="N553" s="356" t="s">
        <v>151</v>
      </c>
      <c r="O553" s="356" t="s">
        <v>153</v>
      </c>
      <c r="P553" s="370">
        <f>(C12)</f>
        <v>781.19999999999993</v>
      </c>
      <c r="Q553" s="356" t="s">
        <v>151</v>
      </c>
      <c r="R553" s="370">
        <f>(M553*P553)</f>
        <v>1562.3999999999999</v>
      </c>
      <c r="S553" s="357" t="s">
        <v>1346</v>
      </c>
      <c r="T553" s="368" t="s">
        <v>122</v>
      </c>
      <c r="U553" s="440" t="s">
        <v>1351</v>
      </c>
      <c r="W553" s="357"/>
      <c r="AA553" s="358"/>
      <c r="AB553" s="358"/>
      <c r="AC553" s="363" t="s">
        <v>117</v>
      </c>
      <c r="AE553" s="360"/>
      <c r="AG553" s="395">
        <f t="shared" si="59"/>
        <v>0</v>
      </c>
      <c r="AI553" s="358"/>
      <c r="AJ553" s="363" t="s">
        <v>117</v>
      </c>
      <c r="AL553" s="360"/>
    </row>
    <row r="554" spans="1:39" ht="15.75">
      <c r="A554" s="382">
        <f t="shared" si="54"/>
        <v>369</v>
      </c>
      <c r="B554" s="385" t="s">
        <v>1307</v>
      </c>
      <c r="C554" s="402">
        <v>4.75</v>
      </c>
      <c r="D554" s="385" t="s">
        <v>151</v>
      </c>
      <c r="F554" s="370">
        <v>0.75</v>
      </c>
      <c r="G554" s="368" t="s">
        <v>223</v>
      </c>
      <c r="H554" s="356" t="s">
        <v>153</v>
      </c>
      <c r="I554" s="370">
        <f>(C12)</f>
        <v>781.19999999999993</v>
      </c>
      <c r="J554" s="356" t="s">
        <v>223</v>
      </c>
      <c r="K554" s="370">
        <f>(F554*I554)</f>
        <v>585.9</v>
      </c>
      <c r="M554" s="370">
        <v>1</v>
      </c>
      <c r="N554" s="356" t="s">
        <v>151</v>
      </c>
      <c r="O554" s="356" t="s">
        <v>154</v>
      </c>
      <c r="P554" s="370">
        <f>(C13)</f>
        <v>640.79999999999995</v>
      </c>
      <c r="Q554" s="356" t="s">
        <v>151</v>
      </c>
      <c r="R554" s="370">
        <f>(M554*P554)</f>
        <v>640.79999999999995</v>
      </c>
      <c r="S554" s="35"/>
      <c r="T554" s="358"/>
      <c r="U554" s="363" t="s">
        <v>117</v>
      </c>
      <c r="W554" s="361"/>
      <c r="Z554" s="370">
        <v>0.03</v>
      </c>
      <c r="AA554" s="368" t="s">
        <v>108</v>
      </c>
      <c r="AB554" s="368"/>
      <c r="AC554" s="356" t="s">
        <v>1352</v>
      </c>
      <c r="AD554" s="370">
        <f>AD530</f>
        <v>9394.3075183500005</v>
      </c>
      <c r="AE554" s="356" t="s">
        <v>108</v>
      </c>
      <c r="AF554" s="370">
        <f>(Z554*AD554)</f>
        <v>281.82922555049998</v>
      </c>
      <c r="AG554" s="395" t="str">
        <f t="shared" si="59"/>
        <v>CUM</v>
      </c>
      <c r="AH554" s="370">
        <v>0.03</v>
      </c>
      <c r="AI554" s="368" t="s">
        <v>108</v>
      </c>
      <c r="AJ554" s="356" t="s">
        <v>1352</v>
      </c>
      <c r="AK554" s="370">
        <f>AK530</f>
        <v>9022.0082833500001</v>
      </c>
      <c r="AL554" s="356" t="s">
        <v>108</v>
      </c>
      <c r="AM554" s="370">
        <f>(AH554*AK554)</f>
        <v>270.66024850050002</v>
      </c>
    </row>
    <row r="555" spans="1:39" ht="15.75">
      <c r="A555" s="382">
        <f t="shared" si="54"/>
        <v>370</v>
      </c>
      <c r="B555" s="385" t="s">
        <v>1298</v>
      </c>
      <c r="C555" s="402">
        <v>6.89</v>
      </c>
      <c r="D555" s="385" t="s">
        <v>151</v>
      </c>
      <c r="E555" s="487">
        <f>0.03/40*75</f>
        <v>5.6250000000000001E-2</v>
      </c>
      <c r="G555" s="368" t="s">
        <v>128</v>
      </c>
      <c r="H555" s="356" t="s">
        <v>129</v>
      </c>
      <c r="J555" s="356" t="s">
        <v>128</v>
      </c>
      <c r="K555" s="370">
        <v>0</v>
      </c>
      <c r="N555" s="356" t="s">
        <v>128</v>
      </c>
      <c r="O555" s="356" t="s">
        <v>1312</v>
      </c>
      <c r="P555" s="356" t="s">
        <v>114</v>
      </c>
      <c r="Q555" s="356" t="s">
        <v>128</v>
      </c>
      <c r="R555" s="370">
        <f>(C56)</f>
        <v>12.1</v>
      </c>
      <c r="S555" s="370">
        <v>0.03</v>
      </c>
      <c r="T555" s="368" t="s">
        <v>108</v>
      </c>
      <c r="U555" s="356" t="s">
        <v>1352</v>
      </c>
      <c r="V555" s="370">
        <f>V531</f>
        <v>8324.4906463499974</v>
      </c>
      <c r="W555" s="357" t="s">
        <v>108</v>
      </c>
      <c r="X555" s="370">
        <f>(S555*V555)</f>
        <v>249.73471939049992</v>
      </c>
      <c r="Y555" s="370"/>
      <c r="Z555" s="370">
        <v>0.5</v>
      </c>
      <c r="AA555" s="368" t="s">
        <v>223</v>
      </c>
      <c r="AB555" s="368"/>
      <c r="AC555" s="356" t="s">
        <v>162</v>
      </c>
      <c r="AD555" s="370">
        <f>AD531</f>
        <v>1198.8</v>
      </c>
      <c r="AE555" s="356" t="s">
        <v>223</v>
      </c>
      <c r="AF555" s="370">
        <f>(Z555*AD555)</f>
        <v>599.4</v>
      </c>
      <c r="AG555" s="395" t="str">
        <f t="shared" si="59"/>
        <v>NO</v>
      </c>
      <c r="AH555" s="370">
        <v>0.5</v>
      </c>
      <c r="AI555" s="368" t="s">
        <v>223</v>
      </c>
      <c r="AJ555" s="356" t="s">
        <v>162</v>
      </c>
      <c r="AK555" s="370">
        <f>AK531</f>
        <v>1198.8</v>
      </c>
      <c r="AL555" s="356" t="s">
        <v>223</v>
      </c>
      <c r="AM555" s="370">
        <f>(AH555*AK555)</f>
        <v>599.4</v>
      </c>
    </row>
    <row r="556" spans="1:39" ht="15.75">
      <c r="A556" s="382">
        <f t="shared" si="54"/>
        <v>371</v>
      </c>
      <c r="B556" s="385" t="s">
        <v>1311</v>
      </c>
      <c r="C556" s="402">
        <v>6.18</v>
      </c>
      <c r="D556" s="385" t="s">
        <v>151</v>
      </c>
      <c r="K556" s="363" t="s">
        <v>117</v>
      </c>
      <c r="O556" s="356" t="s">
        <v>1314</v>
      </c>
      <c r="P556" s="356" t="s">
        <v>114</v>
      </c>
      <c r="R556" s="356" t="s">
        <v>114</v>
      </c>
      <c r="S556" s="370">
        <v>0.5</v>
      </c>
      <c r="T556" s="368" t="s">
        <v>223</v>
      </c>
      <c r="U556" s="356" t="s">
        <v>162</v>
      </c>
      <c r="V556" s="370">
        <f>V532</f>
        <v>1198.8</v>
      </c>
      <c r="W556" s="357" t="s">
        <v>223</v>
      </c>
      <c r="X556" s="370">
        <f>(S556*V556)</f>
        <v>599.4</v>
      </c>
      <c r="Y556" s="370"/>
      <c r="Z556" s="370">
        <v>0.75</v>
      </c>
      <c r="AA556" s="368" t="s">
        <v>223</v>
      </c>
      <c r="AB556" s="368"/>
      <c r="AC556" s="356" t="s">
        <v>153</v>
      </c>
      <c r="AD556" s="370">
        <f>AD532</f>
        <v>781.19999999999993</v>
      </c>
      <c r="AE556" s="356" t="s">
        <v>223</v>
      </c>
      <c r="AF556" s="370">
        <f>(Z556*AD556)</f>
        <v>585.9</v>
      </c>
      <c r="AG556" s="395" t="str">
        <f t="shared" si="59"/>
        <v>NO</v>
      </c>
      <c r="AH556" s="370">
        <v>0.75</v>
      </c>
      <c r="AI556" s="368" t="s">
        <v>223</v>
      </c>
      <c r="AJ556" s="356" t="s">
        <v>153</v>
      </c>
      <c r="AK556" s="370">
        <f>AK532</f>
        <v>781.19999999999993</v>
      </c>
      <c r="AL556" s="356" t="s">
        <v>223</v>
      </c>
      <c r="AM556" s="370">
        <f>(AH556*AK556)</f>
        <v>585.9</v>
      </c>
    </row>
    <row r="557" spans="1:39" ht="15.75">
      <c r="A557" s="382">
        <f t="shared" si="54"/>
        <v>372</v>
      </c>
      <c r="B557" s="385" t="s">
        <v>1353</v>
      </c>
      <c r="C557" s="402">
        <v>13.29</v>
      </c>
      <c r="D557" s="385" t="s">
        <v>151</v>
      </c>
      <c r="H557" s="356" t="s">
        <v>1343</v>
      </c>
      <c r="K557" s="370">
        <f>SUM(K552:K555)</f>
        <v>1431.7982980199999</v>
      </c>
      <c r="N557" s="356" t="s">
        <v>128</v>
      </c>
      <c r="O557" s="356" t="s">
        <v>129</v>
      </c>
      <c r="Q557" s="356" t="s">
        <v>128</v>
      </c>
      <c r="R557" s="370">
        <v>0</v>
      </c>
      <c r="S557" s="370">
        <v>0.75</v>
      </c>
      <c r="T557" s="368" t="s">
        <v>223</v>
      </c>
      <c r="U557" s="356" t="s">
        <v>153</v>
      </c>
      <c r="V557" s="370">
        <f>V533</f>
        <v>781.19999999999993</v>
      </c>
      <c r="W557" s="357" t="s">
        <v>223</v>
      </c>
      <c r="X557" s="370">
        <f>(S557*V557)</f>
        <v>585.9</v>
      </c>
      <c r="Y557" s="370"/>
      <c r="AA557" s="368" t="s">
        <v>128</v>
      </c>
      <c r="AB557" s="368"/>
      <c r="AC557" s="356" t="s">
        <v>129</v>
      </c>
      <c r="AD557" s="370">
        <f>AD533</f>
        <v>0</v>
      </c>
      <c r="AE557" s="356" t="s">
        <v>128</v>
      </c>
      <c r="AF557" s="370">
        <v>0</v>
      </c>
      <c r="AG557" s="395" t="str">
        <f t="shared" si="59"/>
        <v>L.S</v>
      </c>
      <c r="AI557" s="368" t="s">
        <v>128</v>
      </c>
      <c r="AJ557" s="356" t="s">
        <v>129</v>
      </c>
      <c r="AK557" s="370">
        <f>AK533</f>
        <v>0</v>
      </c>
      <c r="AL557" s="356" t="s">
        <v>128</v>
      </c>
      <c r="AM557" s="370">
        <v>0</v>
      </c>
    </row>
    <row r="558" spans="1:39" ht="15.75">
      <c r="A558" s="382">
        <f t="shared" si="54"/>
        <v>373</v>
      </c>
      <c r="B558" s="385" t="s">
        <v>1354</v>
      </c>
      <c r="C558" s="402">
        <v>14.11</v>
      </c>
      <c r="D558" s="385" t="s">
        <v>151</v>
      </c>
      <c r="K558" s="363" t="s">
        <v>117</v>
      </c>
      <c r="R558" s="363" t="s">
        <v>117</v>
      </c>
      <c r="S558" s="35"/>
      <c r="T558" s="368" t="s">
        <v>128</v>
      </c>
      <c r="U558" s="356" t="s">
        <v>129</v>
      </c>
      <c r="V558" s="370">
        <f>V534</f>
        <v>0</v>
      </c>
      <c r="W558" s="357" t="s">
        <v>128</v>
      </c>
      <c r="X558" s="370">
        <v>0</v>
      </c>
      <c r="Y558" s="370"/>
      <c r="AA558" s="358"/>
      <c r="AB558" s="358"/>
      <c r="AE558" s="360"/>
      <c r="AF558" s="363" t="s">
        <v>117</v>
      </c>
      <c r="AG558" s="395">
        <f t="shared" si="59"/>
        <v>0</v>
      </c>
      <c r="AI558" s="358"/>
      <c r="AL558" s="360"/>
      <c r="AM558" s="363" t="s">
        <v>117</v>
      </c>
    </row>
    <row r="559" spans="1:39" ht="15.75">
      <c r="A559" s="382">
        <f t="shared" si="54"/>
        <v>374</v>
      </c>
      <c r="B559" s="385" t="s">
        <v>1355</v>
      </c>
      <c r="C559" s="402">
        <v>14.69</v>
      </c>
      <c r="D559" s="385" t="s">
        <v>151</v>
      </c>
      <c r="H559" s="356" t="s">
        <v>177</v>
      </c>
      <c r="K559" s="370">
        <f>(K557/0.743)</f>
        <v>1927.0501992193808</v>
      </c>
      <c r="O559" s="356" t="s">
        <v>1317</v>
      </c>
      <c r="R559" s="370">
        <f>SUM(R539:R557)</f>
        <v>6534.9000000000005</v>
      </c>
      <c r="S559" s="35"/>
      <c r="T559" s="358"/>
      <c r="W559" s="361"/>
      <c r="X559" s="363" t="s">
        <v>117</v>
      </c>
      <c r="Y559" s="363"/>
      <c r="AA559" s="358"/>
      <c r="AB559" s="358"/>
      <c r="AC559" s="356" t="s">
        <v>1343</v>
      </c>
      <c r="AE559" s="360"/>
      <c r="AF559" s="370">
        <f>SUM(AF554:AF557)</f>
        <v>1467.1292255505</v>
      </c>
      <c r="AG559" s="395">
        <f t="shared" si="59"/>
        <v>0</v>
      </c>
      <c r="AI559" s="358"/>
      <c r="AJ559" s="356" t="s">
        <v>1343</v>
      </c>
      <c r="AL559" s="360"/>
      <c r="AM559" s="370">
        <f>SUM(AM554:AM557)</f>
        <v>1455.9602485004998</v>
      </c>
    </row>
    <row r="560" spans="1:39" ht="15.75">
      <c r="A560" s="382">
        <f t="shared" si="54"/>
        <v>375</v>
      </c>
      <c r="B560" s="385" t="s">
        <v>1356</v>
      </c>
      <c r="C560" s="396"/>
      <c r="D560" s="385" t="s">
        <v>114</v>
      </c>
      <c r="K560" s="363" t="s">
        <v>156</v>
      </c>
      <c r="R560" s="363" t="s">
        <v>117</v>
      </c>
      <c r="S560" s="35"/>
      <c r="T560" s="358"/>
      <c r="U560" s="356" t="s">
        <v>1343</v>
      </c>
      <c r="W560" s="361"/>
      <c r="X560" s="370">
        <f>SUM(X555:X558)</f>
        <v>1435.0347193905</v>
      </c>
      <c r="Y560" s="370"/>
      <c r="AA560" s="358"/>
      <c r="AB560" s="358"/>
      <c r="AE560" s="360"/>
      <c r="AF560" s="363" t="s">
        <v>117</v>
      </c>
      <c r="AG560" s="395">
        <f t="shared" si="59"/>
        <v>0</v>
      </c>
      <c r="AI560" s="358"/>
      <c r="AL560" s="360"/>
      <c r="AM560" s="363" t="s">
        <v>117</v>
      </c>
    </row>
    <row r="561" spans="1:39" ht="15.75">
      <c r="A561" s="382">
        <f t="shared" si="54"/>
        <v>376</v>
      </c>
      <c r="B561" s="385" t="s">
        <v>1307</v>
      </c>
      <c r="C561" s="402">
        <v>10.3</v>
      </c>
      <c r="D561" s="385" t="s">
        <v>151</v>
      </c>
      <c r="H561" s="356" t="s">
        <v>172</v>
      </c>
      <c r="I561" s="370">
        <f>K559</f>
        <v>1927.0501992193808</v>
      </c>
      <c r="J561" s="356">
        <f>C22*0.03/0.743</f>
        <v>5.8069986541049792</v>
      </c>
      <c r="K561" s="369">
        <f>I561+J561</f>
        <v>1932.8571978734858</v>
      </c>
      <c r="M561" s="35">
        <f>0.47*38.5</f>
        <v>18.094999999999999</v>
      </c>
      <c r="O561" s="356" t="s">
        <v>253</v>
      </c>
      <c r="R561" s="370">
        <f>(R559/30)</f>
        <v>217.83</v>
      </c>
      <c r="S561" s="35"/>
      <c r="T561" s="358"/>
      <c r="W561" s="361"/>
      <c r="X561" s="363" t="s">
        <v>117</v>
      </c>
      <c r="Y561" s="363"/>
      <c r="AA561" s="358"/>
      <c r="AB561" s="358"/>
      <c r="AC561" s="356" t="s">
        <v>1357</v>
      </c>
      <c r="AE561" s="360"/>
      <c r="AF561" s="369">
        <f>(AF559/0.743)</f>
        <v>1974.6019186413189</v>
      </c>
      <c r="AG561" s="395">
        <f t="shared" si="59"/>
        <v>0</v>
      </c>
      <c r="AI561" s="358"/>
      <c r="AJ561" s="356" t="s">
        <v>1357</v>
      </c>
      <c r="AL561" s="360"/>
      <c r="AM561" s="369">
        <f>(AM559/0.743)</f>
        <v>1959.5696480491249</v>
      </c>
    </row>
    <row r="562" spans="1:39" ht="15.75">
      <c r="A562" s="382">
        <f t="shared" si="54"/>
        <v>377</v>
      </c>
      <c r="B562" s="385" t="s">
        <v>1298</v>
      </c>
      <c r="C562" s="402">
        <v>19.05</v>
      </c>
      <c r="D562" s="385" t="s">
        <v>151</v>
      </c>
      <c r="H562" s="356" t="s">
        <v>873</v>
      </c>
      <c r="I562" s="370">
        <f>K561</f>
        <v>1932.8571978734858</v>
      </c>
      <c r="J562" s="356">
        <f>C23*0.03/0.743</f>
        <v>11.439569313593539</v>
      </c>
      <c r="K562" s="369">
        <f>I562+J562</f>
        <v>1944.2967671870792</v>
      </c>
      <c r="M562" s="35">
        <f>0.24*546</f>
        <v>131.04</v>
      </c>
      <c r="R562" s="363" t="s">
        <v>117</v>
      </c>
      <c r="S562" s="35"/>
      <c r="T562" s="358"/>
      <c r="U562" s="356" t="s">
        <v>1357</v>
      </c>
      <c r="W562" s="361"/>
      <c r="X562" s="369">
        <f>(X560/0.743)</f>
        <v>1931.4060826251682</v>
      </c>
      <c r="Y562" s="369"/>
      <c r="AA562" s="358"/>
      <c r="AB562" s="358"/>
      <c r="AE562" s="360"/>
      <c r="AF562" s="363" t="s">
        <v>156</v>
      </c>
      <c r="AG562" s="395">
        <f t="shared" si="59"/>
        <v>0</v>
      </c>
      <c r="AI562" s="358"/>
      <c r="AL562" s="360"/>
      <c r="AM562" s="363" t="s">
        <v>156</v>
      </c>
    </row>
    <row r="563" spans="1:39" ht="15.75">
      <c r="A563" s="382">
        <f t="shared" si="54"/>
        <v>378</v>
      </c>
      <c r="B563" s="385" t="s">
        <v>1311</v>
      </c>
      <c r="C563" s="402">
        <v>15.34</v>
      </c>
      <c r="D563" s="385" t="s">
        <v>151</v>
      </c>
      <c r="H563" s="356" t="s">
        <v>876</v>
      </c>
      <c r="I563" s="370">
        <f>K562</f>
        <v>1944.2967671870792</v>
      </c>
      <c r="J563" s="356">
        <f>J562</f>
        <v>11.439569313593539</v>
      </c>
      <c r="K563" s="369">
        <f>I563+J563</f>
        <v>1955.7363365006727</v>
      </c>
      <c r="M563" s="35">
        <f>0.24*143.6</f>
        <v>34.463999999999999</v>
      </c>
      <c r="N563" s="356" t="s">
        <v>122</v>
      </c>
      <c r="O563" s="356" t="s">
        <v>1193</v>
      </c>
      <c r="S563" s="35"/>
      <c r="T563" s="358"/>
      <c r="W563" s="361"/>
      <c r="X563" s="363" t="s">
        <v>156</v>
      </c>
      <c r="Y563" s="363"/>
      <c r="AA563" s="358"/>
      <c r="AB563" s="358"/>
      <c r="AC563" s="356" t="s">
        <v>172</v>
      </c>
      <c r="AD563" s="370">
        <f>AF561</f>
        <v>1974.6019186413189</v>
      </c>
      <c r="AE563" s="356">
        <f t="shared" ref="AE563:AE568" si="72">W564</f>
        <v>5.8069986541049792</v>
      </c>
      <c r="AF563" s="369">
        <f t="shared" ref="AF563:AF568" si="73">AD563+AE563</f>
        <v>1980.4089172954239</v>
      </c>
      <c r="AG563" s="395">
        <f t="shared" si="59"/>
        <v>0</v>
      </c>
      <c r="AI563" s="358"/>
      <c r="AJ563" s="356" t="s">
        <v>172</v>
      </c>
      <c r="AK563" s="370">
        <f>AM561</f>
        <v>1959.5696480491249</v>
      </c>
      <c r="AL563" s="356">
        <f t="shared" ref="AL563:AL568" si="74">AE563</f>
        <v>5.8069986541049792</v>
      </c>
      <c r="AM563" s="369">
        <f t="shared" ref="AM563:AM568" si="75">AK563+AL563</f>
        <v>1965.3766467032299</v>
      </c>
    </row>
    <row r="564" spans="1:39" ht="15.75">
      <c r="A564" s="382">
        <f t="shared" si="54"/>
        <v>379</v>
      </c>
      <c r="B564" s="385" t="s">
        <v>1358</v>
      </c>
      <c r="C564" s="402">
        <v>29.41</v>
      </c>
      <c r="D564" s="385" t="s">
        <v>151</v>
      </c>
      <c r="H564" s="356" t="s">
        <v>878</v>
      </c>
      <c r="I564" s="370">
        <f>K563</f>
        <v>1955.7363365006727</v>
      </c>
      <c r="J564" s="356">
        <f>J563</f>
        <v>11.439569313593539</v>
      </c>
      <c r="K564" s="369">
        <f>I564+J564</f>
        <v>1967.1759058142661</v>
      </c>
      <c r="M564" s="35">
        <f>0.79*328.9</f>
        <v>259.83100000000002</v>
      </c>
      <c r="O564" s="356" t="s">
        <v>1359</v>
      </c>
      <c r="S564" s="35"/>
      <c r="T564" s="358"/>
      <c r="U564" s="356" t="s">
        <v>172</v>
      </c>
      <c r="V564" s="370">
        <f>X562</f>
        <v>1931.4060826251682</v>
      </c>
      <c r="W564" s="357">
        <f>J561</f>
        <v>5.8069986541049792</v>
      </c>
      <c r="X564" s="369">
        <f>V564+W564</f>
        <v>1937.2130812792732</v>
      </c>
      <c r="Y564" s="369"/>
      <c r="AA564" s="358"/>
      <c r="AB564" s="358"/>
      <c r="AC564" s="356" t="s">
        <v>873</v>
      </c>
      <c r="AD564" s="370">
        <f>AF563</f>
        <v>1980.4089172954239</v>
      </c>
      <c r="AE564" s="356">
        <f t="shared" si="72"/>
        <v>11.439569313593539</v>
      </c>
      <c r="AF564" s="369">
        <f t="shared" si="73"/>
        <v>1991.8484866090173</v>
      </c>
      <c r="AG564" s="395">
        <f t="shared" si="59"/>
        <v>0</v>
      </c>
      <c r="AI564" s="358"/>
      <c r="AJ564" s="356" t="s">
        <v>873</v>
      </c>
      <c r="AK564" s="370">
        <f>AM563</f>
        <v>1965.3766467032299</v>
      </c>
      <c r="AL564" s="356">
        <f t="shared" si="74"/>
        <v>11.439569313593539</v>
      </c>
      <c r="AM564" s="369">
        <f t="shared" si="75"/>
        <v>1976.8162160168233</v>
      </c>
    </row>
    <row r="565" spans="1:39" ht="15.75">
      <c r="A565" s="396"/>
      <c r="B565" s="396"/>
      <c r="C565" s="465"/>
      <c r="D565" s="396"/>
      <c r="F565" s="356" t="s">
        <v>114</v>
      </c>
      <c r="H565" s="356" t="s">
        <v>873</v>
      </c>
      <c r="I565" s="370">
        <f>K564</f>
        <v>1967.1759058142661</v>
      </c>
      <c r="J565" s="356">
        <f>J564</f>
        <v>11.439569313593539</v>
      </c>
      <c r="K565" s="369">
        <f>I565+J565</f>
        <v>1978.6154751278596</v>
      </c>
      <c r="M565" s="35">
        <f>SUM(M561:M564)</f>
        <v>443.43</v>
      </c>
      <c r="S565" s="35"/>
      <c r="T565" s="358"/>
      <c r="U565" s="356" t="s">
        <v>873</v>
      </c>
      <c r="V565" s="370">
        <f>X564</f>
        <v>1937.2130812792732</v>
      </c>
      <c r="W565" s="357">
        <f>J562</f>
        <v>11.439569313593539</v>
      </c>
      <c r="X565" s="369">
        <f>V565+W565</f>
        <v>1948.6526505928666</v>
      </c>
      <c r="Y565" s="369"/>
      <c r="AA565" s="358"/>
      <c r="AB565" s="358"/>
      <c r="AC565" s="356" t="s">
        <v>876</v>
      </c>
      <c r="AD565" s="370">
        <f>AF564</f>
        <v>1991.8484866090173</v>
      </c>
      <c r="AE565" s="356">
        <f t="shared" si="72"/>
        <v>11.439569313593539</v>
      </c>
      <c r="AF565" s="369">
        <f t="shared" si="73"/>
        <v>2003.2880559226107</v>
      </c>
      <c r="AG565" s="395">
        <f t="shared" si="59"/>
        <v>0</v>
      </c>
      <c r="AI565" s="358"/>
      <c r="AJ565" s="356" t="s">
        <v>876</v>
      </c>
      <c r="AK565" s="370">
        <f>AM564</f>
        <v>1976.8162160168233</v>
      </c>
      <c r="AL565" s="356">
        <f t="shared" si="74"/>
        <v>11.439569313593539</v>
      </c>
      <c r="AM565" s="369">
        <f t="shared" si="75"/>
        <v>1988.2557853304168</v>
      </c>
    </row>
    <row r="566" spans="1:39" ht="15.75">
      <c r="A566" s="382">
        <f>(A564+1)</f>
        <v>380</v>
      </c>
      <c r="B566" s="385" t="s">
        <v>1354</v>
      </c>
      <c r="C566" s="402">
        <v>38.35</v>
      </c>
      <c r="D566" s="385" t="s">
        <v>151</v>
      </c>
      <c r="H566" s="356">
        <v>5</v>
      </c>
      <c r="I566" s="370">
        <f t="shared" ref="I566:I571" si="76">K565</f>
        <v>1978.6154751278596</v>
      </c>
      <c r="J566" s="356">
        <f t="shared" ref="J566:J573" si="77">J565</f>
        <v>11.439569313593539</v>
      </c>
      <c r="K566" s="369">
        <f t="shared" ref="K566:K571" si="78">I566+J566</f>
        <v>1990.055044441453</v>
      </c>
      <c r="O566" s="356" t="s">
        <v>1197</v>
      </c>
      <c r="S566" s="35"/>
      <c r="T566" s="358"/>
      <c r="U566" s="356" t="s">
        <v>876</v>
      </c>
      <c r="V566" s="370">
        <f>X565</f>
        <v>1948.6526505928666</v>
      </c>
      <c r="W566" s="357">
        <f>J563</f>
        <v>11.439569313593539</v>
      </c>
      <c r="X566" s="369">
        <f>V566+W566</f>
        <v>1960.0922199064601</v>
      </c>
      <c r="Y566" s="369"/>
      <c r="AA566" s="358"/>
      <c r="AB566" s="358"/>
      <c r="AC566" s="356" t="s">
        <v>878</v>
      </c>
      <c r="AD566" s="370">
        <f>AF565</f>
        <v>2003.2880559226107</v>
      </c>
      <c r="AE566" s="356">
        <f t="shared" si="72"/>
        <v>11.439569313593539</v>
      </c>
      <c r="AF566" s="369">
        <f t="shared" si="73"/>
        <v>2014.7276252362042</v>
      </c>
      <c r="AG566" s="395">
        <f t="shared" si="59"/>
        <v>0</v>
      </c>
      <c r="AI566" s="358"/>
      <c r="AJ566" s="356" t="s">
        <v>878</v>
      </c>
      <c r="AK566" s="370">
        <f>AM565</f>
        <v>1988.2557853304168</v>
      </c>
      <c r="AL566" s="356">
        <f t="shared" si="74"/>
        <v>11.439569313593539</v>
      </c>
      <c r="AM566" s="369">
        <f t="shared" si="75"/>
        <v>1999.6953546440102</v>
      </c>
    </row>
    <row r="567" spans="1:39" ht="15.75">
      <c r="A567" s="382"/>
      <c r="B567" s="385"/>
      <c r="C567" s="384"/>
      <c r="D567" s="385"/>
      <c r="H567" s="356">
        <v>6</v>
      </c>
      <c r="I567" s="370">
        <f t="shared" si="76"/>
        <v>1990.055044441453</v>
      </c>
      <c r="J567" s="356">
        <f t="shared" si="77"/>
        <v>11.439569313593539</v>
      </c>
      <c r="K567" s="369">
        <f t="shared" si="78"/>
        <v>2001.4946137550464</v>
      </c>
      <c r="O567" s="356"/>
      <c r="S567" s="35"/>
      <c r="T567" s="358"/>
      <c r="U567" s="356" t="s">
        <v>878</v>
      </c>
      <c r="V567" s="370">
        <f>X566</f>
        <v>1960.0922199064601</v>
      </c>
      <c r="W567" s="357">
        <f>J564</f>
        <v>11.439569313593539</v>
      </c>
      <c r="X567" s="369">
        <f>V567+W567</f>
        <v>1971.5317892200535</v>
      </c>
      <c r="Y567" s="369"/>
      <c r="AC567" s="356" t="s">
        <v>873</v>
      </c>
      <c r="AD567" s="370">
        <f>AF566</f>
        <v>2014.7276252362042</v>
      </c>
      <c r="AE567" s="356">
        <f t="shared" si="72"/>
        <v>11.439569313593539</v>
      </c>
      <c r="AF567" s="369">
        <f t="shared" si="73"/>
        <v>2026.1671945497976</v>
      </c>
      <c r="AG567" s="395"/>
      <c r="AJ567" s="356" t="s">
        <v>873</v>
      </c>
      <c r="AK567" s="370">
        <f>AM566</f>
        <v>1999.6953546440102</v>
      </c>
      <c r="AL567" s="356">
        <f t="shared" si="74"/>
        <v>11.439569313593539</v>
      </c>
      <c r="AM567" s="369">
        <f t="shared" si="75"/>
        <v>2011.1349239576036</v>
      </c>
    </row>
    <row r="568" spans="1:39" ht="15.75">
      <c r="A568" s="382"/>
      <c r="B568" s="385"/>
      <c r="C568" s="384"/>
      <c r="D568" s="385"/>
      <c r="H568" s="356">
        <v>7</v>
      </c>
      <c r="I568" s="370">
        <f t="shared" si="76"/>
        <v>2001.4946137550464</v>
      </c>
      <c r="J568" s="356">
        <f t="shared" si="77"/>
        <v>11.439569313593539</v>
      </c>
      <c r="K568" s="369">
        <f t="shared" si="78"/>
        <v>2012.9341830686399</v>
      </c>
      <c r="O568" s="356"/>
      <c r="S568" s="356" t="s">
        <v>114</v>
      </c>
      <c r="T568" s="358"/>
      <c r="U568" s="356" t="s">
        <v>1360</v>
      </c>
      <c r="V568" s="370">
        <f>X567</f>
        <v>1971.5317892200535</v>
      </c>
      <c r="W568" s="357">
        <f>J565</f>
        <v>11.439569313593539</v>
      </c>
      <c r="X568" s="369">
        <f>V568+W568</f>
        <v>1982.9713585336469</v>
      </c>
      <c r="Y568" s="369"/>
      <c r="AC568" s="356" t="s">
        <v>876</v>
      </c>
      <c r="AD568" s="370">
        <f>AF567</f>
        <v>2026.1671945497976</v>
      </c>
      <c r="AE568" s="356">
        <f t="shared" si="72"/>
        <v>0</v>
      </c>
      <c r="AF568" s="369">
        <f t="shared" si="73"/>
        <v>2026.1671945497976</v>
      </c>
      <c r="AG568" s="395"/>
      <c r="AJ568" s="356" t="s">
        <v>876</v>
      </c>
      <c r="AK568" s="370">
        <f>AM567</f>
        <v>2011.1349239576036</v>
      </c>
      <c r="AL568" s="356">
        <f t="shared" si="74"/>
        <v>0</v>
      </c>
      <c r="AM568" s="369">
        <f t="shared" si="75"/>
        <v>2011.1349239576036</v>
      </c>
    </row>
    <row r="569" spans="1:39" ht="15.75">
      <c r="A569" s="382"/>
      <c r="B569" s="385"/>
      <c r="C569" s="384"/>
      <c r="D569" s="385"/>
      <c r="H569" s="356">
        <v>8</v>
      </c>
      <c r="I569" s="370">
        <f t="shared" si="76"/>
        <v>2012.9341830686399</v>
      </c>
      <c r="J569" s="356">
        <f t="shared" si="77"/>
        <v>11.439569313593539</v>
      </c>
      <c r="K569" s="369">
        <f t="shared" si="78"/>
        <v>2024.3737523822333</v>
      </c>
      <c r="O569" s="356"/>
      <c r="W569" s="361"/>
      <c r="AG569" s="395"/>
      <c r="AI569" s="356"/>
    </row>
    <row r="570" spans="1:39" ht="15.75">
      <c r="A570" s="382"/>
      <c r="B570" s="385"/>
      <c r="C570" s="384"/>
      <c r="D570" s="385"/>
      <c r="H570" s="356">
        <v>9</v>
      </c>
      <c r="I570" s="370">
        <f t="shared" si="76"/>
        <v>2024.3737523822333</v>
      </c>
      <c r="J570" s="356">
        <f t="shared" si="77"/>
        <v>11.439569313593539</v>
      </c>
      <c r="K570" s="369">
        <f t="shared" si="78"/>
        <v>2035.8133216958267</v>
      </c>
      <c r="O570" s="356"/>
      <c r="W570" s="361"/>
      <c r="AG570" s="395"/>
      <c r="AI570" s="356"/>
    </row>
    <row r="571" spans="1:39" ht="15.75">
      <c r="A571" s="382"/>
      <c r="B571" s="385"/>
      <c r="C571" s="384"/>
      <c r="D571" s="385"/>
      <c r="H571" s="356">
        <v>10</v>
      </c>
      <c r="I571" s="370">
        <f t="shared" si="76"/>
        <v>2035.8133216958267</v>
      </c>
      <c r="J571" s="356">
        <f t="shared" si="77"/>
        <v>11.439569313593539</v>
      </c>
      <c r="K571" s="369">
        <f t="shared" si="78"/>
        <v>2047.2528910094202</v>
      </c>
      <c r="O571" s="356"/>
      <c r="W571" s="361"/>
      <c r="AG571" s="395"/>
      <c r="AI571" s="356"/>
    </row>
    <row r="572" spans="1:39" ht="15.75">
      <c r="A572" s="382"/>
      <c r="B572" s="385"/>
      <c r="C572" s="384"/>
      <c r="D572" s="385"/>
      <c r="H572" s="356">
        <v>11</v>
      </c>
      <c r="I572" s="370">
        <f>K571</f>
        <v>2047.2528910094202</v>
      </c>
      <c r="J572" s="356">
        <f t="shared" si="77"/>
        <v>11.439569313593539</v>
      </c>
      <c r="K572" s="369">
        <f>I572+J572</f>
        <v>2058.6924603230136</v>
      </c>
      <c r="O572" s="356"/>
      <c r="W572" s="361"/>
      <c r="AG572" s="395"/>
      <c r="AI572" s="356"/>
    </row>
    <row r="573" spans="1:39" ht="15.75">
      <c r="A573" s="382"/>
      <c r="B573" s="385"/>
      <c r="C573" s="384"/>
      <c r="D573" s="385"/>
      <c r="H573" s="356">
        <v>12</v>
      </c>
      <c r="I573" s="370">
        <f>K572</f>
        <v>2058.6924603230136</v>
      </c>
      <c r="J573" s="356">
        <f t="shared" si="77"/>
        <v>11.439569313593539</v>
      </c>
      <c r="K573" s="369">
        <f>I573+J573</f>
        <v>2070.1320296366071</v>
      </c>
      <c r="O573" s="356"/>
      <c r="W573" s="361"/>
      <c r="AG573" s="395"/>
      <c r="AI573" s="356"/>
    </row>
    <row r="574" spans="1:39" ht="15.75">
      <c r="A574" s="382">
        <f>(A566+1)</f>
        <v>381</v>
      </c>
      <c r="B574" s="385" t="s">
        <v>1355</v>
      </c>
      <c r="C574" s="402">
        <v>37.96</v>
      </c>
      <c r="D574" s="385" t="s">
        <v>151</v>
      </c>
      <c r="F574" s="412"/>
      <c r="G574" s="368" t="s">
        <v>114</v>
      </c>
      <c r="H574" s="356" t="s">
        <v>1361</v>
      </c>
      <c r="O574" s="363" t="s">
        <v>117</v>
      </c>
      <c r="S574" s="432"/>
      <c r="T574" s="368" t="s">
        <v>114</v>
      </c>
      <c r="U574" s="356" t="s">
        <v>1361</v>
      </c>
      <c r="W574" s="361"/>
      <c r="AC574" s="356" t="s">
        <v>878</v>
      </c>
      <c r="AD574" s="370">
        <f>AF573</f>
        <v>0</v>
      </c>
      <c r="AE574" s="356">
        <f>W574</f>
        <v>0</v>
      </c>
      <c r="AF574" s="369">
        <f>AD574+AE574</f>
        <v>0</v>
      </c>
      <c r="AG574" s="395" t="str">
        <f t="shared" si="59"/>
        <v>|</v>
      </c>
      <c r="AI574" s="356" t="s">
        <v>1256</v>
      </c>
    </row>
    <row r="575" spans="1:39" ht="15.75">
      <c r="A575" s="382">
        <f t="shared" ref="A575:A589" si="79">(A574+1)</f>
        <v>382</v>
      </c>
      <c r="B575" s="385" t="s">
        <v>1362</v>
      </c>
      <c r="C575" s="465"/>
      <c r="D575" s="385" t="s">
        <v>114</v>
      </c>
      <c r="H575" s="356" t="s">
        <v>1363</v>
      </c>
      <c r="T575" s="358"/>
      <c r="U575" s="356" t="s">
        <v>1363</v>
      </c>
      <c r="W575" s="361"/>
      <c r="AG575" s="395" t="str">
        <f t="shared" si="59"/>
        <v>|</v>
      </c>
      <c r="AI575" s="356" t="s">
        <v>1256</v>
      </c>
    </row>
    <row r="576" spans="1:39" ht="15.75">
      <c r="A576" s="382">
        <f t="shared" si="79"/>
        <v>383</v>
      </c>
      <c r="B576" s="385" t="s">
        <v>1307</v>
      </c>
      <c r="C576" s="402">
        <v>6.68</v>
      </c>
      <c r="D576" s="385" t="s">
        <v>151</v>
      </c>
      <c r="H576" s="356" t="s">
        <v>1364</v>
      </c>
      <c r="N576" s="356" t="s">
        <v>1200</v>
      </c>
      <c r="O576" s="356" t="s">
        <v>1365</v>
      </c>
      <c r="T576" s="358"/>
      <c r="U576" s="356" t="s">
        <v>1364</v>
      </c>
      <c r="W576" s="361"/>
      <c r="AG576" s="395" t="str">
        <f t="shared" si="59"/>
        <v>|</v>
      </c>
      <c r="AI576" s="356" t="s">
        <v>1256</v>
      </c>
    </row>
    <row r="577" spans="1:35" ht="15.75">
      <c r="A577" s="382">
        <f t="shared" si="79"/>
        <v>384</v>
      </c>
      <c r="B577" s="385" t="s">
        <v>1298</v>
      </c>
      <c r="C577" s="402">
        <v>9.4499999999999993</v>
      </c>
      <c r="D577" s="385" t="s">
        <v>151</v>
      </c>
      <c r="H577" s="356" t="s">
        <v>1366</v>
      </c>
      <c r="O577" s="363" t="s">
        <v>117</v>
      </c>
      <c r="T577" s="358"/>
      <c r="U577" s="356" t="s">
        <v>1366</v>
      </c>
      <c r="W577" s="361"/>
      <c r="AG577" s="395" t="str">
        <f t="shared" si="59"/>
        <v>|</v>
      </c>
      <c r="AI577" s="356" t="s">
        <v>1256</v>
      </c>
    </row>
    <row r="578" spans="1:35" ht="15.75">
      <c r="A578" s="382">
        <f t="shared" si="79"/>
        <v>385</v>
      </c>
      <c r="B578" s="385" t="s">
        <v>1311</v>
      </c>
      <c r="C578" s="402">
        <v>33.04</v>
      </c>
      <c r="D578" s="385" t="s">
        <v>151</v>
      </c>
      <c r="H578" s="356" t="s">
        <v>1367</v>
      </c>
      <c r="M578" s="370">
        <v>8.1</v>
      </c>
      <c r="N578" s="356" t="s">
        <v>108</v>
      </c>
      <c r="O578" s="356" t="s">
        <v>1204</v>
      </c>
      <c r="P578" s="370">
        <f>(C61)*2</f>
        <v>268.91999999999996</v>
      </c>
      <c r="Q578" s="356" t="s">
        <v>108</v>
      </c>
      <c r="R578" s="370">
        <f>(M578*P578)</f>
        <v>2178.2519999999995</v>
      </c>
      <c r="T578" s="358"/>
      <c r="U578" s="356" t="s">
        <v>1367</v>
      </c>
      <c r="W578" s="361"/>
      <c r="AG578" s="395" t="str">
        <f t="shared" si="59"/>
        <v>|</v>
      </c>
      <c r="AI578" s="356" t="s">
        <v>1256</v>
      </c>
    </row>
    <row r="579" spans="1:35" ht="15.75">
      <c r="A579" s="382">
        <f t="shared" si="79"/>
        <v>386</v>
      </c>
      <c r="B579" s="385" t="s">
        <v>1358</v>
      </c>
      <c r="C579" s="402">
        <v>33.04</v>
      </c>
      <c r="D579" s="385" t="s">
        <v>151</v>
      </c>
      <c r="H579" s="356" t="s">
        <v>1368</v>
      </c>
      <c r="M579" s="370">
        <v>8.1</v>
      </c>
      <c r="N579" s="356" t="s">
        <v>108</v>
      </c>
      <c r="O579" s="356" t="s">
        <v>1206</v>
      </c>
      <c r="P579" s="370">
        <f>(C26)</f>
        <v>46.74</v>
      </c>
      <c r="Q579" s="356" t="s">
        <v>108</v>
      </c>
      <c r="R579" s="370">
        <f>(M579*P579)</f>
        <v>378.59399999999999</v>
      </c>
      <c r="T579" s="358"/>
      <c r="U579" s="356" t="s">
        <v>1368</v>
      </c>
      <c r="W579" s="361"/>
      <c r="AG579" s="395" t="str">
        <f t="shared" si="59"/>
        <v>|</v>
      </c>
      <c r="AI579" s="356" t="s">
        <v>1256</v>
      </c>
    </row>
    <row r="580" spans="1:35" ht="15.75">
      <c r="A580" s="382">
        <f t="shared" si="79"/>
        <v>387</v>
      </c>
      <c r="B580" s="385" t="s">
        <v>1369</v>
      </c>
      <c r="C580" s="402">
        <v>33.04</v>
      </c>
      <c r="D580" s="385" t="s">
        <v>151</v>
      </c>
      <c r="H580" s="356" t="s">
        <v>1370</v>
      </c>
      <c r="M580" s="370">
        <v>30</v>
      </c>
      <c r="N580" s="356" t="s">
        <v>110</v>
      </c>
      <c r="O580" s="356" t="s">
        <v>1208</v>
      </c>
      <c r="P580" s="370">
        <f>(C663)</f>
        <v>13.44</v>
      </c>
      <c r="Q580" s="356" t="s">
        <v>110</v>
      </c>
      <c r="R580" s="370">
        <f>(M580*P580)</f>
        <v>403.2</v>
      </c>
      <c r="T580" s="358"/>
      <c r="U580" s="356" t="s">
        <v>1370</v>
      </c>
      <c r="W580" s="361"/>
      <c r="AG580" s="395" t="str">
        <f t="shared" si="59"/>
        <v>|</v>
      </c>
      <c r="AI580" s="356" t="s">
        <v>1256</v>
      </c>
    </row>
    <row r="581" spans="1:35" ht="15.75">
      <c r="A581" s="382">
        <f t="shared" si="79"/>
        <v>388</v>
      </c>
      <c r="B581" s="385" t="s">
        <v>1371</v>
      </c>
      <c r="C581" s="402">
        <v>33.04</v>
      </c>
      <c r="D581" s="385" t="s">
        <v>151</v>
      </c>
      <c r="H581" s="363" t="s">
        <v>117</v>
      </c>
      <c r="I581" s="363" t="s">
        <v>117</v>
      </c>
      <c r="O581" s="356" t="s">
        <v>1372</v>
      </c>
      <c r="T581" s="358"/>
      <c r="U581" s="363" t="s">
        <v>117</v>
      </c>
      <c r="V581" s="363" t="s">
        <v>117</v>
      </c>
      <c r="W581" s="361"/>
      <c r="AG581" s="395" t="str">
        <f t="shared" si="59"/>
        <v>|</v>
      </c>
      <c r="AI581" s="356" t="s">
        <v>1256</v>
      </c>
    </row>
    <row r="582" spans="1:35" ht="15.75">
      <c r="A582" s="382">
        <f t="shared" si="79"/>
        <v>389</v>
      </c>
      <c r="B582" s="385" t="s">
        <v>1373</v>
      </c>
      <c r="C582" s="402">
        <v>538</v>
      </c>
      <c r="D582" s="385" t="s">
        <v>151</v>
      </c>
      <c r="G582" s="368" t="s">
        <v>235</v>
      </c>
      <c r="H582" s="356" t="s">
        <v>1374</v>
      </c>
      <c r="O582" s="356" t="s">
        <v>1212</v>
      </c>
      <c r="T582" s="368" t="s">
        <v>235</v>
      </c>
      <c r="U582" s="356" t="s">
        <v>1375</v>
      </c>
      <c r="W582" s="361"/>
      <c r="AG582" s="395" t="str">
        <f t="shared" si="59"/>
        <v>|</v>
      </c>
      <c r="AI582" s="356" t="s">
        <v>1256</v>
      </c>
    </row>
    <row r="583" spans="1:35" ht="15.75">
      <c r="A583" s="382">
        <f t="shared" si="79"/>
        <v>390</v>
      </c>
      <c r="B583" s="385" t="s">
        <v>1376</v>
      </c>
      <c r="C583" s="402">
        <v>340</v>
      </c>
      <c r="D583" s="385" t="s">
        <v>151</v>
      </c>
      <c r="H583" s="356" t="s">
        <v>1377</v>
      </c>
      <c r="O583" s="356" t="s">
        <v>1214</v>
      </c>
      <c r="T583" s="358"/>
      <c r="U583" s="356" t="s">
        <v>1377</v>
      </c>
      <c r="W583" s="361"/>
      <c r="AG583" s="395" t="str">
        <f t="shared" si="59"/>
        <v>|</v>
      </c>
      <c r="AI583" s="356" t="s">
        <v>1256</v>
      </c>
    </row>
    <row r="584" spans="1:35" ht="15.75">
      <c r="A584" s="382">
        <f t="shared" si="79"/>
        <v>391</v>
      </c>
      <c r="B584" s="385" t="s">
        <v>1378</v>
      </c>
      <c r="C584" s="402">
        <v>1039</v>
      </c>
      <c r="D584" s="385" t="s">
        <v>151</v>
      </c>
      <c r="F584" s="370">
        <v>10</v>
      </c>
      <c r="G584" s="368" t="s">
        <v>262</v>
      </c>
      <c r="H584" s="356" t="s">
        <v>1379</v>
      </c>
      <c r="I584" s="443">
        <f>C753</f>
        <v>376.7</v>
      </c>
      <c r="J584" s="356" t="s">
        <v>262</v>
      </c>
      <c r="K584" s="370">
        <f>(F584*I584)</f>
        <v>3767</v>
      </c>
      <c r="O584" s="356" t="s">
        <v>1215</v>
      </c>
      <c r="S584" s="407">
        <v>10</v>
      </c>
      <c r="T584" s="368" t="s">
        <v>262</v>
      </c>
      <c r="U584" s="356" t="s">
        <v>1379</v>
      </c>
      <c r="V584" s="443">
        <f>I606</f>
        <v>408</v>
      </c>
      <c r="W584" s="357" t="s">
        <v>262</v>
      </c>
      <c r="X584" s="370">
        <f>(S584*V584)</f>
        <v>4080</v>
      </c>
      <c r="Y584" s="370"/>
      <c r="AG584" s="395" t="str">
        <f t="shared" si="59"/>
        <v>|</v>
      </c>
      <c r="AI584" s="356" t="s">
        <v>1256</v>
      </c>
    </row>
    <row r="585" spans="1:35" ht="15.75">
      <c r="A585" s="382">
        <f t="shared" si="79"/>
        <v>392</v>
      </c>
      <c r="B585" s="385" t="s">
        <v>1380</v>
      </c>
      <c r="C585" s="394">
        <v>230.2</v>
      </c>
      <c r="D585" s="385" t="s">
        <v>151</v>
      </c>
      <c r="F585" s="370">
        <v>1</v>
      </c>
      <c r="G585" s="368" t="s">
        <v>482</v>
      </c>
      <c r="H585" s="356" t="s">
        <v>1381</v>
      </c>
      <c r="I585" s="370">
        <f>C10</f>
        <v>1198.8</v>
      </c>
      <c r="J585" s="356" t="s">
        <v>194</v>
      </c>
      <c r="K585" s="370">
        <f>(F585*I585)</f>
        <v>1198.8</v>
      </c>
      <c r="M585" s="370">
        <v>8</v>
      </c>
      <c r="N585" s="356" t="s">
        <v>223</v>
      </c>
      <c r="O585" s="356" t="s">
        <v>1218</v>
      </c>
      <c r="P585" s="370">
        <v>10.199999999999999</v>
      </c>
      <c r="Q585" s="356" t="s">
        <v>223</v>
      </c>
      <c r="R585" s="370">
        <f>(M585*P585)</f>
        <v>81.599999999999994</v>
      </c>
      <c r="S585" s="407">
        <v>1</v>
      </c>
      <c r="T585" s="368" t="s">
        <v>482</v>
      </c>
      <c r="U585" s="356" t="s">
        <v>1381</v>
      </c>
      <c r="V585" s="370">
        <f>I585</f>
        <v>1198.8</v>
      </c>
      <c r="W585" s="357" t="s">
        <v>194</v>
      </c>
      <c r="X585" s="370">
        <f>(S585*V585)</f>
        <v>1198.8</v>
      </c>
      <c r="Y585" s="370"/>
      <c r="AG585" s="395" t="str">
        <f t="shared" si="59"/>
        <v>|</v>
      </c>
      <c r="AI585" s="356" t="s">
        <v>1256</v>
      </c>
    </row>
    <row r="586" spans="1:35" ht="15.75">
      <c r="A586" s="382">
        <f t="shared" si="79"/>
        <v>393</v>
      </c>
      <c r="B586" s="385" t="s">
        <v>1382</v>
      </c>
      <c r="C586" s="402">
        <v>31</v>
      </c>
      <c r="D586" s="385" t="s">
        <v>1062</v>
      </c>
      <c r="F586" s="370">
        <v>1</v>
      </c>
      <c r="G586" s="368" t="s">
        <v>482</v>
      </c>
      <c r="H586" s="356" t="s">
        <v>1383</v>
      </c>
      <c r="I586" s="370">
        <f>C12</f>
        <v>781.19999999999993</v>
      </c>
      <c r="J586" s="356" t="s">
        <v>194</v>
      </c>
      <c r="K586" s="370">
        <f>(F586*I586)</f>
        <v>781.19999999999993</v>
      </c>
      <c r="M586" s="370">
        <v>8</v>
      </c>
      <c r="N586" s="356" t="s">
        <v>223</v>
      </c>
      <c r="O586" s="356" t="s">
        <v>1221</v>
      </c>
      <c r="P586" s="370">
        <v>28.5</v>
      </c>
      <c r="Q586" s="356" t="s">
        <v>223</v>
      </c>
      <c r="R586" s="370">
        <f>(M586*P586)</f>
        <v>228</v>
      </c>
      <c r="S586" s="407">
        <v>1</v>
      </c>
      <c r="T586" s="368" t="s">
        <v>482</v>
      </c>
      <c r="U586" s="356" t="s">
        <v>1383</v>
      </c>
      <c r="V586" s="370">
        <f>I586</f>
        <v>781.19999999999993</v>
      </c>
      <c r="W586" s="357" t="s">
        <v>194</v>
      </c>
      <c r="X586" s="370">
        <f>(S586*V586)</f>
        <v>781.19999999999993</v>
      </c>
      <c r="Y586" s="370"/>
      <c r="AG586" s="395" t="str">
        <f t="shared" si="59"/>
        <v>|</v>
      </c>
      <c r="AI586" s="356" t="s">
        <v>1256</v>
      </c>
    </row>
    <row r="587" spans="1:35" ht="15.75">
      <c r="A587" s="382">
        <f t="shared" si="79"/>
        <v>394</v>
      </c>
      <c r="B587" s="356" t="s">
        <v>1384</v>
      </c>
      <c r="C587" s="394">
        <v>206</v>
      </c>
      <c r="D587" s="385" t="s">
        <v>151</v>
      </c>
      <c r="G587" s="368" t="s">
        <v>128</v>
      </c>
      <c r="H587" s="356" t="s">
        <v>1385</v>
      </c>
      <c r="J587" s="356" t="s">
        <v>128</v>
      </c>
      <c r="K587" s="370">
        <v>120</v>
      </c>
      <c r="M587" s="370">
        <v>1</v>
      </c>
      <c r="N587" s="356" t="s">
        <v>128</v>
      </c>
      <c r="O587" s="356" t="s">
        <v>1224</v>
      </c>
      <c r="P587" s="370">
        <f>(C675)</f>
        <v>4</v>
      </c>
      <c r="Q587" s="356" t="s">
        <v>128</v>
      </c>
      <c r="R587" s="370">
        <f>(M587*P587)</f>
        <v>4</v>
      </c>
      <c r="T587" s="368" t="s">
        <v>128</v>
      </c>
      <c r="U587" s="356" t="s">
        <v>1385</v>
      </c>
      <c r="V587" s="370">
        <f>I587</f>
        <v>0</v>
      </c>
      <c r="W587" s="357" t="s">
        <v>128</v>
      </c>
      <c r="X587" s="370">
        <v>120</v>
      </c>
      <c r="Y587" s="370"/>
      <c r="AG587" s="395" t="str">
        <f t="shared" si="59"/>
        <v>|</v>
      </c>
      <c r="AI587" s="356" t="s">
        <v>1256</v>
      </c>
    </row>
    <row r="588" spans="1:35" ht="15.75">
      <c r="A588" s="382">
        <f t="shared" si="79"/>
        <v>395</v>
      </c>
      <c r="B588" s="385" t="s">
        <v>1386</v>
      </c>
      <c r="C588" s="394">
        <v>93.4</v>
      </c>
      <c r="D588" s="385" t="s">
        <v>151</v>
      </c>
      <c r="H588" s="356" t="s">
        <v>1387</v>
      </c>
      <c r="K588" s="363" t="s">
        <v>117</v>
      </c>
      <c r="M588" s="370">
        <v>1</v>
      </c>
      <c r="N588" s="356" t="s">
        <v>128</v>
      </c>
      <c r="O588" s="356" t="s">
        <v>129</v>
      </c>
      <c r="Q588" s="356" t="s">
        <v>128</v>
      </c>
      <c r="R588" s="370">
        <v>0</v>
      </c>
      <c r="T588" s="358"/>
      <c r="U588" s="356" t="s">
        <v>1387</v>
      </c>
      <c r="W588" s="361"/>
      <c r="X588" s="363" t="s">
        <v>117</v>
      </c>
      <c r="Y588" s="363"/>
      <c r="AG588" s="395">
        <f t="shared" si="59"/>
        <v>0</v>
      </c>
    </row>
    <row r="589" spans="1:35" ht="15.75">
      <c r="A589" s="382">
        <f t="shared" si="79"/>
        <v>396</v>
      </c>
      <c r="B589" s="385" t="s">
        <v>1388</v>
      </c>
      <c r="C589" s="402">
        <v>57.51</v>
      </c>
      <c r="D589" s="385" t="s">
        <v>151</v>
      </c>
      <c r="H589" s="357" t="s">
        <v>1389</v>
      </c>
      <c r="K589" s="370">
        <f>SUM(K584:K587)</f>
        <v>5867</v>
      </c>
      <c r="R589" s="363" t="s">
        <v>117</v>
      </c>
      <c r="T589" s="358"/>
      <c r="U589" s="357" t="s">
        <v>1389</v>
      </c>
      <c r="W589" s="361"/>
      <c r="X589" s="370">
        <f>SUM(X584:X587)</f>
        <v>6180</v>
      </c>
      <c r="Y589" s="370"/>
      <c r="AG589" s="395" t="str">
        <f t="shared" si="59"/>
        <v>|</v>
      </c>
      <c r="AI589" s="356" t="s">
        <v>1256</v>
      </c>
    </row>
    <row r="590" spans="1:35" ht="15.75">
      <c r="A590" s="382">
        <f>(A589+1)</f>
        <v>397</v>
      </c>
      <c r="B590" s="385" t="s">
        <v>1390</v>
      </c>
      <c r="C590" s="402">
        <v>30</v>
      </c>
      <c r="D590" s="385" t="s">
        <v>151</v>
      </c>
      <c r="K590" s="363" t="s">
        <v>117</v>
      </c>
      <c r="O590" s="356" t="s">
        <v>1229</v>
      </c>
      <c r="R590" s="370">
        <f>SUM(R578:R588)</f>
        <v>3273.6459999999993</v>
      </c>
      <c r="T590" s="358"/>
      <c r="W590" s="361"/>
      <c r="X590" s="363" t="s">
        <v>117</v>
      </c>
      <c r="Y590" s="363"/>
      <c r="AG590" s="395" t="str">
        <f t="shared" si="59"/>
        <v>|</v>
      </c>
      <c r="AI590" s="356" t="s">
        <v>1256</v>
      </c>
    </row>
    <row r="591" spans="1:35" ht="15.75">
      <c r="A591" s="382">
        <f t="shared" ref="A591:A638" si="80">(A590+1)</f>
        <v>398</v>
      </c>
      <c r="B591" s="385" t="s">
        <v>1391</v>
      </c>
      <c r="C591" s="402">
        <v>57.51</v>
      </c>
      <c r="D591" s="385" t="s">
        <v>151</v>
      </c>
      <c r="H591" s="357" t="s">
        <v>1392</v>
      </c>
      <c r="K591" s="370">
        <f>K589/10</f>
        <v>586.70000000000005</v>
      </c>
      <c r="R591" s="363" t="s">
        <v>117</v>
      </c>
      <c r="T591" s="358"/>
      <c r="U591" s="357" t="s">
        <v>1392</v>
      </c>
      <c r="W591" s="361"/>
      <c r="X591" s="370">
        <f>X589/10</f>
        <v>618</v>
      </c>
      <c r="Y591" s="370"/>
      <c r="AG591" s="395" t="str">
        <f t="shared" si="59"/>
        <v>|</v>
      </c>
      <c r="AI591" s="356" t="s">
        <v>1256</v>
      </c>
    </row>
    <row r="592" spans="1:35" ht="15.75">
      <c r="A592" s="382">
        <f t="shared" si="80"/>
        <v>399</v>
      </c>
      <c r="B592" s="385" t="s">
        <v>1393</v>
      </c>
      <c r="C592" s="402">
        <v>20</v>
      </c>
      <c r="D592" s="385" t="s">
        <v>151</v>
      </c>
      <c r="H592" s="356" t="s">
        <v>172</v>
      </c>
      <c r="I592" s="370">
        <f t="shared" ref="I592:I601" si="81">K591</f>
        <v>586.70000000000005</v>
      </c>
      <c r="J592" s="356">
        <f>C22*0.02</f>
        <v>2.8763999999999998</v>
      </c>
      <c r="K592" s="369">
        <f>I592+J592</f>
        <v>589.57640000000004</v>
      </c>
      <c r="O592" s="356" t="s">
        <v>253</v>
      </c>
      <c r="R592" s="370">
        <f>(R590/30)</f>
        <v>109.1215333333333</v>
      </c>
      <c r="T592" s="358"/>
      <c r="U592" s="356" t="s">
        <v>172</v>
      </c>
      <c r="V592" s="370">
        <f>J614</f>
        <v>5.7527999999999997</v>
      </c>
      <c r="W592" s="357">
        <f>P22*0.02</f>
        <v>35.582600000000006</v>
      </c>
      <c r="X592" s="369">
        <f>X591+V592</f>
        <v>623.75279999999998</v>
      </c>
      <c r="Y592" s="369"/>
      <c r="Z592" s="35">
        <f>X597+V596</f>
        <v>691.7496000000001</v>
      </c>
      <c r="AG592" s="395" t="str">
        <f t="shared" si="59"/>
        <v>|</v>
      </c>
      <c r="AI592" s="356" t="s">
        <v>1256</v>
      </c>
    </row>
    <row r="593" spans="1:35" ht="15.75">
      <c r="A593" s="382">
        <f t="shared" si="80"/>
        <v>400</v>
      </c>
      <c r="B593" s="385" t="s">
        <v>1394</v>
      </c>
      <c r="C593" s="402">
        <v>21.92</v>
      </c>
      <c r="D593" s="385" t="s">
        <v>151</v>
      </c>
      <c r="H593" s="356" t="s">
        <v>873</v>
      </c>
      <c r="I593" s="370">
        <f t="shared" si="81"/>
        <v>589.57640000000004</v>
      </c>
      <c r="J593" s="356">
        <f>C23*0.02</f>
        <v>5.6664000000000003</v>
      </c>
      <c r="K593" s="369">
        <f>I593+J593</f>
        <v>595.24279999999999</v>
      </c>
      <c r="N593" s="356" t="s">
        <v>122</v>
      </c>
      <c r="O593" s="356" t="s">
        <v>1395</v>
      </c>
      <c r="T593" s="358"/>
      <c r="U593" s="356" t="s">
        <v>873</v>
      </c>
      <c r="V593" s="370">
        <f>J615</f>
        <v>11.332800000000001</v>
      </c>
      <c r="W593" s="357">
        <f>P23*0.02</f>
        <v>22.1968</v>
      </c>
      <c r="X593" s="369">
        <f>X592+V593</f>
        <v>635.0856</v>
      </c>
      <c r="Y593" s="369"/>
      <c r="Z593" s="35">
        <f>Z592+V596</f>
        <v>703.08240000000012</v>
      </c>
      <c r="AG593" s="395" t="str">
        <f t="shared" si="59"/>
        <v>|</v>
      </c>
      <c r="AI593" s="356" t="s">
        <v>1256</v>
      </c>
    </row>
    <row r="594" spans="1:35" ht="15.75">
      <c r="A594" s="382">
        <f t="shared" si="80"/>
        <v>401</v>
      </c>
      <c r="B594" s="385" t="s">
        <v>1396</v>
      </c>
      <c r="C594" s="394">
        <f>145.15/2</f>
        <v>72.575000000000003</v>
      </c>
      <c r="D594" s="385" t="s">
        <v>151</v>
      </c>
      <c r="H594" s="356" t="s">
        <v>876</v>
      </c>
      <c r="I594" s="370">
        <f t="shared" si="81"/>
        <v>595.24279999999999</v>
      </c>
      <c r="J594" s="356">
        <f>C23*0.02</f>
        <v>5.6664000000000003</v>
      </c>
      <c r="K594" s="369">
        <f>I594+J594</f>
        <v>600.90919999999994</v>
      </c>
      <c r="O594" s="356" t="s">
        <v>1397</v>
      </c>
      <c r="T594" s="358"/>
      <c r="U594" s="356" t="s">
        <v>876</v>
      </c>
      <c r="V594" s="370">
        <f>J616</f>
        <v>11.332800000000001</v>
      </c>
      <c r="W594" s="357">
        <f>P23*0.02</f>
        <v>22.1968</v>
      </c>
      <c r="X594" s="369">
        <f>X593+V594</f>
        <v>646.41840000000002</v>
      </c>
      <c r="Y594" s="369"/>
      <c r="Z594" s="35">
        <f>Z593+V596</f>
        <v>714.41520000000014</v>
      </c>
      <c r="AG594" s="395" t="str">
        <f t="shared" si="59"/>
        <v>|</v>
      </c>
      <c r="AI594" s="356" t="s">
        <v>1256</v>
      </c>
    </row>
    <row r="595" spans="1:35" ht="15.75">
      <c r="A595" s="382">
        <f t="shared" si="80"/>
        <v>402</v>
      </c>
      <c r="B595" s="385" t="s">
        <v>1398</v>
      </c>
      <c r="C595" s="394">
        <v>995</v>
      </c>
      <c r="D595" s="385" t="s">
        <v>151</v>
      </c>
      <c r="H595" s="356" t="s">
        <v>878</v>
      </c>
      <c r="I595" s="370">
        <f t="shared" si="81"/>
        <v>600.90919999999994</v>
      </c>
      <c r="J595" s="356">
        <f>C23*0.02</f>
        <v>5.6664000000000003</v>
      </c>
      <c r="K595" s="369">
        <f>I595+J595</f>
        <v>606.57559999999989</v>
      </c>
      <c r="O595" s="363" t="s">
        <v>117</v>
      </c>
      <c r="T595" s="358"/>
      <c r="U595" s="356" t="s">
        <v>878</v>
      </c>
      <c r="V595" s="370">
        <f>J617</f>
        <v>11.332800000000001</v>
      </c>
      <c r="W595" s="357">
        <f>P23*0.02</f>
        <v>22.1968</v>
      </c>
      <c r="X595" s="369">
        <f>X594+V595</f>
        <v>657.75120000000004</v>
      </c>
      <c r="Y595" s="369"/>
      <c r="Z595" s="35">
        <f>Z594+V596</f>
        <v>725.74800000000016</v>
      </c>
      <c r="AG595" s="395" t="str">
        <f t="shared" si="59"/>
        <v>|</v>
      </c>
      <c r="AI595" s="356" t="s">
        <v>1256</v>
      </c>
    </row>
    <row r="596" spans="1:35" ht="15.75">
      <c r="A596" s="382"/>
      <c r="B596" s="385"/>
      <c r="C596" s="384"/>
      <c r="D596" s="385"/>
      <c r="H596" s="356" t="s">
        <v>1287</v>
      </c>
      <c r="I596" s="370">
        <f t="shared" si="81"/>
        <v>606.57559999999989</v>
      </c>
      <c r="J596" s="356">
        <f>C23*0.02</f>
        <v>5.6664000000000003</v>
      </c>
      <c r="K596" s="369">
        <f t="shared" ref="K596:K601" si="82">I596+J596</f>
        <v>612.24199999999985</v>
      </c>
      <c r="O596" s="363"/>
      <c r="T596" s="358"/>
      <c r="U596" s="356" t="s">
        <v>1287</v>
      </c>
      <c r="V596" s="370">
        <f>J618</f>
        <v>11.332800000000001</v>
      </c>
      <c r="W596" s="357">
        <f>P23*0.02</f>
        <v>22.1968</v>
      </c>
      <c r="X596" s="369">
        <f>X595+V596</f>
        <v>669.08400000000006</v>
      </c>
      <c r="Y596" s="369"/>
      <c r="Z596" s="35">
        <f>Z595+V596</f>
        <v>737.08080000000018</v>
      </c>
      <c r="AG596" s="395" t="str">
        <f t="shared" si="59"/>
        <v>|::</v>
      </c>
      <c r="AI596" s="356" t="s">
        <v>1001</v>
      </c>
    </row>
    <row r="597" spans="1:35" ht="15.75">
      <c r="A597" s="382">
        <f>(A595+1)</f>
        <v>403</v>
      </c>
      <c r="B597" s="385" t="s">
        <v>1399</v>
      </c>
      <c r="C597" s="402">
        <v>21</v>
      </c>
      <c r="D597" s="385" t="s">
        <v>151</v>
      </c>
      <c r="H597" s="356" t="s">
        <v>1163</v>
      </c>
      <c r="I597" s="370">
        <f t="shared" si="81"/>
        <v>612.24199999999985</v>
      </c>
      <c r="J597" s="356">
        <f>C23*0.02</f>
        <v>5.6664000000000003</v>
      </c>
      <c r="K597" s="369">
        <f t="shared" si="82"/>
        <v>617.9083999999998</v>
      </c>
      <c r="M597" s="370">
        <v>1.08</v>
      </c>
      <c r="N597" s="356" t="s">
        <v>108</v>
      </c>
      <c r="O597" s="356" t="s">
        <v>1400</v>
      </c>
      <c r="P597" s="370">
        <f>(K88)</f>
        <v>284.5</v>
      </c>
      <c r="Q597" s="356" t="s">
        <v>108</v>
      </c>
      <c r="R597" s="370">
        <f>(M597*P597)</f>
        <v>307.26000000000005</v>
      </c>
      <c r="S597" s="432">
        <v>15.2</v>
      </c>
      <c r="T597" s="368" t="s">
        <v>235</v>
      </c>
      <c r="U597" s="356" t="s">
        <v>1401</v>
      </c>
      <c r="W597" s="361"/>
      <c r="X597" s="369">
        <f>X596+V596</f>
        <v>680.41680000000008</v>
      </c>
      <c r="Y597" s="369"/>
      <c r="AG597" s="395">
        <f t="shared" si="59"/>
        <v>0</v>
      </c>
    </row>
    <row r="598" spans="1:35" ht="15.75">
      <c r="A598" s="382">
        <f t="shared" si="80"/>
        <v>404</v>
      </c>
      <c r="B598" s="385" t="s">
        <v>1402</v>
      </c>
      <c r="C598" s="402">
        <v>150</v>
      </c>
      <c r="D598" s="385" t="s">
        <v>151</v>
      </c>
      <c r="H598" s="356" t="s">
        <v>1165</v>
      </c>
      <c r="I598" s="370">
        <f t="shared" si="81"/>
        <v>617.9083999999998</v>
      </c>
      <c r="J598" s="356">
        <f>C23*0.02</f>
        <v>5.6664000000000003</v>
      </c>
      <c r="K598" s="369">
        <f t="shared" si="82"/>
        <v>623.57479999999975</v>
      </c>
      <c r="M598" s="407">
        <v>0.216</v>
      </c>
      <c r="N598" s="356" t="s">
        <v>108</v>
      </c>
      <c r="O598" s="356" t="s">
        <v>1403</v>
      </c>
      <c r="P598" s="370">
        <f>(R60)</f>
        <v>4830.3518400000003</v>
      </c>
      <c r="Q598" s="356" t="s">
        <v>108</v>
      </c>
      <c r="R598" s="370">
        <f>(M598*P598)</f>
        <v>1043.35599744</v>
      </c>
      <c r="W598" s="361"/>
      <c r="AG598" s="395">
        <f t="shared" si="59"/>
        <v>0</v>
      </c>
    </row>
    <row r="599" spans="1:35" ht="15.75">
      <c r="A599" s="382">
        <f t="shared" si="80"/>
        <v>405</v>
      </c>
      <c r="B599" s="385" t="s">
        <v>1404</v>
      </c>
      <c r="C599" s="394">
        <v>21.6</v>
      </c>
      <c r="D599" s="385" t="s">
        <v>151</v>
      </c>
      <c r="H599" s="356" t="s">
        <v>1181</v>
      </c>
      <c r="I599" s="370">
        <f t="shared" si="81"/>
        <v>623.57479999999975</v>
      </c>
      <c r="J599" s="356">
        <f>C23*0.02</f>
        <v>5.6664000000000003</v>
      </c>
      <c r="K599" s="369">
        <f t="shared" si="82"/>
        <v>629.24119999999971</v>
      </c>
      <c r="M599" s="407">
        <v>0.48699999999999999</v>
      </c>
      <c r="N599" s="356" t="s">
        <v>108</v>
      </c>
      <c r="O599" s="356" t="s">
        <v>1405</v>
      </c>
      <c r="P599" s="370">
        <f>AI323</f>
        <v>7467.4320639999987</v>
      </c>
      <c r="Q599" s="356" t="s">
        <v>108</v>
      </c>
      <c r="R599" s="370">
        <f>(M599*P599)</f>
        <v>3636.6394151679992</v>
      </c>
      <c r="W599" s="361"/>
      <c r="AG599" s="395" t="str">
        <f t="shared" ref="AG599:AG639" si="83">AI599</f>
        <v>|</v>
      </c>
      <c r="AI599" s="356" t="s">
        <v>1256</v>
      </c>
    </row>
    <row r="600" spans="1:35" ht="15.75">
      <c r="A600" s="382">
        <f t="shared" si="80"/>
        <v>406</v>
      </c>
      <c r="B600" s="385" t="s">
        <v>1406</v>
      </c>
      <c r="C600" s="394">
        <v>57.65</v>
      </c>
      <c r="D600" s="394">
        <v>49.55</v>
      </c>
      <c r="E600" s="35" t="s">
        <v>1407</v>
      </c>
      <c r="H600" s="356" t="s">
        <v>1293</v>
      </c>
      <c r="I600" s="370">
        <f t="shared" si="81"/>
        <v>629.24119999999971</v>
      </c>
      <c r="J600" s="356">
        <f>C23*0.02</f>
        <v>5.6664000000000003</v>
      </c>
      <c r="K600" s="369">
        <f t="shared" si="82"/>
        <v>634.90759999999966</v>
      </c>
      <c r="M600" s="407">
        <v>5.36</v>
      </c>
      <c r="N600" s="356" t="s">
        <v>107</v>
      </c>
      <c r="O600" s="356" t="s">
        <v>1408</v>
      </c>
      <c r="P600" s="370">
        <f>(R306)</f>
        <v>311.09340080000004</v>
      </c>
      <c r="Q600" s="356" t="s">
        <v>107</v>
      </c>
      <c r="R600" s="370">
        <f>(M600*P600)</f>
        <v>1667.4606282880004</v>
      </c>
      <c r="W600" s="361"/>
      <c r="AG600" s="395" t="str">
        <f t="shared" si="83"/>
        <v>|</v>
      </c>
      <c r="AI600" s="356" t="s">
        <v>1256</v>
      </c>
    </row>
    <row r="601" spans="1:35" ht="15.75">
      <c r="A601" s="382">
        <f t="shared" si="80"/>
        <v>407</v>
      </c>
      <c r="B601" s="385" t="s">
        <v>1409</v>
      </c>
      <c r="C601" s="402">
        <v>208.5</v>
      </c>
      <c r="D601" s="385" t="s">
        <v>151</v>
      </c>
      <c r="H601" s="356">
        <v>9</v>
      </c>
      <c r="I601" s="370">
        <f t="shared" si="81"/>
        <v>634.90759999999966</v>
      </c>
      <c r="J601" s="356">
        <f>C23*0.02</f>
        <v>5.6664000000000003</v>
      </c>
      <c r="K601" s="369">
        <f t="shared" si="82"/>
        <v>640.57399999999961</v>
      </c>
      <c r="M601" s="407">
        <v>3.2000000000000001E-2</v>
      </c>
      <c r="N601" s="356" t="s">
        <v>108</v>
      </c>
      <c r="O601" s="356" t="s">
        <v>1410</v>
      </c>
      <c r="P601" s="370">
        <f>(K645)</f>
        <v>8975</v>
      </c>
      <c r="Q601" s="356" t="s">
        <v>108</v>
      </c>
      <c r="R601" s="370">
        <f>(M601*P601)</f>
        <v>287.2</v>
      </c>
      <c r="W601" s="361"/>
      <c r="AG601" s="395" t="str">
        <f t="shared" si="83"/>
        <v>|</v>
      </c>
      <c r="AI601" s="356" t="s">
        <v>1256</v>
      </c>
    </row>
    <row r="602" spans="1:35" ht="15.75">
      <c r="A602" s="382">
        <f t="shared" si="80"/>
        <v>408</v>
      </c>
      <c r="B602" s="463" t="s">
        <v>1411</v>
      </c>
      <c r="C602" s="392">
        <v>172</v>
      </c>
      <c r="D602" s="385" t="s">
        <v>151</v>
      </c>
      <c r="H602" s="356"/>
      <c r="I602" s="370"/>
      <c r="J602" s="356"/>
      <c r="K602" s="369"/>
      <c r="O602" s="356" t="s">
        <v>1412</v>
      </c>
      <c r="R602" s="356" t="s">
        <v>114</v>
      </c>
      <c r="W602" s="361"/>
      <c r="AG602" s="395" t="str">
        <f t="shared" si="83"/>
        <v>|</v>
      </c>
      <c r="AI602" s="356" t="s">
        <v>1256</v>
      </c>
    </row>
    <row r="603" spans="1:35" ht="30">
      <c r="A603" s="382">
        <f t="shared" si="80"/>
        <v>409</v>
      </c>
      <c r="B603" s="488" t="s">
        <v>1413</v>
      </c>
      <c r="C603" s="489">
        <f>ROUND(35.15/0.093025,2)</f>
        <v>377.86</v>
      </c>
      <c r="D603" s="385" t="s">
        <v>107</v>
      </c>
      <c r="H603" s="356"/>
      <c r="I603" s="370"/>
      <c r="J603" s="356"/>
      <c r="K603" s="369"/>
      <c r="N603" s="356" t="s">
        <v>128</v>
      </c>
      <c r="O603" s="356" t="s">
        <v>1414</v>
      </c>
      <c r="Q603" s="356" t="s">
        <v>128</v>
      </c>
      <c r="R603" s="370">
        <v>2.66</v>
      </c>
      <c r="W603" s="361"/>
      <c r="AG603" s="395" t="str">
        <f t="shared" si="83"/>
        <v>|</v>
      </c>
      <c r="AI603" s="356" t="s">
        <v>1256</v>
      </c>
    </row>
    <row r="604" spans="1:35" ht="30.75">
      <c r="A604" s="382">
        <f t="shared" si="80"/>
        <v>410</v>
      </c>
      <c r="B604" s="440" t="s">
        <v>1415</v>
      </c>
      <c r="C604" s="394">
        <f>8.3/0.02</f>
        <v>415</v>
      </c>
      <c r="D604" s="385" t="s">
        <v>107</v>
      </c>
      <c r="E604" s="490">
        <f>7.25/0.02</f>
        <v>362.5</v>
      </c>
      <c r="F604" s="412">
        <v>15.2</v>
      </c>
      <c r="G604" s="368" t="s">
        <v>235</v>
      </c>
      <c r="H604" s="356" t="s">
        <v>1401</v>
      </c>
      <c r="K604" s="491">
        <f>K596+J596</f>
        <v>617.9083999999998</v>
      </c>
      <c r="R604" s="363" t="s">
        <v>117</v>
      </c>
      <c r="W604" s="361"/>
      <c r="AG604" s="395" t="str">
        <f t="shared" si="83"/>
        <v>|</v>
      </c>
      <c r="AI604" s="356" t="s">
        <v>1256</v>
      </c>
    </row>
    <row r="605" spans="1:35" ht="15.75">
      <c r="A605" s="382">
        <f t="shared" si="80"/>
        <v>411</v>
      </c>
      <c r="B605" s="385" t="s">
        <v>1416</v>
      </c>
      <c r="C605" s="402">
        <v>75</v>
      </c>
      <c r="D605" s="385" t="s">
        <v>151</v>
      </c>
      <c r="H605" s="356" t="s">
        <v>1377</v>
      </c>
      <c r="O605" s="356" t="s">
        <v>188</v>
      </c>
      <c r="R605" s="370">
        <f>SUM(R597:R603)</f>
        <v>6944.5760408959995</v>
      </c>
      <c r="W605" s="361"/>
      <c r="AG605" s="395" t="str">
        <f t="shared" si="83"/>
        <v>|</v>
      </c>
      <c r="AI605" s="356" t="s">
        <v>1256</v>
      </c>
    </row>
    <row r="606" spans="1:35" ht="15.75">
      <c r="A606" s="382">
        <f t="shared" si="80"/>
        <v>412</v>
      </c>
      <c r="B606" s="385" t="s">
        <v>1417</v>
      </c>
      <c r="C606" s="402">
        <v>125</v>
      </c>
      <c r="D606" s="385" t="s">
        <v>151</v>
      </c>
      <c r="F606" s="370">
        <v>1</v>
      </c>
      <c r="G606" s="368" t="s">
        <v>262</v>
      </c>
      <c r="H606" s="356" t="s">
        <v>1379</v>
      </c>
      <c r="I606" s="370">
        <f>D753</f>
        <v>408</v>
      </c>
      <c r="J606" s="356" t="s">
        <v>262</v>
      </c>
      <c r="K606" s="370">
        <f>(F606*I606)</f>
        <v>408</v>
      </c>
      <c r="R606" s="363" t="s">
        <v>117</v>
      </c>
      <c r="W606" s="361"/>
      <c r="AG606" s="395" t="str">
        <f t="shared" si="83"/>
        <v>|</v>
      </c>
      <c r="AI606" s="356" t="s">
        <v>1256</v>
      </c>
    </row>
    <row r="607" spans="1:35" ht="15.75">
      <c r="A607" s="382">
        <f t="shared" si="80"/>
        <v>413</v>
      </c>
      <c r="B607" s="385" t="s">
        <v>1418</v>
      </c>
      <c r="C607" s="402">
        <v>190</v>
      </c>
      <c r="D607" s="385" t="s">
        <v>151</v>
      </c>
      <c r="F607" s="370">
        <v>0.75</v>
      </c>
      <c r="G607" s="368" t="s">
        <v>482</v>
      </c>
      <c r="H607" s="356" t="s">
        <v>1381</v>
      </c>
      <c r="I607" s="370">
        <f>C10</f>
        <v>1198.8</v>
      </c>
      <c r="J607" s="356" t="s">
        <v>194</v>
      </c>
      <c r="K607" s="370">
        <f>(F607*I607)</f>
        <v>899.09999999999991</v>
      </c>
      <c r="N607" s="356" t="s">
        <v>122</v>
      </c>
      <c r="O607" s="356" t="s">
        <v>1395</v>
      </c>
      <c r="W607" s="361"/>
      <c r="AG607" s="395" t="str">
        <f t="shared" si="83"/>
        <v>|</v>
      </c>
      <c r="AI607" s="356" t="s">
        <v>1256</v>
      </c>
    </row>
    <row r="608" spans="1:35" ht="15.75">
      <c r="A608" s="382">
        <f t="shared" si="80"/>
        <v>414</v>
      </c>
      <c r="B608" s="385" t="s">
        <v>1419</v>
      </c>
      <c r="C608" s="402">
        <v>16</v>
      </c>
      <c r="D608" s="385" t="s">
        <v>151</v>
      </c>
      <c r="F608" s="370">
        <v>0.75</v>
      </c>
      <c r="G608" s="368" t="s">
        <v>482</v>
      </c>
      <c r="H608" s="356" t="s">
        <v>1383</v>
      </c>
      <c r="I608" s="370">
        <f>C12</f>
        <v>781.19999999999993</v>
      </c>
      <c r="J608" s="356" t="s">
        <v>194</v>
      </c>
      <c r="K608" s="370">
        <f>(F608*I608)</f>
        <v>585.9</v>
      </c>
      <c r="O608" s="356" t="s">
        <v>1420</v>
      </c>
      <c r="W608" s="361"/>
      <c r="AG608" s="395" t="str">
        <f t="shared" si="83"/>
        <v>|</v>
      </c>
      <c r="AI608" s="356" t="s">
        <v>1256</v>
      </c>
    </row>
    <row r="609" spans="1:35" ht="15.75">
      <c r="A609" s="382">
        <f t="shared" si="80"/>
        <v>415</v>
      </c>
      <c r="B609" s="356" t="s">
        <v>1421</v>
      </c>
      <c r="C609" s="394">
        <v>11.8</v>
      </c>
      <c r="D609" s="385" t="s">
        <v>213</v>
      </c>
      <c r="F609" s="370">
        <v>0.5</v>
      </c>
      <c r="G609" s="368" t="s">
        <v>482</v>
      </c>
      <c r="H609" s="356" t="s">
        <v>1422</v>
      </c>
      <c r="I609" s="370">
        <f>C41</f>
        <v>885.6</v>
      </c>
      <c r="J609" s="356" t="s">
        <v>194</v>
      </c>
      <c r="K609" s="370">
        <f>(F609*I609)</f>
        <v>442.8</v>
      </c>
      <c r="O609" s="363" t="s">
        <v>117</v>
      </c>
      <c r="W609" s="361"/>
      <c r="AG609" s="395" t="str">
        <f t="shared" si="83"/>
        <v>|</v>
      </c>
      <c r="AI609" s="356" t="s">
        <v>1256</v>
      </c>
    </row>
    <row r="610" spans="1:35" ht="15.75">
      <c r="A610" s="382">
        <f t="shared" si="80"/>
        <v>416</v>
      </c>
      <c r="B610" s="356" t="s">
        <v>1423</v>
      </c>
      <c r="C610" s="394">
        <f>(22.6+27.25)/2</f>
        <v>24.925000000000001</v>
      </c>
      <c r="D610" s="385" t="s">
        <v>213</v>
      </c>
      <c r="G610" s="368" t="s">
        <v>128</v>
      </c>
      <c r="H610" s="356" t="s">
        <v>1385</v>
      </c>
      <c r="J610" s="356" t="s">
        <v>128</v>
      </c>
      <c r="K610" s="370">
        <v>53.5</v>
      </c>
      <c r="M610" s="370">
        <v>1.3</v>
      </c>
      <c r="N610" s="356" t="s">
        <v>108</v>
      </c>
      <c r="O610" s="356" t="s">
        <v>1400</v>
      </c>
      <c r="P610" s="370">
        <f>(K88)</f>
        <v>284.5</v>
      </c>
      <c r="Q610" s="356" t="s">
        <v>108</v>
      </c>
      <c r="R610" s="370">
        <f>(M610*P610)</f>
        <v>369.85</v>
      </c>
      <c r="W610" s="361"/>
      <c r="AG610" s="395" t="str">
        <f t="shared" si="83"/>
        <v>|</v>
      </c>
      <c r="AI610" s="356" t="s">
        <v>1256</v>
      </c>
    </row>
    <row r="611" spans="1:35" ht="15.75">
      <c r="A611" s="382"/>
      <c r="B611" s="356" t="s">
        <v>1424</v>
      </c>
      <c r="C611" s="394">
        <v>22.6</v>
      </c>
      <c r="D611" s="385" t="s">
        <v>213</v>
      </c>
      <c r="H611" s="356" t="s">
        <v>1387</v>
      </c>
      <c r="K611" s="363" t="s">
        <v>117</v>
      </c>
      <c r="M611" s="370"/>
      <c r="N611" s="356"/>
      <c r="O611" s="356"/>
      <c r="P611" s="370"/>
      <c r="Q611" s="356"/>
      <c r="R611" s="370"/>
      <c r="W611" s="361"/>
      <c r="AG611" s="395" t="str">
        <f t="shared" si="83"/>
        <v>|</v>
      </c>
      <c r="AI611" s="356" t="s">
        <v>1256</v>
      </c>
    </row>
    <row r="612" spans="1:35" ht="15.75">
      <c r="A612" s="382">
        <f>(A610+1)</f>
        <v>417</v>
      </c>
      <c r="B612" s="356" t="s">
        <v>1425</v>
      </c>
      <c r="C612" s="394">
        <v>27.25</v>
      </c>
      <c r="D612" s="385" t="s">
        <v>213</v>
      </c>
      <c r="H612" s="357" t="s">
        <v>1426</v>
      </c>
      <c r="K612" s="370">
        <f>SUM(K606:K610)</f>
        <v>2389.3000000000002</v>
      </c>
      <c r="M612" s="407">
        <v>0.216</v>
      </c>
      <c r="N612" s="356" t="s">
        <v>108</v>
      </c>
      <c r="O612" s="356" t="s">
        <v>1403</v>
      </c>
      <c r="P612" s="370">
        <f>(R60)</f>
        <v>4830.3518400000003</v>
      </c>
      <c r="Q612" s="356" t="s">
        <v>108</v>
      </c>
      <c r="R612" s="370">
        <f>(M612*P612)</f>
        <v>1043.35599744</v>
      </c>
      <c r="W612" s="361"/>
      <c r="AG612" s="395">
        <f t="shared" si="83"/>
        <v>0</v>
      </c>
      <c r="AI612" s="356"/>
    </row>
    <row r="613" spans="1:35" ht="15.75">
      <c r="A613" s="382">
        <f t="shared" si="80"/>
        <v>418</v>
      </c>
      <c r="B613" s="385" t="s">
        <v>1427</v>
      </c>
      <c r="C613" s="402">
        <v>7.5</v>
      </c>
      <c r="D613" s="385" t="s">
        <v>223</v>
      </c>
      <c r="K613" s="363" t="s">
        <v>117</v>
      </c>
      <c r="M613" s="407">
        <v>0.60099999999999998</v>
      </c>
      <c r="N613" s="356" t="s">
        <v>108</v>
      </c>
      <c r="O613" s="356" t="s">
        <v>1405</v>
      </c>
      <c r="P613" s="370">
        <f>P599</f>
        <v>7467.4320639999987</v>
      </c>
      <c r="Q613" s="356" t="s">
        <v>108</v>
      </c>
      <c r="R613" s="370">
        <f>(M613*P613)</f>
        <v>4487.9266704639995</v>
      </c>
      <c r="W613" s="361"/>
      <c r="AG613" s="395" t="str">
        <f t="shared" si="83"/>
        <v>|</v>
      </c>
      <c r="AI613" s="356" t="s">
        <v>1256</v>
      </c>
    </row>
    <row r="614" spans="1:35" ht="15.75">
      <c r="A614" s="382">
        <f t="shared" si="80"/>
        <v>419</v>
      </c>
      <c r="B614" s="385" t="s">
        <v>1428</v>
      </c>
      <c r="C614" s="402">
        <v>16</v>
      </c>
      <c r="D614" s="385" t="s">
        <v>223</v>
      </c>
      <c r="E614" s="35" t="s">
        <v>1429</v>
      </c>
      <c r="H614" s="356" t="s">
        <v>172</v>
      </c>
      <c r="I614" s="370">
        <f>K612</f>
        <v>2389.3000000000002</v>
      </c>
      <c r="J614" s="356">
        <f>C22*0.04</f>
        <v>5.7527999999999997</v>
      </c>
      <c r="K614" s="369">
        <f>(K612+C22*0.04)</f>
        <v>2395.0528000000004</v>
      </c>
      <c r="M614" s="407">
        <v>6.35</v>
      </c>
      <c r="N614" s="356" t="s">
        <v>107</v>
      </c>
      <c r="O614" s="356" t="s">
        <v>1408</v>
      </c>
      <c r="P614" s="370">
        <f>(R306)</f>
        <v>311.09340080000004</v>
      </c>
      <c r="Q614" s="356" t="s">
        <v>107</v>
      </c>
      <c r="R614" s="370">
        <f>(M614*P614)</f>
        <v>1975.4430950800001</v>
      </c>
      <c r="W614" s="361"/>
      <c r="AG614" s="395" t="str">
        <f t="shared" si="83"/>
        <v>|</v>
      </c>
      <c r="AI614" s="356" t="s">
        <v>1256</v>
      </c>
    </row>
    <row r="615" spans="1:35" ht="15.75">
      <c r="A615" s="382">
        <f t="shared" si="80"/>
        <v>420</v>
      </c>
      <c r="B615" s="356" t="s">
        <v>1430</v>
      </c>
      <c r="C615" s="394">
        <v>3090</v>
      </c>
      <c r="D615" s="385" t="s">
        <v>1431</v>
      </c>
      <c r="E615" s="448">
        <v>3484</v>
      </c>
      <c r="H615" s="356" t="s">
        <v>873</v>
      </c>
      <c r="I615" s="370">
        <f>K614</f>
        <v>2395.0528000000004</v>
      </c>
      <c r="J615" s="356">
        <f>C23*0.04</f>
        <v>11.332800000000001</v>
      </c>
      <c r="K615" s="369">
        <f>(K614+C23*0.04)</f>
        <v>2406.3856000000005</v>
      </c>
      <c r="M615" s="407">
        <v>3.2000000000000001E-2</v>
      </c>
      <c r="N615" s="356" t="s">
        <v>108</v>
      </c>
      <c r="O615" s="356" t="s">
        <v>1410</v>
      </c>
      <c r="P615" s="370">
        <f>(K645)</f>
        <v>8975</v>
      </c>
      <c r="Q615" s="356" t="s">
        <v>108</v>
      </c>
      <c r="R615" s="370">
        <f>(M615*P615)</f>
        <v>287.2</v>
      </c>
      <c r="W615" s="361"/>
      <c r="AG615" s="395" t="str">
        <f t="shared" si="83"/>
        <v>|</v>
      </c>
      <c r="AI615" s="356" t="s">
        <v>1256</v>
      </c>
    </row>
    <row r="616" spans="1:35" ht="15.75">
      <c r="A616" s="382">
        <f t="shared" si="80"/>
        <v>421</v>
      </c>
      <c r="B616" s="385" t="s">
        <v>1432</v>
      </c>
      <c r="C616" s="402">
        <v>805</v>
      </c>
      <c r="D616" s="385" t="s">
        <v>1431</v>
      </c>
      <c r="H616" s="356" t="s">
        <v>876</v>
      </c>
      <c r="I616" s="370">
        <f>K615</f>
        <v>2406.3856000000005</v>
      </c>
      <c r="J616" s="356">
        <f>C23*0.04</f>
        <v>11.332800000000001</v>
      </c>
      <c r="K616" s="369">
        <f>(K615+C24*0.04)</f>
        <v>2417.7184000000007</v>
      </c>
      <c r="O616" s="356" t="s">
        <v>1412</v>
      </c>
      <c r="R616" s="356" t="s">
        <v>114</v>
      </c>
      <c r="W616" s="361"/>
      <c r="AG616" s="395" t="str">
        <f t="shared" si="83"/>
        <v>|</v>
      </c>
      <c r="AI616" s="356" t="s">
        <v>1256</v>
      </c>
    </row>
    <row r="617" spans="1:35" ht="15.75">
      <c r="A617" s="382">
        <f t="shared" si="80"/>
        <v>422</v>
      </c>
      <c r="B617" s="385" t="s">
        <v>1433</v>
      </c>
      <c r="C617" s="402">
        <f>204+53</f>
        <v>257</v>
      </c>
      <c r="D617" s="385" t="s">
        <v>1431</v>
      </c>
      <c r="H617" s="356" t="s">
        <v>878</v>
      </c>
      <c r="I617" s="370">
        <f>K616</f>
        <v>2417.7184000000007</v>
      </c>
      <c r="J617" s="356">
        <f>C23*0.04</f>
        <v>11.332800000000001</v>
      </c>
      <c r="K617" s="369">
        <f>(K616+C24*0.04)</f>
        <v>2429.0512000000008</v>
      </c>
      <c r="N617" s="356" t="s">
        <v>128</v>
      </c>
      <c r="O617" s="356" t="s">
        <v>1414</v>
      </c>
      <c r="Q617" s="356" t="s">
        <v>128</v>
      </c>
      <c r="R617" s="370">
        <v>2</v>
      </c>
      <c r="W617" s="361"/>
      <c r="AG617" s="395" t="str">
        <f t="shared" si="83"/>
        <v>|</v>
      </c>
      <c r="AI617" s="356" t="s">
        <v>1256</v>
      </c>
    </row>
    <row r="618" spans="1:35" ht="15.75">
      <c r="A618" s="382">
        <f t="shared" si="80"/>
        <v>423</v>
      </c>
      <c r="B618" s="385" t="s">
        <v>1434</v>
      </c>
      <c r="C618" s="402">
        <v>53</v>
      </c>
      <c r="D618" s="385" t="s">
        <v>223</v>
      </c>
      <c r="H618" s="356" t="s">
        <v>1287</v>
      </c>
      <c r="I618" s="370">
        <f>K617</f>
        <v>2429.0512000000008</v>
      </c>
      <c r="J618" s="356">
        <f>C24*0.04</f>
        <v>11.332800000000001</v>
      </c>
      <c r="K618" s="369">
        <f>(K617+C24*0.04)</f>
        <v>2440.3840000000009</v>
      </c>
      <c r="R618" s="363" t="s">
        <v>117</v>
      </c>
      <c r="W618" s="361"/>
      <c r="AG618" s="395" t="str">
        <f t="shared" si="83"/>
        <v>|</v>
      </c>
      <c r="AI618" s="356" t="s">
        <v>1256</v>
      </c>
    </row>
    <row r="619" spans="1:35" ht="15.75">
      <c r="A619" s="382">
        <f t="shared" si="80"/>
        <v>424</v>
      </c>
      <c r="B619" s="356" t="s">
        <v>1435</v>
      </c>
      <c r="C619" s="394">
        <v>1672</v>
      </c>
      <c r="D619" s="385" t="s">
        <v>223</v>
      </c>
      <c r="F619" s="492">
        <v>15.1</v>
      </c>
      <c r="G619" s="368" t="s">
        <v>1436</v>
      </c>
      <c r="H619" s="356" t="s">
        <v>1437</v>
      </c>
      <c r="O619" s="356" t="s">
        <v>188</v>
      </c>
      <c r="R619" s="370">
        <f>SUM(R610:R617)</f>
        <v>8165.7757629839989</v>
      </c>
      <c r="W619" s="361"/>
      <c r="AG619" s="395" t="str">
        <f t="shared" si="83"/>
        <v>|</v>
      </c>
      <c r="AI619" s="356" t="s">
        <v>1256</v>
      </c>
    </row>
    <row r="620" spans="1:35" ht="15.75">
      <c r="A620" s="382">
        <f t="shared" si="80"/>
        <v>425</v>
      </c>
      <c r="B620" s="385" t="s">
        <v>1438</v>
      </c>
      <c r="C620" s="402">
        <v>196</v>
      </c>
      <c r="D620" s="385" t="s">
        <v>223</v>
      </c>
      <c r="H620" s="356" t="s">
        <v>1377</v>
      </c>
      <c r="R620" s="363" t="s">
        <v>117</v>
      </c>
      <c r="W620" s="361"/>
      <c r="AG620" s="395" t="str">
        <f t="shared" si="83"/>
        <v>|</v>
      </c>
      <c r="AI620" s="356" t="s">
        <v>1256</v>
      </c>
    </row>
    <row r="621" spans="1:35" ht="15.75">
      <c r="A621" s="382">
        <f t="shared" si="80"/>
        <v>426</v>
      </c>
      <c r="B621" s="356" t="s">
        <v>1439</v>
      </c>
      <c r="C621" s="394">
        <v>940</v>
      </c>
      <c r="D621" s="385" t="s">
        <v>223</v>
      </c>
      <c r="F621" s="370">
        <v>10</v>
      </c>
      <c r="G621" s="368" t="s">
        <v>262</v>
      </c>
      <c r="H621" s="356" t="s">
        <v>1440</v>
      </c>
      <c r="I621" s="443">
        <f>C753</f>
        <v>376.7</v>
      </c>
      <c r="J621" s="356" t="s">
        <v>262</v>
      </c>
      <c r="K621" s="370">
        <f>(F621*I621)</f>
        <v>3767</v>
      </c>
      <c r="N621" s="356" t="s">
        <v>122</v>
      </c>
      <c r="O621" s="356" t="s">
        <v>1441</v>
      </c>
      <c r="W621" s="361"/>
      <c r="AG621" s="395" t="str">
        <f t="shared" si="83"/>
        <v>|</v>
      </c>
      <c r="AI621" s="356" t="s">
        <v>1256</v>
      </c>
    </row>
    <row r="622" spans="1:35" ht="15.75">
      <c r="A622" s="382">
        <f t="shared" si="80"/>
        <v>427</v>
      </c>
      <c r="B622" s="385" t="s">
        <v>1442</v>
      </c>
      <c r="C622" s="402">
        <v>193.05</v>
      </c>
      <c r="D622" s="463">
        <v>120.54</v>
      </c>
      <c r="F622" s="370">
        <v>0.12</v>
      </c>
      <c r="G622" s="368" t="s">
        <v>108</v>
      </c>
      <c r="H622" s="356" t="s">
        <v>1443</v>
      </c>
      <c r="I622" s="370">
        <f>K32</f>
        <v>4976.9571999999998</v>
      </c>
      <c r="J622" s="356" t="s">
        <v>108</v>
      </c>
      <c r="K622" s="370">
        <f>(F622*I622)</f>
        <v>597.2348639999999</v>
      </c>
      <c r="O622" s="356" t="s">
        <v>1444</v>
      </c>
      <c r="W622" s="361"/>
      <c r="AG622" s="395" t="str">
        <f t="shared" si="83"/>
        <v>|</v>
      </c>
      <c r="AI622" s="356" t="s">
        <v>1256</v>
      </c>
    </row>
    <row r="623" spans="1:35" ht="15.75">
      <c r="A623" s="382">
        <f t="shared" si="80"/>
        <v>428</v>
      </c>
      <c r="B623" s="385" t="s">
        <v>1445</v>
      </c>
      <c r="C623" s="493">
        <v>115.85</v>
      </c>
      <c r="D623" s="494" t="s">
        <v>110</v>
      </c>
      <c r="E623" s="495"/>
      <c r="F623" s="370">
        <v>1</v>
      </c>
      <c r="G623" s="368" t="s">
        <v>482</v>
      </c>
      <c r="H623" s="356" t="s">
        <v>1381</v>
      </c>
      <c r="I623" s="370">
        <f>C10</f>
        <v>1198.8</v>
      </c>
      <c r="J623" s="356" t="s">
        <v>194</v>
      </c>
      <c r="K623" s="370">
        <f>(F623*I623)</f>
        <v>1198.8</v>
      </c>
      <c r="O623" s="363" t="s">
        <v>117</v>
      </c>
      <c r="W623" s="361"/>
      <c r="AG623" s="395" t="str">
        <f t="shared" si="83"/>
        <v>|</v>
      </c>
      <c r="AI623" s="356" t="s">
        <v>1256</v>
      </c>
    </row>
    <row r="624" spans="1:35" ht="15.75">
      <c r="A624" s="382">
        <f t="shared" si="80"/>
        <v>429</v>
      </c>
      <c r="B624" s="385" t="s">
        <v>1446</v>
      </c>
      <c r="C624" s="496"/>
      <c r="D624" s="494" t="s">
        <v>110</v>
      </c>
      <c r="E624" s="495"/>
      <c r="F624" s="370">
        <v>1</v>
      </c>
      <c r="G624" s="368" t="s">
        <v>482</v>
      </c>
      <c r="H624" s="356" t="s">
        <v>1383</v>
      </c>
      <c r="I624" s="370">
        <f>C12</f>
        <v>781.19999999999993</v>
      </c>
      <c r="J624" s="356" t="s">
        <v>194</v>
      </c>
      <c r="K624" s="370">
        <f>(F624*I624)</f>
        <v>781.19999999999993</v>
      </c>
      <c r="M624" s="370">
        <v>10.37</v>
      </c>
      <c r="N624" s="356" t="s">
        <v>108</v>
      </c>
      <c r="O624" s="356" t="s">
        <v>1447</v>
      </c>
      <c r="P624" s="370">
        <f>(C61*2)</f>
        <v>268.91999999999996</v>
      </c>
      <c r="Q624" s="356" t="s">
        <v>108</v>
      </c>
      <c r="R624" s="370">
        <f t="shared" ref="R624:R632" si="84">(M624*P624)</f>
        <v>2788.7003999999993</v>
      </c>
      <c r="W624" s="361"/>
      <c r="AG624" s="395" t="str">
        <f t="shared" si="83"/>
        <v>|</v>
      </c>
      <c r="AI624" s="356" t="s">
        <v>1256</v>
      </c>
    </row>
    <row r="625" spans="1:35" ht="15.75">
      <c r="A625" s="382">
        <f t="shared" si="80"/>
        <v>430</v>
      </c>
      <c r="B625" s="385" t="s">
        <v>1448</v>
      </c>
      <c r="C625" s="493">
        <v>76</v>
      </c>
      <c r="D625" s="494" t="s">
        <v>151</v>
      </c>
      <c r="E625" s="495"/>
      <c r="G625" s="368" t="s">
        <v>128</v>
      </c>
      <c r="H625" s="356" t="s">
        <v>1385</v>
      </c>
      <c r="J625" s="356" t="s">
        <v>128</v>
      </c>
      <c r="K625" s="370">
        <v>0.33</v>
      </c>
      <c r="M625" s="370">
        <v>0.65</v>
      </c>
      <c r="N625" s="356" t="s">
        <v>108</v>
      </c>
      <c r="O625" s="356" t="s">
        <v>1449</v>
      </c>
      <c r="P625" s="370">
        <f>R60</f>
        <v>4830.3518400000003</v>
      </c>
      <c r="Q625" s="356" t="s">
        <v>108</v>
      </c>
      <c r="R625" s="370">
        <f t="shared" si="84"/>
        <v>3139.7286960000001</v>
      </c>
      <c r="W625" s="361"/>
      <c r="AG625" s="395" t="str">
        <f t="shared" si="83"/>
        <v>|</v>
      </c>
      <c r="AI625" s="356" t="s">
        <v>1256</v>
      </c>
    </row>
    <row r="626" spans="1:35" ht="15.75">
      <c r="A626" s="382">
        <f t="shared" si="80"/>
        <v>431</v>
      </c>
      <c r="B626" s="385" t="s">
        <v>1450</v>
      </c>
      <c r="C626" s="493">
        <v>45</v>
      </c>
      <c r="D626" s="494" t="s">
        <v>151</v>
      </c>
      <c r="E626" s="495"/>
      <c r="H626" s="356" t="s">
        <v>1387</v>
      </c>
      <c r="K626" s="363" t="s">
        <v>117</v>
      </c>
      <c r="M626" s="370">
        <v>1.1399999999999999</v>
      </c>
      <c r="N626" s="356" t="s">
        <v>108</v>
      </c>
      <c r="O626" s="356" t="s">
        <v>1451</v>
      </c>
      <c r="P626" s="370">
        <f>K323</f>
        <v>7412.4877800000004</v>
      </c>
      <c r="Q626" s="356" t="s">
        <v>108</v>
      </c>
      <c r="R626" s="370">
        <f t="shared" si="84"/>
        <v>8450.2360692000002</v>
      </c>
      <c r="W626" s="361"/>
      <c r="AG626" s="395" t="str">
        <f t="shared" si="83"/>
        <v>|</v>
      </c>
      <c r="AI626" s="356" t="s">
        <v>1256</v>
      </c>
    </row>
    <row r="627" spans="1:35" ht="15.75">
      <c r="A627" s="382">
        <f t="shared" si="80"/>
        <v>432</v>
      </c>
      <c r="B627" s="385" t="s">
        <v>1452</v>
      </c>
      <c r="C627" s="497">
        <v>34.299999999999997</v>
      </c>
      <c r="D627" s="385" t="s">
        <v>151</v>
      </c>
      <c r="H627" s="357" t="s">
        <v>1453</v>
      </c>
      <c r="K627" s="370">
        <f>SUM(K621:K625)</f>
        <v>6344.5648639999999</v>
      </c>
      <c r="M627" s="370">
        <v>0.85</v>
      </c>
      <c r="N627" s="356" t="s">
        <v>108</v>
      </c>
      <c r="O627" s="356" t="s">
        <v>1454</v>
      </c>
      <c r="P627" s="370">
        <f>K323-K314/10</f>
        <v>6474.1112000000003</v>
      </c>
      <c r="Q627" s="356" t="s">
        <v>108</v>
      </c>
      <c r="R627" s="370">
        <f t="shared" si="84"/>
        <v>5502.9945200000002</v>
      </c>
      <c r="W627" s="361"/>
      <c r="AG627" s="395">
        <f t="shared" si="83"/>
        <v>0</v>
      </c>
      <c r="AI627" s="356"/>
    </row>
    <row r="628" spans="1:35" ht="15.75">
      <c r="A628" s="382">
        <f t="shared" si="80"/>
        <v>433</v>
      </c>
      <c r="B628" s="356" t="s">
        <v>1455</v>
      </c>
      <c r="C628" s="394">
        <v>83.4</v>
      </c>
      <c r="D628" s="385" t="s">
        <v>151</v>
      </c>
      <c r="K628" s="363" t="s">
        <v>117</v>
      </c>
      <c r="M628" s="370">
        <v>0.98</v>
      </c>
      <c r="N628" s="356" t="s">
        <v>108</v>
      </c>
      <c r="O628" s="356" t="s">
        <v>1456</v>
      </c>
      <c r="P628" s="370">
        <f>(C73)</f>
        <v>1879.28</v>
      </c>
      <c r="Q628" s="356" t="s">
        <v>108</v>
      </c>
      <c r="R628" s="370">
        <f t="shared" si="84"/>
        <v>1841.6943999999999</v>
      </c>
      <c r="W628" s="361"/>
      <c r="AG628" s="395" t="str">
        <f t="shared" si="83"/>
        <v>|</v>
      </c>
      <c r="AI628" s="356" t="s">
        <v>1256</v>
      </c>
    </row>
    <row r="629" spans="1:35" ht="15.75">
      <c r="A629" s="382">
        <f t="shared" si="80"/>
        <v>434</v>
      </c>
      <c r="B629" s="385" t="s">
        <v>1457</v>
      </c>
      <c r="C629" s="402">
        <v>36.520000000000003</v>
      </c>
      <c r="D629" s="385" t="s">
        <v>151</v>
      </c>
      <c r="H629" s="357" t="s">
        <v>1458</v>
      </c>
      <c r="K629" s="370">
        <f>K627/10</f>
        <v>634.45648640000002</v>
      </c>
      <c r="M629" s="370">
        <v>2.68</v>
      </c>
      <c r="N629" s="356" t="s">
        <v>108</v>
      </c>
      <c r="O629" s="356" t="s">
        <v>879</v>
      </c>
      <c r="P629" s="370">
        <f>(C79)</f>
        <v>1779.13</v>
      </c>
      <c r="Q629" s="356" t="s">
        <v>108</v>
      </c>
      <c r="R629" s="370">
        <f t="shared" si="84"/>
        <v>4768.068400000001</v>
      </c>
      <c r="W629" s="361"/>
      <c r="AG629" s="395" t="str">
        <f t="shared" si="83"/>
        <v>|</v>
      </c>
      <c r="AI629" s="356" t="s">
        <v>1256</v>
      </c>
    </row>
    <row r="630" spans="1:35" ht="15.75">
      <c r="A630" s="382">
        <f t="shared" si="80"/>
        <v>435</v>
      </c>
      <c r="B630" s="385" t="s">
        <v>1459</v>
      </c>
      <c r="C630" s="396"/>
      <c r="D630" s="385" t="s">
        <v>151</v>
      </c>
      <c r="H630" s="356" t="s">
        <v>172</v>
      </c>
      <c r="I630" s="35">
        <f>K629</f>
        <v>634.45648640000002</v>
      </c>
      <c r="J630" s="360">
        <f>C22*0.02</f>
        <v>2.8763999999999998</v>
      </c>
      <c r="K630" s="369">
        <f>I630+J630</f>
        <v>637.33288640000001</v>
      </c>
      <c r="M630" s="370">
        <v>7.24</v>
      </c>
      <c r="N630" s="356" t="s">
        <v>107</v>
      </c>
      <c r="O630" s="356" t="s">
        <v>1460</v>
      </c>
      <c r="P630" s="370">
        <f>(K1402)</f>
        <v>294.46508848000002</v>
      </c>
      <c r="Q630" s="356" t="s">
        <v>107</v>
      </c>
      <c r="R630" s="370">
        <f t="shared" si="84"/>
        <v>2131.9272405952001</v>
      </c>
      <c r="W630" s="361"/>
      <c r="AG630" s="395" t="str">
        <f t="shared" si="83"/>
        <v>|</v>
      </c>
      <c r="AI630" s="356" t="s">
        <v>1256</v>
      </c>
    </row>
    <row r="631" spans="1:35" ht="15.75">
      <c r="A631" s="382">
        <f t="shared" si="80"/>
        <v>436</v>
      </c>
      <c r="B631" s="356" t="s">
        <v>1461</v>
      </c>
      <c r="C631" s="394">
        <v>104.1</v>
      </c>
      <c r="D631" s="384">
        <v>93.72</v>
      </c>
      <c r="H631" s="356" t="s">
        <v>873</v>
      </c>
      <c r="I631" s="35">
        <f>K630</f>
        <v>637.33288640000001</v>
      </c>
      <c r="J631" s="360">
        <f>C23*0.02</f>
        <v>5.6664000000000003</v>
      </c>
      <c r="K631" s="369">
        <f>I631+J631</f>
        <v>642.99928639999996</v>
      </c>
      <c r="M631" s="370">
        <v>1</v>
      </c>
      <c r="N631" s="356" t="s">
        <v>151</v>
      </c>
      <c r="O631" s="356" t="s">
        <v>1462</v>
      </c>
      <c r="P631" s="370">
        <f>(C205)</f>
        <v>128</v>
      </c>
      <c r="Q631" s="356" t="s">
        <v>151</v>
      </c>
      <c r="R631" s="370">
        <f t="shared" si="84"/>
        <v>128</v>
      </c>
      <c r="W631" s="361"/>
      <c r="AG631" s="395" t="str">
        <f t="shared" si="83"/>
        <v>|</v>
      </c>
      <c r="AI631" s="356" t="s">
        <v>1256</v>
      </c>
    </row>
    <row r="632" spans="1:35" ht="15.75">
      <c r="A632" s="382">
        <f t="shared" si="80"/>
        <v>437</v>
      </c>
      <c r="B632" s="356" t="s">
        <v>1463</v>
      </c>
      <c r="C632" s="394">
        <v>69.599999999999994</v>
      </c>
      <c r="D632" s="385" t="s">
        <v>151</v>
      </c>
      <c r="H632" s="356" t="s">
        <v>876</v>
      </c>
      <c r="I632" s="35">
        <f>K631</f>
        <v>642.99928639999996</v>
      </c>
      <c r="J632" s="360">
        <f>J631</f>
        <v>5.6664000000000003</v>
      </c>
      <c r="K632" s="369">
        <f>I632+J632</f>
        <v>648.66568639999991</v>
      </c>
      <c r="M632" s="407">
        <v>0.13600000000000001</v>
      </c>
      <c r="N632" s="356" t="s">
        <v>108</v>
      </c>
      <c r="O632" s="356" t="s">
        <v>1464</v>
      </c>
      <c r="P632" s="370">
        <f>(K645)</f>
        <v>8975</v>
      </c>
      <c r="Q632" s="356" t="s">
        <v>108</v>
      </c>
      <c r="R632" s="370">
        <f t="shared" si="84"/>
        <v>1220.6000000000001</v>
      </c>
      <c r="W632" s="361"/>
      <c r="AG632" s="395" t="str">
        <f t="shared" si="83"/>
        <v>|</v>
      </c>
      <c r="AI632" s="356" t="s">
        <v>1256</v>
      </c>
    </row>
    <row r="633" spans="1:35" ht="15.75">
      <c r="A633" s="382">
        <f t="shared" si="80"/>
        <v>438</v>
      </c>
      <c r="B633" s="385" t="s">
        <v>1465</v>
      </c>
      <c r="C633" s="497">
        <v>30.25</v>
      </c>
      <c r="D633" s="385" t="s">
        <v>151</v>
      </c>
      <c r="H633" s="356" t="s">
        <v>878</v>
      </c>
      <c r="I633" s="35">
        <f>K632</f>
        <v>648.66568639999991</v>
      </c>
      <c r="J633" s="360">
        <f>J632</f>
        <v>5.6664000000000003</v>
      </c>
      <c r="K633" s="369">
        <f>I633+J633</f>
        <v>654.33208639999987</v>
      </c>
      <c r="O633" s="356" t="s">
        <v>1466</v>
      </c>
      <c r="W633" s="361"/>
      <c r="AG633" s="395" t="str">
        <f t="shared" si="83"/>
        <v>|</v>
      </c>
      <c r="AI633" s="356" t="s">
        <v>1256</v>
      </c>
    </row>
    <row r="634" spans="1:35" ht="15.75">
      <c r="A634" s="382">
        <f t="shared" si="80"/>
        <v>439</v>
      </c>
      <c r="B634" s="356" t="s">
        <v>1467</v>
      </c>
      <c r="C634" s="394">
        <v>167.1</v>
      </c>
      <c r="D634" s="385" t="s">
        <v>151</v>
      </c>
      <c r="H634" s="356" t="s">
        <v>1287</v>
      </c>
      <c r="I634" s="35">
        <f>K633</f>
        <v>654.33208639999987</v>
      </c>
      <c r="J634" s="360">
        <f>J633</f>
        <v>5.6664000000000003</v>
      </c>
      <c r="K634" s="369">
        <f>I634+J634</f>
        <v>659.99848639999982</v>
      </c>
      <c r="N634" s="356" t="s">
        <v>128</v>
      </c>
      <c r="O634" s="356" t="s">
        <v>1414</v>
      </c>
      <c r="Q634" s="356" t="s">
        <v>128</v>
      </c>
      <c r="R634" s="370">
        <v>2.2400000000000002</v>
      </c>
      <c r="W634" s="361"/>
      <c r="AG634" s="395" t="str">
        <f t="shared" si="83"/>
        <v>|</v>
      </c>
      <c r="AI634" s="356" t="s">
        <v>1256</v>
      </c>
    </row>
    <row r="635" spans="1:35" ht="15.75">
      <c r="A635" s="382">
        <f t="shared" si="80"/>
        <v>440</v>
      </c>
      <c r="B635" s="356" t="s">
        <v>1468</v>
      </c>
      <c r="C635" s="394">
        <v>104.1</v>
      </c>
      <c r="D635" s="385" t="s">
        <v>151</v>
      </c>
      <c r="F635" s="357" t="s">
        <v>1246</v>
      </c>
      <c r="G635" s="368" t="s">
        <v>122</v>
      </c>
      <c r="H635" s="356" t="s">
        <v>1247</v>
      </c>
      <c r="R635" s="363" t="s">
        <v>117</v>
      </c>
      <c r="W635" s="361"/>
      <c r="AG635" s="395" t="str">
        <f t="shared" si="83"/>
        <v>|</v>
      </c>
      <c r="AI635" s="356" t="s">
        <v>1256</v>
      </c>
    </row>
    <row r="636" spans="1:35" ht="15.75">
      <c r="A636" s="382">
        <f t="shared" si="80"/>
        <v>441</v>
      </c>
      <c r="B636" s="385" t="s">
        <v>1469</v>
      </c>
      <c r="C636" s="396"/>
      <c r="D636" s="385" t="s">
        <v>151</v>
      </c>
      <c r="H636" s="356" t="s">
        <v>1249</v>
      </c>
      <c r="O636" s="356" t="s">
        <v>188</v>
      </c>
      <c r="R636" s="370">
        <f>SUM(R624:R634)</f>
        <v>29974.189725795201</v>
      </c>
      <c r="W636" s="361"/>
      <c r="AG636" s="395" t="str">
        <f t="shared" si="83"/>
        <v>|</v>
      </c>
      <c r="AI636" s="356" t="s">
        <v>1256</v>
      </c>
    </row>
    <row r="637" spans="1:35" ht="15.75">
      <c r="A637" s="382">
        <f t="shared" si="80"/>
        <v>442</v>
      </c>
      <c r="B637" s="356" t="s">
        <v>1470</v>
      </c>
      <c r="C637" s="394">
        <v>195.2</v>
      </c>
      <c r="D637" s="385" t="s">
        <v>151</v>
      </c>
      <c r="H637" s="356" t="s">
        <v>1471</v>
      </c>
      <c r="R637" s="363" t="s">
        <v>117</v>
      </c>
      <c r="W637" s="361"/>
      <c r="AG637" s="395" t="str">
        <f t="shared" si="83"/>
        <v>|</v>
      </c>
      <c r="AI637" s="356" t="s">
        <v>1256</v>
      </c>
    </row>
    <row r="638" spans="1:35" ht="15.75">
      <c r="A638" s="382">
        <f t="shared" si="80"/>
        <v>443</v>
      </c>
      <c r="B638" s="356" t="s">
        <v>1472</v>
      </c>
      <c r="C638" s="394">
        <v>125.2</v>
      </c>
      <c r="D638" s="385" t="s">
        <v>151</v>
      </c>
      <c r="H638" s="363" t="s">
        <v>117</v>
      </c>
      <c r="N638" s="356" t="s">
        <v>122</v>
      </c>
      <c r="O638" s="356" t="s">
        <v>1473</v>
      </c>
      <c r="W638" s="361"/>
      <c r="AG638" s="395" t="str">
        <f t="shared" si="83"/>
        <v>|</v>
      </c>
      <c r="AI638" s="356" t="s">
        <v>1256</v>
      </c>
    </row>
    <row r="639" spans="1:35" ht="15.75">
      <c r="A639" s="396"/>
      <c r="B639" s="396"/>
      <c r="C639" s="396"/>
      <c r="D639" s="396"/>
      <c r="F639" s="370">
        <v>0.01</v>
      </c>
      <c r="G639" s="368" t="s">
        <v>108</v>
      </c>
      <c r="H639" s="356" t="s">
        <v>1474</v>
      </c>
      <c r="I639" s="370">
        <f>(K282)</f>
        <v>8860.4069339999987</v>
      </c>
      <c r="J639" s="356" t="s">
        <v>108</v>
      </c>
      <c r="K639" s="370">
        <f>(F639*I639)</f>
        <v>88.604069339999995</v>
      </c>
      <c r="W639" s="361"/>
      <c r="AG639" s="395" t="str">
        <f t="shared" si="83"/>
        <v>|</v>
      </c>
      <c r="AI639" s="356" t="s">
        <v>1256</v>
      </c>
    </row>
    <row r="640" spans="1:35" ht="15.75">
      <c r="A640" s="382">
        <f>(A638+1)</f>
        <v>444</v>
      </c>
      <c r="B640" s="385" t="s">
        <v>1475</v>
      </c>
      <c r="C640" s="396"/>
      <c r="D640" s="385" t="s">
        <v>151</v>
      </c>
      <c r="F640" s="370">
        <v>0.01</v>
      </c>
      <c r="G640" s="368" t="s">
        <v>108</v>
      </c>
      <c r="H640" s="356" t="s">
        <v>1258</v>
      </c>
      <c r="J640" s="356" t="s">
        <v>128</v>
      </c>
      <c r="K640" s="370">
        <v>1.1499999999999999</v>
      </c>
      <c r="O640" s="356" t="s">
        <v>1476</v>
      </c>
      <c r="S640" s="357" t="s">
        <v>1477</v>
      </c>
      <c r="T640" s="368" t="s">
        <v>122</v>
      </c>
      <c r="U640" s="359" t="s">
        <v>1478</v>
      </c>
      <c r="W640" s="361"/>
      <c r="AC640" s="357" t="s">
        <v>1477</v>
      </c>
      <c r="AD640" s="368" t="s">
        <v>122</v>
      </c>
      <c r="AE640" s="359" t="s">
        <v>1336</v>
      </c>
      <c r="AG640" s="360"/>
    </row>
    <row r="641" spans="1:34" ht="15.75">
      <c r="A641" s="382">
        <f t="shared" ref="A641:A704" si="85">(A640+1)</f>
        <v>445</v>
      </c>
      <c r="B641" s="356" t="s">
        <v>1479</v>
      </c>
      <c r="C641" s="394">
        <v>298.60000000000002</v>
      </c>
      <c r="D641" s="385" t="s">
        <v>151</v>
      </c>
      <c r="H641" s="356" t="s">
        <v>1262</v>
      </c>
      <c r="O641" s="363" t="s">
        <v>117</v>
      </c>
      <c r="S641" s="35"/>
      <c r="T641" s="358"/>
      <c r="U641" s="356" t="s">
        <v>1480</v>
      </c>
      <c r="W641" s="361"/>
      <c r="AD641" s="358"/>
      <c r="AE641" s="356" t="s">
        <v>1480</v>
      </c>
      <c r="AG641" s="360"/>
    </row>
    <row r="642" spans="1:34" ht="15.75">
      <c r="A642" s="382">
        <f t="shared" si="85"/>
        <v>446</v>
      </c>
      <c r="B642" s="356" t="s">
        <v>1481</v>
      </c>
      <c r="C642" s="394">
        <v>208.1</v>
      </c>
      <c r="D642" s="385" t="s">
        <v>151</v>
      </c>
      <c r="K642" s="363" t="s">
        <v>117</v>
      </c>
      <c r="M642" s="370">
        <v>3</v>
      </c>
      <c r="N642" s="356" t="s">
        <v>108</v>
      </c>
      <c r="O642" s="356" t="s">
        <v>1482</v>
      </c>
      <c r="P642" s="370">
        <f>(C61*2)</f>
        <v>268.91999999999996</v>
      </c>
      <c r="Q642" s="356" t="s">
        <v>108</v>
      </c>
      <c r="R642" s="370">
        <f>(M642*P642)</f>
        <v>806.75999999999988</v>
      </c>
      <c r="S642" s="35"/>
      <c r="T642" s="358"/>
      <c r="U642" s="356" t="s">
        <v>1483</v>
      </c>
      <c r="W642" s="361"/>
      <c r="AD642" s="358"/>
      <c r="AE642" s="356" t="s">
        <v>1483</v>
      </c>
      <c r="AG642" s="360"/>
    </row>
    <row r="643" spans="1:34" ht="15.75">
      <c r="A643" s="382">
        <f t="shared" si="85"/>
        <v>447</v>
      </c>
      <c r="B643" s="385" t="s">
        <v>1484</v>
      </c>
      <c r="C643" s="396"/>
      <c r="D643" s="385" t="s">
        <v>151</v>
      </c>
      <c r="H643" s="356" t="s">
        <v>1263</v>
      </c>
      <c r="K643" s="370">
        <f>SUM(K639:K641)</f>
        <v>89.754069340000001</v>
      </c>
      <c r="M643" s="370">
        <v>2.4</v>
      </c>
      <c r="N643" s="356" t="s">
        <v>108</v>
      </c>
      <c r="O643" s="356" t="s">
        <v>1485</v>
      </c>
      <c r="P643" s="370">
        <f>(C81)</f>
        <v>1070.44</v>
      </c>
      <c r="Q643" s="356" t="s">
        <v>108</v>
      </c>
      <c r="R643" s="370">
        <f>(M643*P643)</f>
        <v>2569.056</v>
      </c>
      <c r="S643" s="35"/>
      <c r="T643" s="358"/>
      <c r="U643" s="363" t="s">
        <v>117</v>
      </c>
      <c r="W643" s="361"/>
      <c r="AD643" s="358"/>
      <c r="AE643" s="363" t="s">
        <v>117</v>
      </c>
      <c r="AG643" s="360"/>
    </row>
    <row r="644" spans="1:34" ht="15.75">
      <c r="A644" s="382">
        <f t="shared" si="85"/>
        <v>448</v>
      </c>
      <c r="B644" s="383" t="s">
        <v>1486</v>
      </c>
      <c r="C644" s="394">
        <v>159.9</v>
      </c>
      <c r="D644" s="385" t="s">
        <v>151</v>
      </c>
      <c r="K644" s="363" t="s">
        <v>117</v>
      </c>
      <c r="M644" s="370">
        <v>5</v>
      </c>
      <c r="N644" s="356" t="s">
        <v>151</v>
      </c>
      <c r="O644" s="356" t="s">
        <v>1487</v>
      </c>
      <c r="P644" s="370">
        <f>(C206)</f>
        <v>63.4</v>
      </c>
      <c r="Q644" s="356" t="s">
        <v>151</v>
      </c>
      <c r="R644" s="370">
        <f>(M644*P644)</f>
        <v>317</v>
      </c>
      <c r="S644" s="407">
        <v>8.3000000000000007</v>
      </c>
      <c r="T644" s="368" t="s">
        <v>108</v>
      </c>
      <c r="U644" s="356" t="s">
        <v>1488</v>
      </c>
      <c r="V644" s="370">
        <f>AE11</f>
        <v>1163.9499999999998</v>
      </c>
      <c r="W644" s="357" t="s">
        <v>108</v>
      </c>
      <c r="X644" s="370">
        <f t="shared" ref="X644:X650" si="86">S644*V644</f>
        <v>9660.7849999999999</v>
      </c>
      <c r="Y644" s="370"/>
      <c r="AC644" s="407">
        <v>8.3000000000000007</v>
      </c>
      <c r="AD644" s="368" t="s">
        <v>108</v>
      </c>
      <c r="AE644" s="356" t="s">
        <v>1488</v>
      </c>
      <c r="AF644" s="370">
        <f>V644</f>
        <v>1163.9499999999998</v>
      </c>
      <c r="AG644" s="356" t="s">
        <v>108</v>
      </c>
      <c r="AH644" s="370">
        <f t="shared" ref="AH644:AH650" si="87">AC644*AF644</f>
        <v>9660.7849999999999</v>
      </c>
    </row>
    <row r="645" spans="1:34" ht="15.75">
      <c r="A645" s="382">
        <f t="shared" si="85"/>
        <v>449</v>
      </c>
      <c r="B645" s="383" t="s">
        <v>1489</v>
      </c>
      <c r="C645" s="394">
        <v>97.3</v>
      </c>
      <c r="D645" s="385" t="s">
        <v>151</v>
      </c>
      <c r="H645" s="356" t="s">
        <v>155</v>
      </c>
      <c r="K645" s="370">
        <f>ROUND(K643*100,0)</f>
        <v>8975</v>
      </c>
      <c r="O645" s="356" t="s">
        <v>129</v>
      </c>
      <c r="Q645" s="356" t="s">
        <v>128</v>
      </c>
      <c r="R645" s="370">
        <v>0.08</v>
      </c>
      <c r="S645" s="407">
        <v>3.25</v>
      </c>
      <c r="T645" s="368" t="s">
        <v>124</v>
      </c>
      <c r="U645" s="356" t="s">
        <v>125</v>
      </c>
      <c r="V645" s="370">
        <f>I810</f>
        <v>6372.14</v>
      </c>
      <c r="W645" s="357" t="s">
        <v>124</v>
      </c>
      <c r="X645" s="370">
        <f t="shared" si="86"/>
        <v>20709.455000000002</v>
      </c>
      <c r="Y645" s="370"/>
      <c r="AC645" s="407">
        <v>4</v>
      </c>
      <c r="AD645" s="368" t="s">
        <v>124</v>
      </c>
      <c r="AE645" s="356" t="s">
        <v>125</v>
      </c>
      <c r="AF645" s="370">
        <f t="shared" ref="AF645:AF650" si="88">V645</f>
        <v>6372.14</v>
      </c>
      <c r="AG645" s="356" t="s">
        <v>124</v>
      </c>
      <c r="AH645" s="370">
        <f t="shared" si="87"/>
        <v>25488.560000000001</v>
      </c>
    </row>
    <row r="646" spans="1:34" ht="15.75">
      <c r="A646" s="382">
        <f t="shared" si="85"/>
        <v>450</v>
      </c>
      <c r="B646" s="385" t="s">
        <v>1490</v>
      </c>
      <c r="C646" s="396"/>
      <c r="D646" s="385" t="s">
        <v>151</v>
      </c>
      <c r="F646" s="356" t="s">
        <v>114</v>
      </c>
      <c r="R646" s="363" t="s">
        <v>117</v>
      </c>
      <c r="S646" s="407">
        <v>4.79</v>
      </c>
      <c r="T646" s="368" t="s">
        <v>108</v>
      </c>
      <c r="U646" s="356" t="s">
        <v>126</v>
      </c>
      <c r="V646" s="370">
        <f>I811</f>
        <v>1779.13</v>
      </c>
      <c r="W646" s="357" t="s">
        <v>108</v>
      </c>
      <c r="X646" s="370">
        <f t="shared" si="86"/>
        <v>8522.0326999999997</v>
      </c>
      <c r="Y646" s="370"/>
      <c r="AC646" s="407">
        <v>4.79</v>
      </c>
      <c r="AD646" s="368" t="s">
        <v>108</v>
      </c>
      <c r="AE646" s="356" t="s">
        <v>126</v>
      </c>
      <c r="AF646" s="370">
        <f t="shared" si="88"/>
        <v>1779.13</v>
      </c>
      <c r="AG646" s="356" t="s">
        <v>108</v>
      </c>
      <c r="AH646" s="370">
        <f t="shared" si="87"/>
        <v>8522.0326999999997</v>
      </c>
    </row>
    <row r="647" spans="1:34" ht="15.75">
      <c r="A647" s="382">
        <f t="shared" si="85"/>
        <v>451</v>
      </c>
      <c r="B647" s="356" t="s">
        <v>1491</v>
      </c>
      <c r="C647" s="394">
        <v>187.8</v>
      </c>
      <c r="D647" s="385" t="s">
        <v>151</v>
      </c>
      <c r="K647" s="363" t="s">
        <v>156</v>
      </c>
      <c r="O647" s="356" t="s">
        <v>188</v>
      </c>
      <c r="R647" s="370">
        <f>SUM(R642:R645)</f>
        <v>3692.8959999999997</v>
      </c>
      <c r="S647" s="407">
        <v>3.5</v>
      </c>
      <c r="T647" s="368" t="s">
        <v>151</v>
      </c>
      <c r="U647" s="356" t="s">
        <v>152</v>
      </c>
      <c r="V647" s="370">
        <f>C11</f>
        <v>1118.3999999999999</v>
      </c>
      <c r="W647" s="357" t="s">
        <v>151</v>
      </c>
      <c r="X647" s="370">
        <f t="shared" si="86"/>
        <v>3914.3999999999996</v>
      </c>
      <c r="Y647" s="370"/>
      <c r="AC647" s="407">
        <v>3.5</v>
      </c>
      <c r="AD647" s="368" t="s">
        <v>151</v>
      </c>
      <c r="AE647" s="356" t="s">
        <v>152</v>
      </c>
      <c r="AF647" s="370">
        <f t="shared" si="88"/>
        <v>1118.3999999999999</v>
      </c>
      <c r="AG647" s="356" t="s">
        <v>151</v>
      </c>
      <c r="AH647" s="370">
        <f t="shared" si="87"/>
        <v>3914.3999999999996</v>
      </c>
    </row>
    <row r="648" spans="1:34" ht="15.75">
      <c r="A648" s="382">
        <f t="shared" si="85"/>
        <v>452</v>
      </c>
      <c r="B648" s="356" t="s">
        <v>1492</v>
      </c>
      <c r="C648" s="394">
        <v>125.2</v>
      </c>
      <c r="D648" s="385" t="s">
        <v>151</v>
      </c>
      <c r="G648" s="368" t="s">
        <v>932</v>
      </c>
      <c r="H648" s="356" t="s">
        <v>1264</v>
      </c>
      <c r="R648" s="363" t="s">
        <v>117</v>
      </c>
      <c r="S648" s="407">
        <v>21.2</v>
      </c>
      <c r="T648" s="368" t="s">
        <v>151</v>
      </c>
      <c r="U648" s="356" t="s">
        <v>153</v>
      </c>
      <c r="V648" s="370">
        <f>C12</f>
        <v>781.19999999999993</v>
      </c>
      <c r="W648" s="357" t="s">
        <v>151</v>
      </c>
      <c r="X648" s="370">
        <f t="shared" si="86"/>
        <v>16561.439999999999</v>
      </c>
      <c r="Y648" s="370"/>
      <c r="AC648" s="407">
        <v>21.2</v>
      </c>
      <c r="AD648" s="368" t="s">
        <v>151</v>
      </c>
      <c r="AE648" s="356" t="s">
        <v>153</v>
      </c>
      <c r="AF648" s="370">
        <f t="shared" si="88"/>
        <v>781.19999999999993</v>
      </c>
      <c r="AG648" s="356" t="s">
        <v>151</v>
      </c>
      <c r="AH648" s="370">
        <f t="shared" si="87"/>
        <v>16561.439999999999</v>
      </c>
    </row>
    <row r="649" spans="1:34" ht="15.75">
      <c r="A649" s="382">
        <f t="shared" si="85"/>
        <v>453</v>
      </c>
      <c r="B649" s="385" t="s">
        <v>1493</v>
      </c>
      <c r="C649" s="396"/>
      <c r="D649" s="385" t="s">
        <v>151</v>
      </c>
      <c r="H649" s="356" t="s">
        <v>1265</v>
      </c>
      <c r="S649" s="407">
        <v>35.299999999999997</v>
      </c>
      <c r="T649" s="368" t="s">
        <v>151</v>
      </c>
      <c r="U649" s="356" t="s">
        <v>154</v>
      </c>
      <c r="V649" s="370">
        <f>C13</f>
        <v>640.79999999999995</v>
      </c>
      <c r="W649" s="357" t="s">
        <v>151</v>
      </c>
      <c r="X649" s="370">
        <f t="shared" si="86"/>
        <v>22620.239999999998</v>
      </c>
      <c r="Y649" s="370"/>
      <c r="AC649" s="407">
        <v>35.299999999999997</v>
      </c>
      <c r="AD649" s="368" t="s">
        <v>151</v>
      </c>
      <c r="AE649" s="356" t="s">
        <v>154</v>
      </c>
      <c r="AF649" s="370">
        <f t="shared" si="88"/>
        <v>640.79999999999995</v>
      </c>
      <c r="AG649" s="356" t="s">
        <v>151</v>
      </c>
      <c r="AH649" s="370">
        <f t="shared" si="87"/>
        <v>22620.239999999998</v>
      </c>
    </row>
    <row r="650" spans="1:34" ht="15.75">
      <c r="A650" s="382">
        <f t="shared" si="85"/>
        <v>454</v>
      </c>
      <c r="B650" s="356" t="s">
        <v>1494</v>
      </c>
      <c r="C650" s="394">
        <v>82.3</v>
      </c>
      <c r="D650" s="385" t="s">
        <v>151</v>
      </c>
      <c r="H650" s="363" t="s">
        <v>117</v>
      </c>
      <c r="N650" s="356" t="s">
        <v>122</v>
      </c>
      <c r="O650" s="356" t="s">
        <v>1495</v>
      </c>
      <c r="S650" s="498">
        <v>19.5</v>
      </c>
      <c r="T650" s="358"/>
      <c r="U650" s="356" t="s">
        <v>1496</v>
      </c>
      <c r="V650" s="448">
        <f>C151</f>
        <v>43.2</v>
      </c>
      <c r="W650" s="357" t="s">
        <v>128</v>
      </c>
      <c r="X650" s="370">
        <f t="shared" si="86"/>
        <v>842.40000000000009</v>
      </c>
      <c r="Y650" s="370"/>
      <c r="AC650" s="498">
        <v>40</v>
      </c>
      <c r="AD650" s="358"/>
      <c r="AE650" s="356" t="s">
        <v>1496</v>
      </c>
      <c r="AF650" s="370">
        <f t="shared" si="88"/>
        <v>43.2</v>
      </c>
      <c r="AG650" s="356" t="s">
        <v>128</v>
      </c>
      <c r="AH650" s="370">
        <f t="shared" si="87"/>
        <v>1728</v>
      </c>
    </row>
    <row r="651" spans="1:34" ht="15.75">
      <c r="A651" s="382">
        <f t="shared" si="85"/>
        <v>455</v>
      </c>
      <c r="B651" s="356" t="s">
        <v>1497</v>
      </c>
      <c r="C651" s="394">
        <v>55.5</v>
      </c>
      <c r="D651" s="385" t="s">
        <v>151</v>
      </c>
      <c r="F651" s="407">
        <v>1.4E-2</v>
      </c>
      <c r="G651" s="368" t="s">
        <v>108</v>
      </c>
      <c r="H651" s="356" t="s">
        <v>1266</v>
      </c>
      <c r="I651" s="370">
        <f>(K645)</f>
        <v>8975</v>
      </c>
      <c r="J651" s="356" t="s">
        <v>108</v>
      </c>
      <c r="K651" s="370">
        <f>(F651*I651)</f>
        <v>125.65</v>
      </c>
      <c r="O651" s="356" t="s">
        <v>1498</v>
      </c>
      <c r="S651" s="35"/>
      <c r="T651" s="358"/>
      <c r="W651" s="361"/>
      <c r="X651" s="363" t="s">
        <v>117</v>
      </c>
      <c r="Y651" s="363"/>
      <c r="AD651" s="358"/>
      <c r="AG651" s="360"/>
      <c r="AH651" s="363" t="s">
        <v>117</v>
      </c>
    </row>
    <row r="652" spans="1:34" ht="15.75">
      <c r="A652" s="382">
        <f t="shared" si="85"/>
        <v>456</v>
      </c>
      <c r="B652" s="356" t="s">
        <v>1499</v>
      </c>
      <c r="C652" s="448">
        <v>34.4</v>
      </c>
      <c r="D652" s="385" t="s">
        <v>151</v>
      </c>
      <c r="F652" s="407"/>
      <c r="H652" s="356" t="s">
        <v>1267</v>
      </c>
      <c r="K652" s="356" t="s">
        <v>114</v>
      </c>
      <c r="O652" s="356" t="s">
        <v>1500</v>
      </c>
      <c r="S652" s="35"/>
      <c r="T652" s="358"/>
      <c r="U652" s="357" t="s">
        <v>143</v>
      </c>
      <c r="W652" s="361"/>
      <c r="X652" s="370">
        <f>SUM(X644:X650)</f>
        <v>82830.752699999983</v>
      </c>
      <c r="Y652" s="370"/>
      <c r="AD652" s="358"/>
      <c r="AE652" s="357" t="s">
        <v>143</v>
      </c>
      <c r="AG652" s="360"/>
      <c r="AH652" s="370">
        <f>SUM(AH644:AH650)</f>
        <v>88495.457699999999</v>
      </c>
    </row>
    <row r="653" spans="1:34" ht="15.75">
      <c r="A653" s="382">
        <f t="shared" si="85"/>
        <v>457</v>
      </c>
      <c r="B653" s="385" t="s">
        <v>1501</v>
      </c>
      <c r="C653" s="402">
        <v>155.32</v>
      </c>
      <c r="D653" s="385" t="s">
        <v>151</v>
      </c>
      <c r="F653" s="370">
        <v>0.5</v>
      </c>
      <c r="G653" s="368" t="s">
        <v>223</v>
      </c>
      <c r="H653" s="356" t="s">
        <v>162</v>
      </c>
      <c r="I653" s="370">
        <f>(C10)</f>
        <v>1198.8</v>
      </c>
      <c r="J653" s="356" t="s">
        <v>223</v>
      </c>
      <c r="K653" s="370">
        <f>(F653*I653)</f>
        <v>599.4</v>
      </c>
      <c r="O653" s="363" t="s">
        <v>117</v>
      </c>
      <c r="S653" s="35"/>
      <c r="T653" s="358"/>
      <c r="W653" s="361"/>
      <c r="X653" s="363" t="s">
        <v>156</v>
      </c>
      <c r="Y653" s="363"/>
      <c r="AD653" s="358"/>
      <c r="AG653" s="360"/>
      <c r="AH653" s="363" t="s">
        <v>156</v>
      </c>
    </row>
    <row r="654" spans="1:34" ht="15.75">
      <c r="A654" s="382">
        <f t="shared" si="85"/>
        <v>458</v>
      </c>
      <c r="B654" s="385" t="s">
        <v>1502</v>
      </c>
      <c r="C654" s="402">
        <v>91.08</v>
      </c>
      <c r="D654" s="385" t="s">
        <v>151</v>
      </c>
      <c r="F654" s="370">
        <v>0.75</v>
      </c>
      <c r="G654" s="368" t="s">
        <v>223</v>
      </c>
      <c r="H654" s="356" t="s">
        <v>153</v>
      </c>
      <c r="I654" s="370">
        <f>(C12)</f>
        <v>781.19999999999993</v>
      </c>
      <c r="J654" s="356" t="s">
        <v>223</v>
      </c>
      <c r="K654" s="370">
        <f>(F654*I654)</f>
        <v>585.9</v>
      </c>
      <c r="M654" s="370">
        <v>9.5</v>
      </c>
      <c r="N654" s="356" t="s">
        <v>108</v>
      </c>
      <c r="O654" s="356" t="s">
        <v>1482</v>
      </c>
      <c r="P654" s="370">
        <f>(C61*2)</f>
        <v>268.91999999999996</v>
      </c>
      <c r="Q654" s="356" t="s">
        <v>108</v>
      </c>
      <c r="R654" s="370">
        <f t="shared" ref="R654:R662" si="89">(M654*P654)</f>
        <v>2554.7399999999998</v>
      </c>
      <c r="S654" s="35"/>
      <c r="T654" s="358"/>
      <c r="U654" s="356" t="s">
        <v>155</v>
      </c>
      <c r="W654" s="361"/>
      <c r="X654" s="370">
        <f>X652/10</f>
        <v>8283.0752699999975</v>
      </c>
      <c r="Y654" s="370"/>
      <c r="AD654" s="358"/>
      <c r="AE654" s="356" t="s">
        <v>155</v>
      </c>
      <c r="AG654" s="360"/>
      <c r="AH654" s="370">
        <f>AH652/10</f>
        <v>8849.5457700000006</v>
      </c>
    </row>
    <row r="655" spans="1:34" ht="15.75">
      <c r="A655" s="382">
        <f t="shared" si="85"/>
        <v>459</v>
      </c>
      <c r="B655" s="356" t="s">
        <v>1503</v>
      </c>
      <c r="C655" s="394">
        <v>42.7</v>
      </c>
      <c r="D655" s="385" t="s">
        <v>213</v>
      </c>
      <c r="G655" s="368" t="s">
        <v>128</v>
      </c>
      <c r="H655" s="356" t="s">
        <v>129</v>
      </c>
      <c r="J655" s="356" t="s">
        <v>128</v>
      </c>
      <c r="K655" s="370">
        <v>0</v>
      </c>
      <c r="M655" s="370">
        <v>0.47</v>
      </c>
      <c r="N655" s="356" t="s">
        <v>108</v>
      </c>
      <c r="O655" s="356" t="s">
        <v>1504</v>
      </c>
      <c r="P655" s="370">
        <f>(R74)</f>
        <v>7106.7378599999993</v>
      </c>
      <c r="Q655" s="356" t="s">
        <v>108</v>
      </c>
      <c r="R655" s="370">
        <f t="shared" si="89"/>
        <v>3340.1667941999995</v>
      </c>
      <c r="S655" s="370">
        <v>1</v>
      </c>
      <c r="T655" s="368" t="s">
        <v>108</v>
      </c>
      <c r="U655" s="356" t="s">
        <v>1052</v>
      </c>
      <c r="V655" s="370"/>
      <c r="W655" s="361"/>
      <c r="X655" s="370"/>
      <c r="Y655" s="370"/>
      <c r="AC655" s="370">
        <v>1</v>
      </c>
      <c r="AD655" s="368" t="s">
        <v>108</v>
      </c>
      <c r="AE655" s="356" t="s">
        <v>1052</v>
      </c>
      <c r="AF655" s="370"/>
      <c r="AG655" s="360"/>
      <c r="AH655" s="370"/>
    </row>
    <row r="656" spans="1:34" ht="15.75">
      <c r="A656" s="382">
        <f t="shared" si="85"/>
        <v>460</v>
      </c>
      <c r="B656" s="385" t="s">
        <v>1505</v>
      </c>
      <c r="C656" s="402">
        <v>0.3</v>
      </c>
      <c r="D656" s="385" t="s">
        <v>151</v>
      </c>
      <c r="K656" s="363" t="s">
        <v>117</v>
      </c>
      <c r="M656" s="370">
        <v>1.62</v>
      </c>
      <c r="N656" s="356" t="s">
        <v>108</v>
      </c>
      <c r="O656" s="356" t="s">
        <v>1405</v>
      </c>
      <c r="P656" s="370">
        <f>(R89)</f>
        <v>7834.1355799999992</v>
      </c>
      <c r="Q656" s="356" t="s">
        <v>108</v>
      </c>
      <c r="R656" s="370">
        <f t="shared" si="89"/>
        <v>12691.2996396</v>
      </c>
      <c r="W656" s="361"/>
      <c r="X656" s="404">
        <f>SUM(X654:X655)</f>
        <v>8283.0752699999975</v>
      </c>
      <c r="Y656" s="404"/>
      <c r="AC656" s="36"/>
      <c r="AH656" s="404">
        <f>SUM(AH654:AH655)</f>
        <v>8849.5457700000006</v>
      </c>
    </row>
    <row r="657" spans="1:34" ht="15.75">
      <c r="A657" s="382">
        <f t="shared" si="85"/>
        <v>461</v>
      </c>
      <c r="B657" s="356" t="s">
        <v>1506</v>
      </c>
      <c r="C657" s="394">
        <v>189.65</v>
      </c>
      <c r="D657" s="385" t="s">
        <v>107</v>
      </c>
      <c r="H657" s="356" t="s">
        <v>1275</v>
      </c>
      <c r="K657" s="370">
        <f>SUM(K651:K655)</f>
        <v>1310.9499999999998</v>
      </c>
      <c r="M657" s="370">
        <v>15.22</v>
      </c>
      <c r="N657" s="356" t="s">
        <v>107</v>
      </c>
      <c r="O657" s="356" t="s">
        <v>1507</v>
      </c>
      <c r="P657" s="370">
        <f>(R306)</f>
        <v>311.09340080000004</v>
      </c>
      <c r="Q657" s="356" t="s">
        <v>107</v>
      </c>
      <c r="R657" s="370">
        <f t="shared" si="89"/>
        <v>4734.8415601760007</v>
      </c>
      <c r="S657" s="35"/>
      <c r="T657" s="358"/>
      <c r="U657" s="35" t="s">
        <v>1508</v>
      </c>
      <c r="W657" s="361"/>
      <c r="X657" s="35">
        <f>X656*0.5%</f>
        <v>41.415376349999988</v>
      </c>
      <c r="AD657" s="358"/>
      <c r="AE657" s="35" t="s">
        <v>1508</v>
      </c>
      <c r="AH657" s="35">
        <f>AH656*0.5%</f>
        <v>44.247728850000001</v>
      </c>
    </row>
    <row r="658" spans="1:34" ht="15.75">
      <c r="A658" s="382">
        <f t="shared" si="85"/>
        <v>462</v>
      </c>
      <c r="B658" s="385" t="s">
        <v>1509</v>
      </c>
      <c r="C658" s="402">
        <v>97.31</v>
      </c>
      <c r="D658" s="385" t="s">
        <v>107</v>
      </c>
      <c r="K658" s="363" t="s">
        <v>117</v>
      </c>
      <c r="M658" s="370">
        <v>0.18</v>
      </c>
      <c r="N658" s="356" t="s">
        <v>108</v>
      </c>
      <c r="O658" s="356" t="s">
        <v>1510</v>
      </c>
      <c r="P658" s="370">
        <f>(K282)</f>
        <v>8860.4069339999987</v>
      </c>
      <c r="Q658" s="356" t="s">
        <v>108</v>
      </c>
      <c r="R658" s="370">
        <f t="shared" si="89"/>
        <v>1594.8732481199997</v>
      </c>
      <c r="S658" s="35"/>
      <c r="T658" s="358"/>
      <c r="W658" s="361"/>
      <c r="X658" s="363"/>
      <c r="Y658" s="363"/>
      <c r="AD658" s="358"/>
      <c r="AG658" s="360"/>
      <c r="AH658" s="363"/>
    </row>
    <row r="659" spans="1:34" ht="15.75">
      <c r="A659" s="382">
        <f t="shared" si="85"/>
        <v>463</v>
      </c>
      <c r="B659" s="356" t="s">
        <v>1511</v>
      </c>
      <c r="C659" s="394">
        <v>196.45</v>
      </c>
      <c r="D659" s="383" t="s">
        <v>1062</v>
      </c>
      <c r="H659" s="356" t="s">
        <v>177</v>
      </c>
      <c r="K659" s="370">
        <f>(K657/0.372)</f>
        <v>3524.0591397849457</v>
      </c>
      <c r="M659" s="370">
        <v>0.36</v>
      </c>
      <c r="N659" s="356" t="s">
        <v>107</v>
      </c>
      <c r="O659" s="356" t="s">
        <v>1512</v>
      </c>
      <c r="P659" s="370">
        <f>(K469)</f>
        <v>455.77993282000006</v>
      </c>
      <c r="Q659" s="356" t="s">
        <v>107</v>
      </c>
      <c r="R659" s="370">
        <f t="shared" si="89"/>
        <v>164.08077581520001</v>
      </c>
      <c r="S659" s="35"/>
      <c r="T659" s="358"/>
      <c r="U659" s="35" t="s">
        <v>1513</v>
      </c>
      <c r="W659" s="361"/>
      <c r="X659" s="369">
        <f>SUM(X656:X658)</f>
        <v>8324.4906463499974</v>
      </c>
      <c r="Y659" s="369"/>
      <c r="AD659" s="358"/>
      <c r="AE659" s="35" t="s">
        <v>1513</v>
      </c>
      <c r="AG659" s="360"/>
      <c r="AH659" s="369">
        <f>SUM(AH656:AH658)</f>
        <v>8893.7934988500001</v>
      </c>
    </row>
    <row r="660" spans="1:34" ht="15.75">
      <c r="A660" s="382">
        <f t="shared" si="85"/>
        <v>464</v>
      </c>
      <c r="B660" s="356" t="s">
        <v>1514</v>
      </c>
      <c r="C660" s="394">
        <f>C659</f>
        <v>196.45</v>
      </c>
      <c r="D660" s="383" t="s">
        <v>1062</v>
      </c>
      <c r="K660" s="363" t="s">
        <v>156</v>
      </c>
      <c r="M660" s="370">
        <v>1</v>
      </c>
      <c r="N660" s="356" t="s">
        <v>151</v>
      </c>
      <c r="O660" s="356" t="s">
        <v>1515</v>
      </c>
      <c r="P660" s="370">
        <f>(C205)</f>
        <v>128</v>
      </c>
      <c r="Q660" s="356" t="s">
        <v>151</v>
      </c>
      <c r="R660" s="370">
        <f t="shared" si="89"/>
        <v>128</v>
      </c>
      <c r="S660" s="35"/>
      <c r="T660" s="358"/>
      <c r="W660" s="361"/>
      <c r="X660" s="363" t="s">
        <v>117</v>
      </c>
      <c r="Y660" s="363"/>
      <c r="AD660" s="358"/>
      <c r="AG660" s="360"/>
      <c r="AH660" s="363" t="s">
        <v>117</v>
      </c>
    </row>
    <row r="661" spans="1:34" ht="15.75">
      <c r="A661" s="382">
        <f t="shared" si="85"/>
        <v>465</v>
      </c>
      <c r="B661" s="356" t="s">
        <v>1516</v>
      </c>
      <c r="C661" s="394">
        <v>3.91</v>
      </c>
      <c r="D661" s="383" t="s">
        <v>151</v>
      </c>
      <c r="E661" s="35" t="s">
        <v>1517</v>
      </c>
      <c r="H661" s="356" t="s">
        <v>172</v>
      </c>
      <c r="I661" s="35">
        <f>K659</f>
        <v>3524.0591397849457</v>
      </c>
      <c r="J661" s="360">
        <f>C22*0.014/0.372</f>
        <v>5.4125806451612899</v>
      </c>
      <c r="K661" s="369">
        <f>I661+J661</f>
        <v>3529.4717204301069</v>
      </c>
      <c r="M661" s="370">
        <v>1.8</v>
      </c>
      <c r="N661" s="356" t="s">
        <v>1518</v>
      </c>
      <c r="O661" s="356" t="s">
        <v>1519</v>
      </c>
      <c r="P661" s="370">
        <f>(C327)</f>
        <v>14.91</v>
      </c>
      <c r="Q661" s="356" t="s">
        <v>1518</v>
      </c>
      <c r="R661" s="370">
        <f t="shared" si="89"/>
        <v>26.838000000000001</v>
      </c>
      <c r="S661" s="35"/>
      <c r="T661" s="358"/>
      <c r="U661" s="356" t="s">
        <v>172</v>
      </c>
      <c r="W661" s="361"/>
      <c r="X661" s="369">
        <f>(X659+C23)</f>
        <v>8607.8106463499971</v>
      </c>
      <c r="Y661" s="369"/>
      <c r="AD661" s="358"/>
      <c r="AE661" s="356" t="s">
        <v>172</v>
      </c>
      <c r="AG661" s="360"/>
      <c r="AH661" s="369">
        <f>AH659+C23</f>
        <v>9177.1134988499998</v>
      </c>
    </row>
    <row r="662" spans="1:34" ht="15.75">
      <c r="A662" s="382">
        <f t="shared" si="85"/>
        <v>466</v>
      </c>
      <c r="B662" s="356" t="s">
        <v>1520</v>
      </c>
      <c r="C662" s="394">
        <v>70.150000000000006</v>
      </c>
      <c r="D662" s="490">
        <v>69.599999999999994</v>
      </c>
      <c r="E662" s="35" t="s">
        <v>1521</v>
      </c>
      <c r="H662" s="356" t="s">
        <v>873</v>
      </c>
      <c r="I662" s="35">
        <f>K661</f>
        <v>3529.4717204301069</v>
      </c>
      <c r="J662" s="360">
        <f>C23*0.014/0.372</f>
        <v>10.66258064516129</v>
      </c>
      <c r="K662" s="369">
        <f>I662+J662</f>
        <v>3540.134301075268</v>
      </c>
      <c r="M662" s="370">
        <v>1</v>
      </c>
      <c r="N662" s="356" t="s">
        <v>151</v>
      </c>
      <c r="O662" s="356" t="s">
        <v>1522</v>
      </c>
      <c r="P662" s="370">
        <f>(C373)</f>
        <v>13.29</v>
      </c>
      <c r="Q662" s="356" t="s">
        <v>151</v>
      </c>
      <c r="R662" s="370">
        <f t="shared" si="89"/>
        <v>13.29</v>
      </c>
      <c r="S662" s="35"/>
      <c r="T662" s="358"/>
      <c r="U662" s="356" t="s">
        <v>873</v>
      </c>
      <c r="W662" s="361"/>
      <c r="X662" s="369">
        <f>X661+C24</f>
        <v>8891.1306463499968</v>
      </c>
      <c r="Y662" s="369"/>
      <c r="AD662" s="358"/>
      <c r="AE662" s="356" t="s">
        <v>873</v>
      </c>
      <c r="AG662" s="360"/>
      <c r="AH662" s="369">
        <f>AH661+C24</f>
        <v>9460.4334988499995</v>
      </c>
    </row>
    <row r="663" spans="1:34" ht="31.5">
      <c r="A663" s="382">
        <f t="shared" si="85"/>
        <v>467</v>
      </c>
      <c r="B663" s="499" t="s">
        <v>1523</v>
      </c>
      <c r="C663" s="394">
        <f>AG68</f>
        <v>13.44</v>
      </c>
      <c r="D663" s="490" t="s">
        <v>110</v>
      </c>
      <c r="E663" s="448">
        <f>AG69</f>
        <v>20.76</v>
      </c>
      <c r="H663" s="356" t="s">
        <v>876</v>
      </c>
      <c r="I663" s="35">
        <f>K662</f>
        <v>3540.134301075268</v>
      </c>
      <c r="J663" s="360">
        <f>J662</f>
        <v>10.66258064516129</v>
      </c>
      <c r="K663" s="369">
        <f>I663+J663</f>
        <v>3550.7968817204292</v>
      </c>
      <c r="N663" s="356" t="s">
        <v>128</v>
      </c>
      <c r="O663" s="356" t="s">
        <v>1414</v>
      </c>
      <c r="Q663" s="356" t="s">
        <v>128</v>
      </c>
      <c r="R663" s="370">
        <v>1.72</v>
      </c>
      <c r="S663" s="35"/>
      <c r="T663" s="358"/>
      <c r="U663" s="356" t="s">
        <v>876</v>
      </c>
      <c r="W663" s="361"/>
      <c r="X663" s="369">
        <f>X662+C25</f>
        <v>9004.1706463499977</v>
      </c>
      <c r="Y663" s="369"/>
      <c r="AD663" s="358"/>
      <c r="AE663" s="356" t="s">
        <v>876</v>
      </c>
      <c r="AG663" s="360"/>
      <c r="AH663" s="369">
        <f>AH662+C25</f>
        <v>9573.4734988500004</v>
      </c>
    </row>
    <row r="664" spans="1:34" ht="15.75">
      <c r="A664" s="382">
        <f t="shared" si="85"/>
        <v>468</v>
      </c>
      <c r="B664" s="500" t="s">
        <v>854</v>
      </c>
      <c r="C664" s="394">
        <f>AG69</f>
        <v>20.76</v>
      </c>
      <c r="D664" s="490" t="s">
        <v>110</v>
      </c>
      <c r="E664" s="448"/>
      <c r="H664" s="356" t="s">
        <v>878</v>
      </c>
      <c r="I664" s="35">
        <f>K663</f>
        <v>3550.7968817204292</v>
      </c>
      <c r="J664" s="360">
        <f>J663</f>
        <v>10.66258064516129</v>
      </c>
      <c r="K664" s="369">
        <f>I664+J664</f>
        <v>3561.4594623655903</v>
      </c>
      <c r="R664" s="356" t="s">
        <v>114</v>
      </c>
      <c r="S664" s="35"/>
      <c r="T664" s="358"/>
      <c r="U664" s="356" t="s">
        <v>878</v>
      </c>
      <c r="W664" s="361"/>
      <c r="X664" s="369">
        <f>X663+C25</f>
        <v>9117.2106463499986</v>
      </c>
      <c r="Y664" s="369"/>
      <c r="AD664" s="358"/>
      <c r="AE664" s="356" t="s">
        <v>878</v>
      </c>
      <c r="AG664" s="360"/>
      <c r="AH664" s="369">
        <f>AH663+C25</f>
        <v>9686.5134988500013</v>
      </c>
    </row>
    <row r="665" spans="1:34" ht="15.75">
      <c r="A665" s="382">
        <f t="shared" si="85"/>
        <v>469</v>
      </c>
      <c r="B665" s="383" t="s">
        <v>857</v>
      </c>
      <c r="C665" s="428">
        <f>AG70</f>
        <v>10.68</v>
      </c>
      <c r="D665" s="431">
        <f>AG71</f>
        <v>12.78</v>
      </c>
      <c r="E665" s="35">
        <v>2</v>
      </c>
      <c r="H665" s="356" t="s">
        <v>1287</v>
      </c>
      <c r="I665" s="35">
        <f>K664</f>
        <v>3561.4594623655903</v>
      </c>
      <c r="J665" s="360">
        <f>J664</f>
        <v>10.66258064516129</v>
      </c>
      <c r="K665" s="369">
        <f>I665+J665</f>
        <v>3572.1220430107514</v>
      </c>
      <c r="R665" s="363" t="s">
        <v>117</v>
      </c>
      <c r="S665" s="35"/>
      <c r="T665" s="358"/>
      <c r="U665" s="356" t="s">
        <v>951</v>
      </c>
      <c r="W665" s="361"/>
      <c r="X665" s="369">
        <f>X664+C25</f>
        <v>9230.2506463499994</v>
      </c>
      <c r="Y665" s="369"/>
      <c r="AD665" s="358"/>
      <c r="AE665" s="356" t="s">
        <v>951</v>
      </c>
      <c r="AG665" s="360"/>
      <c r="AH665" s="369">
        <f>AH664+K25</f>
        <v>9686.5134988500013</v>
      </c>
    </row>
    <row r="666" spans="1:34" ht="15.75">
      <c r="A666" s="382"/>
      <c r="B666" s="385"/>
      <c r="C666" s="395"/>
      <c r="D666" s="406"/>
      <c r="H666" s="356">
        <v>5</v>
      </c>
      <c r="I666" s="35">
        <f t="shared" ref="I666:I672" si="90">K665</f>
        <v>3572.1220430107514</v>
      </c>
      <c r="J666" s="360">
        <f t="shared" ref="J666:J672" si="91">J665</f>
        <v>10.66258064516129</v>
      </c>
      <c r="K666" s="369">
        <f t="shared" ref="K666:K672" si="92">I666+J666</f>
        <v>3582.7846236559126</v>
      </c>
      <c r="R666" s="363"/>
      <c r="S666" s="35"/>
      <c r="T666" s="358"/>
      <c r="U666" s="356">
        <v>5</v>
      </c>
      <c r="W666" s="361"/>
      <c r="X666" s="369">
        <f>X665+C25</f>
        <v>9343.2906463500003</v>
      </c>
      <c r="Y666" s="369"/>
      <c r="AD666" s="358"/>
      <c r="AE666" s="356">
        <v>5</v>
      </c>
      <c r="AG666" s="360"/>
      <c r="AH666" s="369">
        <f>AH665+K25</f>
        <v>9686.5134988500013</v>
      </c>
    </row>
    <row r="667" spans="1:34" ht="15.75">
      <c r="A667" s="382"/>
      <c r="B667" s="385"/>
      <c r="C667" s="395"/>
      <c r="D667" s="406"/>
      <c r="H667" s="356">
        <v>6</v>
      </c>
      <c r="I667" s="35">
        <f t="shared" si="90"/>
        <v>3582.7846236559126</v>
      </c>
      <c r="J667" s="360">
        <f t="shared" si="91"/>
        <v>10.66258064516129</v>
      </c>
      <c r="K667" s="369">
        <f t="shared" si="92"/>
        <v>3593.4472043010737</v>
      </c>
      <c r="R667" s="363"/>
      <c r="W667" s="361"/>
      <c r="AC667" s="36"/>
    </row>
    <row r="668" spans="1:34" ht="15.75">
      <c r="A668" s="382"/>
      <c r="B668" s="385"/>
      <c r="C668" s="395"/>
      <c r="D668" s="406"/>
      <c r="H668" s="356">
        <v>7</v>
      </c>
      <c r="I668" s="35">
        <f t="shared" si="90"/>
        <v>3593.4472043010737</v>
      </c>
      <c r="J668" s="360">
        <f t="shared" si="91"/>
        <v>10.66258064516129</v>
      </c>
      <c r="K668" s="369">
        <f t="shared" si="92"/>
        <v>3604.1097849462349</v>
      </c>
      <c r="R668" s="363"/>
      <c r="W668" s="361"/>
      <c r="AC668" s="36"/>
    </row>
    <row r="669" spans="1:34" ht="15.75">
      <c r="A669" s="382"/>
      <c r="B669" s="385"/>
      <c r="C669" s="395"/>
      <c r="D669" s="406"/>
      <c r="H669" s="356">
        <v>8</v>
      </c>
      <c r="I669" s="35">
        <f t="shared" si="90"/>
        <v>3604.1097849462349</v>
      </c>
      <c r="J669" s="360">
        <f t="shared" si="91"/>
        <v>10.66258064516129</v>
      </c>
      <c r="K669" s="369">
        <f t="shared" si="92"/>
        <v>3614.772365591396</v>
      </c>
      <c r="R669" s="363"/>
      <c r="W669" s="361"/>
      <c r="AC669" s="36"/>
    </row>
    <row r="670" spans="1:34" ht="15.75">
      <c r="A670" s="382"/>
      <c r="B670" s="385"/>
      <c r="C670" s="395"/>
      <c r="D670" s="406"/>
      <c r="H670" s="356">
        <v>9</v>
      </c>
      <c r="I670" s="35">
        <f t="shared" si="90"/>
        <v>3614.772365591396</v>
      </c>
      <c r="J670" s="360">
        <f t="shared" si="91"/>
        <v>10.66258064516129</v>
      </c>
      <c r="K670" s="369">
        <f t="shared" si="92"/>
        <v>3625.4349462365572</v>
      </c>
      <c r="R670" s="363"/>
      <c r="W670" s="361"/>
      <c r="AC670" s="36"/>
    </row>
    <row r="671" spans="1:34" ht="15.75">
      <c r="A671" s="382"/>
      <c r="B671" s="385"/>
      <c r="C671" s="395"/>
      <c r="D671" s="406"/>
      <c r="H671" s="356">
        <v>10</v>
      </c>
      <c r="I671" s="35">
        <f t="shared" si="90"/>
        <v>3625.4349462365572</v>
      </c>
      <c r="J671" s="360">
        <f t="shared" si="91"/>
        <v>10.66258064516129</v>
      </c>
      <c r="K671" s="369">
        <f t="shared" si="92"/>
        <v>3636.0975268817183</v>
      </c>
      <c r="R671" s="363"/>
      <c r="W671" s="361"/>
      <c r="AC671" s="36"/>
    </row>
    <row r="672" spans="1:34" ht="15.75">
      <c r="A672" s="382"/>
      <c r="B672" s="385"/>
      <c r="C672" s="395"/>
      <c r="D672" s="406"/>
      <c r="H672" s="356">
        <v>11</v>
      </c>
      <c r="I672" s="35">
        <f t="shared" si="90"/>
        <v>3636.0975268817183</v>
      </c>
      <c r="J672" s="360">
        <f t="shared" si="91"/>
        <v>10.66258064516129</v>
      </c>
      <c r="K672" s="369">
        <f t="shared" si="92"/>
        <v>3646.7601075268794</v>
      </c>
      <c r="R672" s="363"/>
      <c r="W672" s="361"/>
      <c r="AC672" s="36"/>
    </row>
    <row r="673" spans="1:35" ht="15.75">
      <c r="A673" s="382"/>
      <c r="B673" s="385"/>
      <c r="C673" s="395"/>
      <c r="D673" s="406"/>
      <c r="H673" s="356"/>
      <c r="K673" s="369"/>
      <c r="R673" s="363"/>
      <c r="W673" s="361"/>
      <c r="AC673" s="36"/>
    </row>
    <row r="674" spans="1:35" ht="15.75">
      <c r="A674" s="382">
        <f>(A665+1)</f>
        <v>470</v>
      </c>
      <c r="B674" s="385" t="s">
        <v>868</v>
      </c>
      <c r="C674" s="428">
        <f>AG74</f>
        <v>15.18</v>
      </c>
      <c r="D674" s="431">
        <f>AG75</f>
        <v>15.419999999999998</v>
      </c>
      <c r="E674" s="35">
        <v>3.7</v>
      </c>
      <c r="F674" s="357" t="s">
        <v>1524</v>
      </c>
      <c r="H674" s="356" t="s">
        <v>1525</v>
      </c>
      <c r="O674" s="356" t="s">
        <v>188</v>
      </c>
      <c r="R674" s="370">
        <f>SUM(R654:R664)</f>
        <v>25249.850017911198</v>
      </c>
      <c r="W674" s="361"/>
      <c r="AC674" s="36"/>
    </row>
    <row r="675" spans="1:35" ht="15.75">
      <c r="A675" s="382">
        <f t="shared" si="85"/>
        <v>471</v>
      </c>
      <c r="B675" s="385" t="s">
        <v>1526</v>
      </c>
      <c r="C675" s="402">
        <v>4</v>
      </c>
      <c r="D675" s="385" t="s">
        <v>128</v>
      </c>
      <c r="H675" s="356" t="s">
        <v>1527</v>
      </c>
      <c r="R675" s="363" t="s">
        <v>117</v>
      </c>
      <c r="W675" s="361"/>
      <c r="AG675" s="395" t="str">
        <f t="shared" ref="AG675:AG682" si="93">AI675</f>
        <v>|</v>
      </c>
      <c r="AI675" s="356" t="s">
        <v>1256</v>
      </c>
    </row>
    <row r="676" spans="1:35" ht="15.75">
      <c r="A676" s="382">
        <f t="shared" si="85"/>
        <v>472</v>
      </c>
      <c r="B676" s="385" t="s">
        <v>1528</v>
      </c>
      <c r="C676" s="402">
        <v>5</v>
      </c>
      <c r="D676" s="385" t="s">
        <v>128</v>
      </c>
      <c r="H676" s="356" t="s">
        <v>1529</v>
      </c>
      <c r="O676" s="356" t="s">
        <v>1530</v>
      </c>
      <c r="T676" s="411">
        <v>4.2</v>
      </c>
      <c r="U676" s="411" t="s">
        <v>1531</v>
      </c>
      <c r="W676" s="361"/>
      <c r="AG676" s="395" t="str">
        <f t="shared" si="93"/>
        <v>|</v>
      </c>
      <c r="AI676" s="356" t="s">
        <v>1256</v>
      </c>
    </row>
    <row r="677" spans="1:35" ht="15.75">
      <c r="A677" s="382">
        <f t="shared" si="85"/>
        <v>473</v>
      </c>
      <c r="B677" s="385" t="s">
        <v>1532</v>
      </c>
      <c r="C677" s="402">
        <v>96</v>
      </c>
      <c r="D677" s="385" t="s">
        <v>151</v>
      </c>
      <c r="H677" s="356" t="s">
        <v>1533</v>
      </c>
      <c r="N677" s="356" t="s">
        <v>122</v>
      </c>
      <c r="O677" s="356" t="s">
        <v>1534</v>
      </c>
      <c r="S677" s="36">
        <v>5</v>
      </c>
      <c r="T677" s="35" t="s">
        <v>405</v>
      </c>
      <c r="U677" s="35" t="s">
        <v>1535</v>
      </c>
      <c r="V677" s="35">
        <f>V707</f>
        <v>1879.28</v>
      </c>
      <c r="W677" s="361"/>
      <c r="X677" s="35">
        <f>V677*S677</f>
        <v>9396.4</v>
      </c>
      <c r="AG677" s="395" t="str">
        <f t="shared" si="93"/>
        <v>|</v>
      </c>
      <c r="AI677" s="356" t="s">
        <v>1256</v>
      </c>
    </row>
    <row r="678" spans="1:35" ht="15.75">
      <c r="A678" s="382">
        <f t="shared" si="85"/>
        <v>474</v>
      </c>
      <c r="B678" s="385" t="s">
        <v>1536</v>
      </c>
      <c r="C678" s="402">
        <v>75</v>
      </c>
      <c r="D678" s="385" t="s">
        <v>151</v>
      </c>
      <c r="H678" s="356" t="s">
        <v>1537</v>
      </c>
      <c r="O678" s="356" t="s">
        <v>1538</v>
      </c>
      <c r="S678" s="36">
        <v>3.3</v>
      </c>
      <c r="T678" s="35" t="s">
        <v>405</v>
      </c>
      <c r="U678" s="35" t="s">
        <v>1539</v>
      </c>
      <c r="V678" s="35">
        <f t="shared" ref="V678:V687" si="94">V708</f>
        <v>1589.28</v>
      </c>
      <c r="W678" s="361"/>
      <c r="X678" s="35">
        <f t="shared" ref="X678:X684" si="95">V678*S678</f>
        <v>5244.6239999999998</v>
      </c>
      <c r="AG678" s="395" t="str">
        <f t="shared" si="93"/>
        <v>|</v>
      </c>
      <c r="AI678" s="356" t="s">
        <v>1256</v>
      </c>
    </row>
    <row r="679" spans="1:35" ht="15.75">
      <c r="A679" s="382">
        <f t="shared" si="85"/>
        <v>475</v>
      </c>
      <c r="B679" s="385" t="s">
        <v>863</v>
      </c>
      <c r="C679" s="429">
        <f>AG72</f>
        <v>31.92</v>
      </c>
      <c r="D679" s="429">
        <f>AG73</f>
        <v>53.988</v>
      </c>
      <c r="E679" s="35">
        <v>3</v>
      </c>
      <c r="H679" s="356" t="s">
        <v>1540</v>
      </c>
      <c r="O679" s="363" t="s">
        <v>117</v>
      </c>
      <c r="S679" s="36">
        <v>4.79</v>
      </c>
      <c r="T679" s="35" t="s">
        <v>405</v>
      </c>
      <c r="U679" s="35" t="s">
        <v>1541</v>
      </c>
      <c r="V679" s="35">
        <f t="shared" si="94"/>
        <v>1779.13</v>
      </c>
      <c r="W679" s="361"/>
      <c r="X679" s="35">
        <f t="shared" si="95"/>
        <v>8522.0326999999997</v>
      </c>
      <c r="AG679" s="395" t="str">
        <f t="shared" si="93"/>
        <v>|</v>
      </c>
      <c r="AI679" s="356" t="s">
        <v>1256</v>
      </c>
    </row>
    <row r="680" spans="1:35" ht="15.75">
      <c r="A680" s="382">
        <f t="shared" si="85"/>
        <v>476</v>
      </c>
      <c r="B680" s="385" t="s">
        <v>1542</v>
      </c>
      <c r="C680" s="402">
        <v>80</v>
      </c>
      <c r="D680" s="385" t="s">
        <v>151</v>
      </c>
      <c r="H680" s="356" t="s">
        <v>1543</v>
      </c>
      <c r="M680" s="370">
        <v>1</v>
      </c>
      <c r="N680" s="356" t="s">
        <v>151</v>
      </c>
      <c r="O680" s="356" t="s">
        <v>1544</v>
      </c>
      <c r="P680" s="370">
        <f>(C385)</f>
        <v>14.91</v>
      </c>
      <c r="Q680" s="356" t="s">
        <v>151</v>
      </c>
      <c r="R680" s="370">
        <f>(M680*P680)</f>
        <v>14.91</v>
      </c>
      <c r="S680" s="36">
        <v>4</v>
      </c>
      <c r="T680" s="35" t="s">
        <v>443</v>
      </c>
      <c r="U680" s="35" t="s">
        <v>306</v>
      </c>
      <c r="V680" s="35">
        <f t="shared" si="94"/>
        <v>6372.14</v>
      </c>
      <c r="W680" s="361"/>
      <c r="X680" s="35">
        <f t="shared" si="95"/>
        <v>25488.560000000001</v>
      </c>
      <c r="AG680" s="395" t="str">
        <f t="shared" si="93"/>
        <v>|</v>
      </c>
      <c r="AI680" s="356" t="s">
        <v>1256</v>
      </c>
    </row>
    <row r="681" spans="1:35" ht="15.75">
      <c r="A681" s="382">
        <f t="shared" si="85"/>
        <v>477</v>
      </c>
      <c r="B681" s="385" t="s">
        <v>1545</v>
      </c>
      <c r="C681" s="402">
        <v>64</v>
      </c>
      <c r="D681" s="385" t="s">
        <v>151</v>
      </c>
      <c r="H681" s="363" t="s">
        <v>117</v>
      </c>
      <c r="I681" s="363" t="s">
        <v>117</v>
      </c>
      <c r="N681" s="356" t="s">
        <v>128</v>
      </c>
      <c r="O681" s="356" t="s">
        <v>1546</v>
      </c>
      <c r="Q681" s="356" t="s">
        <v>128</v>
      </c>
      <c r="R681" s="370">
        <v>2.09</v>
      </c>
      <c r="S681" s="36">
        <v>40</v>
      </c>
      <c r="T681" s="35" t="s">
        <v>213</v>
      </c>
      <c r="U681" s="35" t="s">
        <v>1547</v>
      </c>
      <c r="V681" s="35">
        <f>V650</f>
        <v>43.2</v>
      </c>
      <c r="W681" s="361"/>
      <c r="X681" s="35">
        <f t="shared" si="95"/>
        <v>1728</v>
      </c>
      <c r="AG681" s="395" t="str">
        <f t="shared" si="93"/>
        <v>|</v>
      </c>
      <c r="AI681" s="356" t="s">
        <v>1256</v>
      </c>
    </row>
    <row r="682" spans="1:35" ht="15.75">
      <c r="A682" s="382">
        <f t="shared" si="85"/>
        <v>478</v>
      </c>
      <c r="B682" s="385" t="s">
        <v>1548</v>
      </c>
      <c r="C682" s="402">
        <v>40.5</v>
      </c>
      <c r="D682" s="385" t="s">
        <v>151</v>
      </c>
      <c r="F682" s="370">
        <v>1</v>
      </c>
      <c r="G682" s="368" t="s">
        <v>107</v>
      </c>
      <c r="H682" s="356" t="s">
        <v>1549</v>
      </c>
      <c r="I682" s="370">
        <f>D76</f>
        <v>290</v>
      </c>
      <c r="J682" s="356" t="s">
        <v>107</v>
      </c>
      <c r="K682" s="370">
        <f>(F682*I682)</f>
        <v>290</v>
      </c>
      <c r="O682" s="356" t="s">
        <v>1550</v>
      </c>
      <c r="R682" s="356" t="s">
        <v>114</v>
      </c>
      <c r="S682" s="36">
        <v>3.5</v>
      </c>
      <c r="T682" s="35" t="s">
        <v>192</v>
      </c>
      <c r="U682" s="35" t="s">
        <v>1551</v>
      </c>
      <c r="V682" s="35">
        <f t="shared" si="94"/>
        <v>1118.3999999999999</v>
      </c>
      <c r="W682" s="361"/>
      <c r="X682" s="35">
        <f>V682*S682</f>
        <v>3914.3999999999996</v>
      </c>
      <c r="AG682" s="395" t="str">
        <f t="shared" si="93"/>
        <v>|</v>
      </c>
      <c r="AI682" s="356" t="s">
        <v>1256</v>
      </c>
    </row>
    <row r="683" spans="1:35" ht="15.75">
      <c r="A683" s="382">
        <f t="shared" si="85"/>
        <v>479</v>
      </c>
      <c r="B683" s="385" t="s">
        <v>1552</v>
      </c>
      <c r="C683" s="402">
        <v>92</v>
      </c>
      <c r="D683" s="385" t="s">
        <v>151</v>
      </c>
      <c r="F683" s="370">
        <v>1</v>
      </c>
      <c r="G683" s="368" t="s">
        <v>107</v>
      </c>
      <c r="H683" s="356" t="s">
        <v>1553</v>
      </c>
      <c r="I683" s="370">
        <f>C75</f>
        <v>175</v>
      </c>
      <c r="J683" s="356" t="s">
        <v>107</v>
      </c>
      <c r="K683" s="370">
        <f>(F683*I683)</f>
        <v>175</v>
      </c>
      <c r="R683" s="363" t="s">
        <v>117</v>
      </c>
      <c r="S683" s="36">
        <v>21.2</v>
      </c>
      <c r="T683" s="35" t="s">
        <v>192</v>
      </c>
      <c r="U683" s="35" t="s">
        <v>1554</v>
      </c>
      <c r="V683" s="35">
        <f t="shared" si="94"/>
        <v>781.19999999999993</v>
      </c>
      <c r="W683" s="361"/>
      <c r="X683" s="35">
        <f t="shared" si="95"/>
        <v>16561.439999999999</v>
      </c>
      <c r="AG683" s="395">
        <f>32.32*100</f>
        <v>3232</v>
      </c>
      <c r="AI683" s="356" t="s">
        <v>1256</v>
      </c>
    </row>
    <row r="684" spans="1:35" ht="15.75">
      <c r="A684" s="382">
        <f t="shared" si="85"/>
        <v>480</v>
      </c>
      <c r="B684" s="385" t="s">
        <v>1555</v>
      </c>
      <c r="C684" s="402">
        <v>60</v>
      </c>
      <c r="D684" s="385" t="s">
        <v>151</v>
      </c>
      <c r="F684" s="370">
        <v>1</v>
      </c>
      <c r="G684" s="368" t="s">
        <v>128</v>
      </c>
      <c r="H684" s="356" t="s">
        <v>1556</v>
      </c>
      <c r="I684" s="459">
        <v>15</v>
      </c>
      <c r="J684" s="356" t="s">
        <v>128</v>
      </c>
      <c r="K684" s="370">
        <f>(F684*I684)</f>
        <v>15</v>
      </c>
      <c r="O684" s="356" t="s">
        <v>1557</v>
      </c>
      <c r="R684" s="370">
        <f>SUM(R680:R682)</f>
        <v>17</v>
      </c>
      <c r="S684" s="36">
        <v>35.299999999999997</v>
      </c>
      <c r="T684" s="35" t="s">
        <v>192</v>
      </c>
      <c r="U684" s="35" t="s">
        <v>1558</v>
      </c>
      <c r="V684" s="35">
        <f>V714</f>
        <v>640.79999999999995</v>
      </c>
      <c r="W684" s="361"/>
      <c r="X684" s="35">
        <f t="shared" si="95"/>
        <v>22620.239999999998</v>
      </c>
      <c r="AG684" s="395">
        <f>48.824*100</f>
        <v>4882.3999999999996</v>
      </c>
      <c r="AI684" s="356" t="s">
        <v>1256</v>
      </c>
    </row>
    <row r="685" spans="1:35" ht="15.75">
      <c r="A685" s="382">
        <f t="shared" si="85"/>
        <v>481</v>
      </c>
      <c r="B685" s="385" t="s">
        <v>1559</v>
      </c>
      <c r="C685" s="402">
        <v>49.87</v>
      </c>
      <c r="D685" s="385" t="s">
        <v>151</v>
      </c>
      <c r="K685" s="363" t="s">
        <v>117</v>
      </c>
      <c r="R685" s="363" t="s">
        <v>117</v>
      </c>
      <c r="U685" s="411" t="s">
        <v>1560</v>
      </c>
      <c r="W685" s="361"/>
      <c r="X685" s="411">
        <f>SUM(X677:X684)</f>
        <v>93475.6967</v>
      </c>
      <c r="Y685" s="411"/>
      <c r="AC685" s="36">
        <f>22.77+26.054</f>
        <v>48.823999999999998</v>
      </c>
      <c r="AG685" s="395">
        <f>0.52*100</f>
        <v>52</v>
      </c>
      <c r="AI685" s="356" t="s">
        <v>1256</v>
      </c>
    </row>
    <row r="686" spans="1:35" ht="15.75">
      <c r="A686" s="382">
        <f t="shared" si="85"/>
        <v>482</v>
      </c>
      <c r="B686" s="385" t="s">
        <v>1561</v>
      </c>
      <c r="C686" s="402">
        <v>80</v>
      </c>
      <c r="D686" s="385" t="s">
        <v>151</v>
      </c>
      <c r="H686" s="356" t="s">
        <v>177</v>
      </c>
      <c r="K686" s="370">
        <f>SUM(K680:K684)</f>
        <v>480</v>
      </c>
      <c r="U686" s="411" t="s">
        <v>1562</v>
      </c>
      <c r="W686" s="361"/>
      <c r="X686" s="411">
        <f>X685/10</f>
        <v>9347.5696700000008</v>
      </c>
      <c r="Y686" s="411"/>
      <c r="Z686" s="35">
        <f>X686</f>
        <v>9347.5696700000008</v>
      </c>
      <c r="AE686" s="35">
        <f>26.19*0.02</f>
        <v>0.52380000000000004</v>
      </c>
      <c r="AG686" s="395">
        <f>0.397*100</f>
        <v>39.700000000000003</v>
      </c>
      <c r="AH686" s="35">
        <f>AG683+AG684+AG685+AG686</f>
        <v>8206.1</v>
      </c>
      <c r="AI686" s="356" t="s">
        <v>1256</v>
      </c>
    </row>
    <row r="687" spans="1:35" ht="15.75">
      <c r="A687" s="382">
        <f t="shared" si="85"/>
        <v>483</v>
      </c>
      <c r="B687" s="385" t="s">
        <v>1563</v>
      </c>
      <c r="C687" s="402">
        <v>52</v>
      </c>
      <c r="D687" s="385" t="s">
        <v>151</v>
      </c>
      <c r="H687" s="356" t="s">
        <v>1564</v>
      </c>
      <c r="K687" s="363" t="s">
        <v>156</v>
      </c>
      <c r="N687" s="356" t="s">
        <v>122</v>
      </c>
      <c r="O687" s="356" t="s">
        <v>1565</v>
      </c>
      <c r="S687" s="36">
        <v>1</v>
      </c>
      <c r="T687" s="35" t="s">
        <v>405</v>
      </c>
      <c r="U687" s="35" t="s">
        <v>1566</v>
      </c>
      <c r="V687" s="35">
        <f t="shared" si="94"/>
        <v>113.04</v>
      </c>
      <c r="W687" s="361"/>
      <c r="X687" s="35">
        <f>V687</f>
        <v>113.04</v>
      </c>
      <c r="AE687" s="36">
        <f>9.92*0.04</f>
        <v>0.39679999999999999</v>
      </c>
      <c r="AG687" s="395" t="str">
        <f t="shared" ref="AG687:AG750" si="96">AI687</f>
        <v>|</v>
      </c>
      <c r="AI687" s="356" t="s">
        <v>1256</v>
      </c>
    </row>
    <row r="688" spans="1:35" ht="15.75">
      <c r="A688" s="382">
        <f t="shared" si="85"/>
        <v>484</v>
      </c>
      <c r="B688" s="385" t="s">
        <v>1567</v>
      </c>
      <c r="C688" s="402">
        <v>39</v>
      </c>
      <c r="D688" s="385" t="s">
        <v>151</v>
      </c>
      <c r="H688" s="356" t="s">
        <v>172</v>
      </c>
      <c r="I688" s="35">
        <f>K686</f>
        <v>480</v>
      </c>
      <c r="J688" s="360">
        <f>C19*0.05</f>
        <v>4.7340000000000009</v>
      </c>
      <c r="K688" s="369">
        <f>I688+J688</f>
        <v>484.73399999999998</v>
      </c>
      <c r="O688" s="356" t="s">
        <v>1538</v>
      </c>
      <c r="U688" s="35" t="s">
        <v>1568</v>
      </c>
      <c r="W688" s="361"/>
      <c r="X688" s="411">
        <f>SUM(X686:X687)</f>
        <v>9460.6096700000016</v>
      </c>
      <c r="Y688" s="411"/>
      <c r="Z688" s="35">
        <f>SUM(Z686:Z687)</f>
        <v>9347.5696700000008</v>
      </c>
      <c r="AG688" s="395" t="str">
        <f t="shared" si="96"/>
        <v>|</v>
      </c>
      <c r="AH688" s="35">
        <f>SUM(AH686:AH687)</f>
        <v>8206.1</v>
      </c>
      <c r="AI688" s="356" t="s">
        <v>1256</v>
      </c>
    </row>
    <row r="689" spans="1:35" ht="15.75">
      <c r="A689" s="382">
        <f t="shared" si="85"/>
        <v>485</v>
      </c>
      <c r="B689" s="385" t="s">
        <v>1569</v>
      </c>
      <c r="C689" s="402">
        <v>90</v>
      </c>
      <c r="D689" s="385" t="s">
        <v>151</v>
      </c>
      <c r="H689" s="356" t="s">
        <v>873</v>
      </c>
      <c r="I689" s="35">
        <f>K688</f>
        <v>484.73399999999998</v>
      </c>
      <c r="J689" s="360">
        <f>C20*0.05</f>
        <v>9.5519999999999996</v>
      </c>
      <c r="K689" s="369">
        <f>I689+J689</f>
        <v>494.286</v>
      </c>
      <c r="O689" s="363" t="s">
        <v>117</v>
      </c>
      <c r="S689" s="501" t="s">
        <v>265</v>
      </c>
      <c r="U689" s="35" t="s">
        <v>1570</v>
      </c>
      <c r="V689" s="501" t="s">
        <v>265</v>
      </c>
      <c r="W689" s="361"/>
      <c r="X689" s="35">
        <f>X688*0.5%</f>
        <v>47.303048350000012</v>
      </c>
      <c r="Z689" s="35">
        <f>Z688*0.5/100</f>
        <v>46.737848350000007</v>
      </c>
      <c r="AG689" s="395" t="str">
        <f t="shared" si="96"/>
        <v>|</v>
      </c>
      <c r="AH689" s="35">
        <f>AH688/185.82</f>
        <v>44.16155419222904</v>
      </c>
      <c r="AI689" s="356" t="s">
        <v>1256</v>
      </c>
    </row>
    <row r="690" spans="1:35" ht="31.5">
      <c r="A690" s="382">
        <f t="shared" si="85"/>
        <v>486</v>
      </c>
      <c r="B690" s="385" t="s">
        <v>1571</v>
      </c>
      <c r="C690" s="402">
        <v>60</v>
      </c>
      <c r="D690" s="385" t="s">
        <v>151</v>
      </c>
      <c r="H690" s="356" t="s">
        <v>876</v>
      </c>
      <c r="I690" s="35">
        <f>K689</f>
        <v>494.286</v>
      </c>
      <c r="J690" s="360">
        <f>J689</f>
        <v>9.5519999999999996</v>
      </c>
      <c r="K690" s="369">
        <f>I690+J690</f>
        <v>503.83800000000002</v>
      </c>
      <c r="M690" s="370">
        <v>1</v>
      </c>
      <c r="N690" s="356" t="s">
        <v>151</v>
      </c>
      <c r="O690" s="356" t="s">
        <v>1572</v>
      </c>
      <c r="P690" s="370">
        <f>(C386)</f>
        <v>17.579999999999998</v>
      </c>
      <c r="Q690" s="356" t="s">
        <v>151</v>
      </c>
      <c r="R690" s="370">
        <f>(M690*P690)</f>
        <v>17.579999999999998</v>
      </c>
      <c r="T690" s="358"/>
      <c r="U690" s="411" t="s">
        <v>1513</v>
      </c>
      <c r="W690" s="361"/>
      <c r="X690" s="369">
        <f>SUM(X688:X689)</f>
        <v>9507.9127183500023</v>
      </c>
      <c r="Y690" s="369"/>
      <c r="Z690" s="411">
        <f>SUM(Z688:Z689)</f>
        <v>9394.3075183500005</v>
      </c>
      <c r="AA690" s="502" t="s">
        <v>1573</v>
      </c>
      <c r="AB690" s="502"/>
      <c r="AG690" s="395" t="str">
        <f t="shared" si="96"/>
        <v>|</v>
      </c>
      <c r="AH690" s="35">
        <f>AH688/1000</f>
        <v>8.2061000000000011</v>
      </c>
      <c r="AI690" s="356" t="s">
        <v>1256</v>
      </c>
    </row>
    <row r="691" spans="1:35" ht="15.75">
      <c r="A691" s="382">
        <f t="shared" si="85"/>
        <v>487</v>
      </c>
      <c r="B691" s="385" t="s">
        <v>1574</v>
      </c>
      <c r="C691" s="402">
        <v>43.5</v>
      </c>
      <c r="D691" s="385" t="s">
        <v>151</v>
      </c>
      <c r="H691" s="356" t="s">
        <v>878</v>
      </c>
      <c r="I691" s="35">
        <f>K690</f>
        <v>503.83800000000002</v>
      </c>
      <c r="J691" s="360">
        <f>J690</f>
        <v>9.5519999999999996</v>
      </c>
      <c r="K691" s="369">
        <f>I691+J691</f>
        <v>513.39</v>
      </c>
      <c r="N691" s="356" t="s">
        <v>128</v>
      </c>
      <c r="O691" s="356" t="s">
        <v>1546</v>
      </c>
      <c r="Q691" s="356" t="s">
        <v>128</v>
      </c>
      <c r="R691" s="370">
        <v>2.09</v>
      </c>
      <c r="T691" s="358"/>
      <c r="W691" s="361"/>
      <c r="X691" s="363" t="s">
        <v>117</v>
      </c>
      <c r="Y691" s="363"/>
      <c r="AG691" s="395" t="str">
        <f t="shared" si="96"/>
        <v>|</v>
      </c>
      <c r="AH691" s="35">
        <f>185.82*10.764</f>
        <v>2000.1664799999999</v>
      </c>
      <c r="AI691" s="356" t="s">
        <v>1256</v>
      </c>
    </row>
    <row r="692" spans="1:35" ht="15.75">
      <c r="A692" s="382">
        <f t="shared" si="85"/>
        <v>488</v>
      </c>
      <c r="B692" s="385" t="s">
        <v>1575</v>
      </c>
      <c r="C692" s="402">
        <v>75</v>
      </c>
      <c r="D692" s="385" t="s">
        <v>151</v>
      </c>
      <c r="H692" s="356" t="s">
        <v>1287</v>
      </c>
      <c r="I692" s="35">
        <f>K691</f>
        <v>513.39</v>
      </c>
      <c r="J692" s="360">
        <f>J691</f>
        <v>9.5519999999999996</v>
      </c>
      <c r="K692" s="369">
        <f>I692+J692</f>
        <v>522.94200000000001</v>
      </c>
      <c r="O692" s="356" t="s">
        <v>1550</v>
      </c>
      <c r="R692" s="356" t="s">
        <v>114</v>
      </c>
      <c r="T692" s="358"/>
      <c r="U692" s="356" t="s">
        <v>172</v>
      </c>
      <c r="W692" s="361"/>
      <c r="X692" s="369">
        <f>(X690+C22)</f>
        <v>9651.732718350002</v>
      </c>
      <c r="Y692" s="369"/>
      <c r="AG692" s="395" t="str">
        <f t="shared" si="96"/>
        <v>|</v>
      </c>
      <c r="AH692" s="35">
        <f>AH688/AH691</f>
        <v>4.1027084905452478</v>
      </c>
      <c r="AI692" s="356" t="s">
        <v>1256</v>
      </c>
    </row>
    <row r="693" spans="1:35" ht="15.75">
      <c r="A693" s="382">
        <f t="shared" si="85"/>
        <v>489</v>
      </c>
      <c r="B693" s="385" t="s">
        <v>1576</v>
      </c>
      <c r="C693" s="402">
        <v>52</v>
      </c>
      <c r="D693" s="385" t="s">
        <v>151</v>
      </c>
      <c r="F693" s="357" t="s">
        <v>1577</v>
      </c>
      <c r="H693" s="356" t="s">
        <v>1525</v>
      </c>
      <c r="R693" s="363" t="s">
        <v>117</v>
      </c>
      <c r="T693" s="358"/>
      <c r="U693" s="356" t="s">
        <v>873</v>
      </c>
      <c r="W693" s="361"/>
      <c r="X693" s="369">
        <f>(X692+C24)</f>
        <v>9935.0527183500017</v>
      </c>
      <c r="Y693" s="369"/>
      <c r="AG693" s="395" t="str">
        <f t="shared" si="96"/>
        <v>|</v>
      </c>
      <c r="AH693" s="35">
        <f>924.2/8.21</f>
        <v>112.5700365408039</v>
      </c>
      <c r="AI693" s="356" t="s">
        <v>1256</v>
      </c>
    </row>
    <row r="694" spans="1:35" ht="15.75">
      <c r="A694" s="382">
        <f t="shared" si="85"/>
        <v>490</v>
      </c>
      <c r="B694" s="385" t="s">
        <v>1567</v>
      </c>
      <c r="C694" s="402">
        <v>35.25</v>
      </c>
      <c r="D694" s="385" t="s">
        <v>151</v>
      </c>
      <c r="H694" s="356" t="s">
        <v>1578</v>
      </c>
      <c r="O694" s="356" t="s">
        <v>1557</v>
      </c>
      <c r="R694" s="370">
        <f>SUM(R690:R692)</f>
        <v>19.669999999999998</v>
      </c>
      <c r="T694" s="358"/>
      <c r="U694" s="356" t="s">
        <v>876</v>
      </c>
      <c r="W694" s="361"/>
      <c r="X694" s="369">
        <f>(X693+C24)</f>
        <v>10218.372718350001</v>
      </c>
      <c r="Y694" s="369"/>
      <c r="AG694" s="395" t="str">
        <f t="shared" si="96"/>
        <v>|</v>
      </c>
      <c r="AI694" s="356" t="s">
        <v>1256</v>
      </c>
    </row>
    <row r="695" spans="1:35" ht="15.75">
      <c r="A695" s="382">
        <f t="shared" si="85"/>
        <v>491</v>
      </c>
      <c r="B695" s="385" t="s">
        <v>1579</v>
      </c>
      <c r="C695" s="402">
        <v>37.5</v>
      </c>
      <c r="D695" s="385" t="s">
        <v>151</v>
      </c>
      <c r="H695" s="356" t="s">
        <v>1529</v>
      </c>
      <c r="R695" s="363" t="s">
        <v>117</v>
      </c>
      <c r="T695" s="358"/>
      <c r="U695" s="356" t="s">
        <v>878</v>
      </c>
      <c r="W695" s="361"/>
      <c r="X695" s="369">
        <f>(X694+C24)</f>
        <v>10501.692718350001</v>
      </c>
      <c r="Y695" s="369"/>
      <c r="AG695" s="395" t="str">
        <f t="shared" si="96"/>
        <v>|</v>
      </c>
      <c r="AI695" s="356" t="s">
        <v>1256</v>
      </c>
    </row>
    <row r="696" spans="1:35" ht="15.75">
      <c r="A696" s="382">
        <f t="shared" si="85"/>
        <v>492</v>
      </c>
      <c r="B696" s="385" t="s">
        <v>1580</v>
      </c>
      <c r="C696" s="402">
        <v>24</v>
      </c>
      <c r="D696" s="385" t="s">
        <v>151</v>
      </c>
      <c r="H696" s="356" t="s">
        <v>1533</v>
      </c>
      <c r="O696" s="35" t="s">
        <v>620</v>
      </c>
      <c r="T696" s="358"/>
      <c r="U696" s="356" t="s">
        <v>951</v>
      </c>
      <c r="W696" s="361"/>
      <c r="X696" s="369">
        <f>(X695+C24)</f>
        <v>10785.012718350001</v>
      </c>
      <c r="Y696" s="369"/>
      <c r="AG696" s="395" t="str">
        <f t="shared" si="96"/>
        <v>|</v>
      </c>
      <c r="AI696" s="356" t="s">
        <v>1256</v>
      </c>
    </row>
    <row r="697" spans="1:35" ht="15.75">
      <c r="A697" s="382">
        <f t="shared" si="85"/>
        <v>493</v>
      </c>
      <c r="B697" s="385" t="s">
        <v>1581</v>
      </c>
      <c r="C697" s="402">
        <v>16</v>
      </c>
      <c r="D697" s="385" t="s">
        <v>151</v>
      </c>
      <c r="H697" s="356" t="s">
        <v>1537</v>
      </c>
      <c r="N697" s="356" t="s">
        <v>122</v>
      </c>
      <c r="O697" s="356" t="s">
        <v>1582</v>
      </c>
      <c r="W697" s="361"/>
      <c r="X697" s="35">
        <f>X696+C24</f>
        <v>11068.332718350001</v>
      </c>
      <c r="AG697" s="395" t="str">
        <f t="shared" si="96"/>
        <v>|</v>
      </c>
      <c r="AI697" s="356" t="s">
        <v>1256</v>
      </c>
    </row>
    <row r="698" spans="1:35" ht="15.75">
      <c r="A698" s="382">
        <f t="shared" si="85"/>
        <v>494</v>
      </c>
      <c r="B698" s="356" t="s">
        <v>1583</v>
      </c>
      <c r="C698" s="395">
        <v>32.1</v>
      </c>
      <c r="D698" s="385" t="s">
        <v>151</v>
      </c>
      <c r="H698" s="356" t="s">
        <v>1540</v>
      </c>
      <c r="O698" s="356" t="s">
        <v>1538</v>
      </c>
      <c r="W698" s="361"/>
      <c r="X698" s="35">
        <f>X697+C24</f>
        <v>11351.65271835</v>
      </c>
      <c r="AG698" s="395" t="str">
        <f t="shared" si="96"/>
        <v>|</v>
      </c>
      <c r="AI698" s="356" t="s">
        <v>1256</v>
      </c>
    </row>
    <row r="699" spans="1:35" ht="15.75">
      <c r="A699" s="382">
        <f t="shared" si="85"/>
        <v>495</v>
      </c>
      <c r="B699" s="385" t="s">
        <v>1584</v>
      </c>
      <c r="C699" s="402">
        <v>6</v>
      </c>
      <c r="D699" s="385" t="s">
        <v>151</v>
      </c>
      <c r="H699" s="356" t="s">
        <v>1585</v>
      </c>
      <c r="O699" s="363" t="s">
        <v>117</v>
      </c>
      <c r="W699" s="361"/>
      <c r="X699" s="35">
        <f>X698+C24</f>
        <v>11634.97271835</v>
      </c>
      <c r="AG699" s="395" t="str">
        <f t="shared" si="96"/>
        <v>|</v>
      </c>
      <c r="AI699" s="356" t="s">
        <v>1256</v>
      </c>
    </row>
    <row r="700" spans="1:35" ht="15.75">
      <c r="A700" s="382">
        <f t="shared" si="85"/>
        <v>496</v>
      </c>
      <c r="B700" s="385" t="s">
        <v>1586</v>
      </c>
      <c r="C700" s="384">
        <v>152.5</v>
      </c>
      <c r="D700" s="385" t="s">
        <v>110</v>
      </c>
      <c r="E700" s="448">
        <v>98.6</v>
      </c>
      <c r="F700" s="35" t="s">
        <v>1587</v>
      </c>
      <c r="H700" s="363" t="s">
        <v>117</v>
      </c>
      <c r="I700" s="363" t="s">
        <v>117</v>
      </c>
      <c r="M700" s="370">
        <v>1</v>
      </c>
      <c r="N700" s="356" t="s">
        <v>151</v>
      </c>
      <c r="O700" s="356" t="s">
        <v>1588</v>
      </c>
      <c r="P700" s="370">
        <f>(C387)</f>
        <v>19.3</v>
      </c>
      <c r="Q700" s="356" t="s">
        <v>151</v>
      </c>
      <c r="R700" s="370">
        <f>(M700*P700)</f>
        <v>19.3</v>
      </c>
      <c r="W700" s="361"/>
      <c r="X700" s="35">
        <f>X699+C24</f>
        <v>11918.29271835</v>
      </c>
      <c r="AG700" s="395" t="str">
        <f t="shared" si="96"/>
        <v>|</v>
      </c>
      <c r="AI700" s="356" t="s">
        <v>1256</v>
      </c>
    </row>
    <row r="701" spans="1:35" ht="15.75">
      <c r="A701" s="382">
        <f t="shared" si="85"/>
        <v>497</v>
      </c>
      <c r="B701" s="356" t="s">
        <v>1589</v>
      </c>
      <c r="C701" s="429">
        <v>366</v>
      </c>
      <c r="D701" s="385" t="s">
        <v>151</v>
      </c>
      <c r="F701" s="370">
        <v>1</v>
      </c>
      <c r="G701" s="368" t="s">
        <v>107</v>
      </c>
      <c r="H701" s="356" t="s">
        <v>1590</v>
      </c>
      <c r="I701" s="370">
        <f>C76</f>
        <v>460</v>
      </c>
      <c r="J701" s="356" t="s">
        <v>107</v>
      </c>
      <c r="K701" s="370">
        <f>(F701*I701)</f>
        <v>460</v>
      </c>
      <c r="N701" s="356" t="s">
        <v>128</v>
      </c>
      <c r="O701" s="356" t="s">
        <v>1546</v>
      </c>
      <c r="Q701" s="356" t="s">
        <v>128</v>
      </c>
      <c r="R701" s="370">
        <v>2.09</v>
      </c>
      <c r="W701" s="361"/>
      <c r="X701" s="35">
        <f>X700+C24</f>
        <v>12201.612718349999</v>
      </c>
      <c r="AG701" s="395" t="str">
        <f t="shared" si="96"/>
        <v>|</v>
      </c>
      <c r="AI701" s="356" t="s">
        <v>1256</v>
      </c>
    </row>
    <row r="702" spans="1:35" ht="15.75">
      <c r="A702" s="382">
        <f t="shared" si="85"/>
        <v>498</v>
      </c>
      <c r="B702" s="383" t="s">
        <v>1591</v>
      </c>
      <c r="C702" s="429">
        <v>256</v>
      </c>
      <c r="D702" s="385" t="s">
        <v>151</v>
      </c>
      <c r="F702" s="370">
        <v>1</v>
      </c>
      <c r="G702" s="368" t="s">
        <v>107</v>
      </c>
      <c r="H702" s="356" t="s">
        <v>1553</v>
      </c>
      <c r="I702" s="370">
        <f>C75</f>
        <v>175</v>
      </c>
      <c r="J702" s="356" t="s">
        <v>107</v>
      </c>
      <c r="K702" s="370">
        <f>(F702*I702)</f>
        <v>175</v>
      </c>
      <c r="O702" s="356" t="s">
        <v>1550</v>
      </c>
      <c r="R702" s="356" t="s">
        <v>114</v>
      </c>
      <c r="W702" s="361"/>
      <c r="X702" s="35">
        <f>X701+C24</f>
        <v>12484.932718349999</v>
      </c>
      <c r="AG702" s="395" t="str">
        <f t="shared" si="96"/>
        <v>|</v>
      </c>
      <c r="AI702" s="356" t="s">
        <v>1256</v>
      </c>
    </row>
    <row r="703" spans="1:35" ht="15.75">
      <c r="A703" s="382">
        <f t="shared" si="85"/>
        <v>499</v>
      </c>
      <c r="B703" s="383" t="s">
        <v>1592</v>
      </c>
      <c r="C703" s="429">
        <v>768.6</v>
      </c>
      <c r="D703" s="385" t="s">
        <v>151</v>
      </c>
      <c r="F703" s="370">
        <v>1</v>
      </c>
      <c r="G703" s="368" t="s">
        <v>128</v>
      </c>
      <c r="H703" s="356" t="s">
        <v>1556</v>
      </c>
      <c r="I703" s="459">
        <v>15</v>
      </c>
      <c r="J703" s="356" t="s">
        <v>128</v>
      </c>
      <c r="K703" s="370">
        <f>(F703*I703)</f>
        <v>15</v>
      </c>
      <c r="R703" s="363" t="s">
        <v>117</v>
      </c>
      <c r="W703" s="361"/>
      <c r="X703" s="35">
        <f>X702+C24</f>
        <v>12768.252718349999</v>
      </c>
      <c r="AG703" s="395" t="str">
        <f t="shared" si="96"/>
        <v>|</v>
      </c>
      <c r="AI703" s="356" t="s">
        <v>1256</v>
      </c>
    </row>
    <row r="704" spans="1:35" ht="15.75">
      <c r="A704" s="382">
        <f t="shared" si="85"/>
        <v>500</v>
      </c>
      <c r="B704" s="383" t="s">
        <v>1593</v>
      </c>
      <c r="C704" s="429">
        <v>129</v>
      </c>
      <c r="D704" s="385" t="s">
        <v>151</v>
      </c>
      <c r="H704" s="356" t="s">
        <v>129</v>
      </c>
      <c r="J704" s="356" t="s">
        <v>128</v>
      </c>
      <c r="K704" s="370">
        <v>0</v>
      </c>
      <c r="O704" s="356" t="s">
        <v>1557</v>
      </c>
      <c r="R704" s="370">
        <f>SUM(R700:R702)</f>
        <v>21.39</v>
      </c>
      <c r="W704" s="361"/>
      <c r="X704" s="35">
        <f>X703+C24</f>
        <v>13051.572718349998</v>
      </c>
      <c r="AG704" s="395" t="str">
        <f t="shared" si="96"/>
        <v>|</v>
      </c>
      <c r="AI704" s="356" t="s">
        <v>1256</v>
      </c>
    </row>
    <row r="705" spans="1:35" ht="15.75">
      <c r="A705" s="382">
        <f>(A704+1)</f>
        <v>501</v>
      </c>
      <c r="B705" s="383" t="s">
        <v>1594</v>
      </c>
      <c r="C705" s="429">
        <v>515.54999999999995</v>
      </c>
      <c r="D705" s="385" t="s">
        <v>151</v>
      </c>
      <c r="K705" s="363" t="s">
        <v>117</v>
      </c>
      <c r="R705" s="363" t="s">
        <v>117</v>
      </c>
      <c r="W705" s="361"/>
      <c r="AG705" s="395" t="str">
        <f t="shared" si="96"/>
        <v>|</v>
      </c>
      <c r="AI705" s="356" t="s">
        <v>1256</v>
      </c>
    </row>
    <row r="706" spans="1:35" ht="15.75">
      <c r="A706" s="396"/>
      <c r="B706" s="35" t="s">
        <v>1595</v>
      </c>
      <c r="C706" s="448">
        <v>3325</v>
      </c>
      <c r="D706" s="396" t="s">
        <v>107</v>
      </c>
      <c r="H706" s="356" t="s">
        <v>177</v>
      </c>
      <c r="K706" s="370">
        <f>SUM(K701:K704)</f>
        <v>650</v>
      </c>
      <c r="U706" s="411" t="s">
        <v>1596</v>
      </c>
      <c r="W706" s="361"/>
      <c r="AG706" s="395" t="str">
        <f t="shared" si="96"/>
        <v>|</v>
      </c>
      <c r="AI706" s="356" t="s">
        <v>1256</v>
      </c>
    </row>
    <row r="707" spans="1:35" ht="15.75">
      <c r="A707" s="382">
        <f>(A705+1)</f>
        <v>502</v>
      </c>
      <c r="B707" s="383" t="s">
        <v>1597</v>
      </c>
      <c r="C707" s="429">
        <v>254</v>
      </c>
      <c r="D707" s="385" t="s">
        <v>151</v>
      </c>
      <c r="H707" s="356" t="s">
        <v>1564</v>
      </c>
      <c r="K707" s="363" t="s">
        <v>156</v>
      </c>
      <c r="S707" s="36">
        <v>5</v>
      </c>
      <c r="T707" s="35" t="s">
        <v>405</v>
      </c>
      <c r="U707" s="35" t="s">
        <v>1535</v>
      </c>
      <c r="V707" s="35">
        <f>AE14</f>
        <v>1879.28</v>
      </c>
      <c r="W707" s="361"/>
      <c r="X707" s="35">
        <f>V707*S707</f>
        <v>9396.4</v>
      </c>
      <c r="AA707" s="35">
        <f>X707</f>
        <v>9396.4</v>
      </c>
      <c r="AG707" s="395" t="str">
        <f t="shared" si="96"/>
        <v>|</v>
      </c>
      <c r="AI707" s="356" t="s">
        <v>1256</v>
      </c>
    </row>
    <row r="708" spans="1:35" ht="15.75">
      <c r="A708" s="382">
        <f t="shared" ref="A708:A765" si="97">(A707+1)</f>
        <v>503</v>
      </c>
      <c r="B708" s="383" t="s">
        <v>1598</v>
      </c>
      <c r="C708" s="429">
        <v>315</v>
      </c>
      <c r="D708" s="385" t="s">
        <v>151</v>
      </c>
      <c r="H708" s="356" t="s">
        <v>172</v>
      </c>
      <c r="I708" s="35">
        <f>K706</f>
        <v>650</v>
      </c>
      <c r="J708" s="356">
        <f>C19*0.11</f>
        <v>10.414800000000001</v>
      </c>
      <c r="K708" s="369">
        <f>I708+J708</f>
        <v>660.41480000000001</v>
      </c>
      <c r="N708" s="356" t="s">
        <v>122</v>
      </c>
      <c r="O708" s="356" t="s">
        <v>1599</v>
      </c>
      <c r="S708" s="36">
        <v>3.3</v>
      </c>
      <c r="T708" s="35" t="s">
        <v>405</v>
      </c>
      <c r="U708" s="35" t="s">
        <v>1539</v>
      </c>
      <c r="V708" s="35">
        <f>(AE12+AE13)/2</f>
        <v>1589.28</v>
      </c>
      <c r="W708" s="361"/>
      <c r="X708" s="35">
        <f t="shared" ref="X708:X714" si="98">V708*S708</f>
        <v>5244.6239999999998</v>
      </c>
      <c r="AA708" s="35">
        <f t="shared" ref="AA708:AA716" si="99">X708</f>
        <v>5244.6239999999998</v>
      </c>
      <c r="AG708" s="395" t="str">
        <f t="shared" si="96"/>
        <v>|</v>
      </c>
      <c r="AI708" s="356" t="s">
        <v>1256</v>
      </c>
    </row>
    <row r="709" spans="1:35" ht="15.75">
      <c r="A709" s="382">
        <f t="shared" si="97"/>
        <v>504</v>
      </c>
      <c r="B709" s="383" t="s">
        <v>1600</v>
      </c>
      <c r="C709" s="429">
        <v>306</v>
      </c>
      <c r="D709" s="385" t="s">
        <v>151</v>
      </c>
      <c r="H709" s="356" t="s">
        <v>873</v>
      </c>
      <c r="I709" s="35">
        <f>K708</f>
        <v>660.41480000000001</v>
      </c>
      <c r="J709" s="360">
        <f>C20*0.11</f>
        <v>21.014399999999998</v>
      </c>
      <c r="K709" s="369">
        <f>I709+J709</f>
        <v>681.42920000000004</v>
      </c>
      <c r="O709" s="356" t="s">
        <v>1601</v>
      </c>
      <c r="S709" s="36">
        <v>4.79</v>
      </c>
      <c r="T709" s="35" t="s">
        <v>405</v>
      </c>
      <c r="U709" s="35" t="s">
        <v>1541</v>
      </c>
      <c r="V709" s="35">
        <f>V646</f>
        <v>1779.13</v>
      </c>
      <c r="W709" s="361"/>
      <c r="X709" s="35">
        <f t="shared" si="98"/>
        <v>8522.0326999999997</v>
      </c>
      <c r="AA709" s="35">
        <f t="shared" si="99"/>
        <v>8522.0326999999997</v>
      </c>
      <c r="AG709" s="395" t="str">
        <f t="shared" si="96"/>
        <v>|</v>
      </c>
      <c r="AI709" s="356" t="s">
        <v>1256</v>
      </c>
    </row>
    <row r="710" spans="1:35" ht="15.75">
      <c r="A710" s="382">
        <f t="shared" si="97"/>
        <v>505</v>
      </c>
      <c r="B710" s="383" t="s">
        <v>1602</v>
      </c>
      <c r="C710" s="429">
        <v>274</v>
      </c>
      <c r="D710" s="385" t="s">
        <v>151</v>
      </c>
      <c r="H710" s="356" t="s">
        <v>876</v>
      </c>
      <c r="I710" s="35">
        <f>K709</f>
        <v>681.42920000000004</v>
      </c>
      <c r="J710" s="360">
        <f>J709</f>
        <v>21.014399999999998</v>
      </c>
      <c r="K710" s="369">
        <f>I710+J710</f>
        <v>702.44360000000006</v>
      </c>
      <c r="O710" s="363" t="s">
        <v>117</v>
      </c>
      <c r="S710" s="36">
        <v>3.25</v>
      </c>
      <c r="T710" s="35" t="s">
        <v>443</v>
      </c>
      <c r="U710" s="35" t="s">
        <v>306</v>
      </c>
      <c r="V710" s="35">
        <f>V645</f>
        <v>6372.14</v>
      </c>
      <c r="W710" s="361"/>
      <c r="X710" s="35">
        <f t="shared" si="98"/>
        <v>20709.455000000002</v>
      </c>
      <c r="AA710" s="35">
        <f t="shared" si="99"/>
        <v>20709.455000000002</v>
      </c>
      <c r="AG710" s="395" t="str">
        <f t="shared" si="96"/>
        <v>|</v>
      </c>
      <c r="AI710" s="356" t="s">
        <v>1256</v>
      </c>
    </row>
    <row r="711" spans="1:35" ht="15.75">
      <c r="A711" s="382">
        <f t="shared" si="97"/>
        <v>506</v>
      </c>
      <c r="B711" s="383" t="s">
        <v>1603</v>
      </c>
      <c r="C711" s="429">
        <v>266</v>
      </c>
      <c r="D711" s="385" t="s">
        <v>151</v>
      </c>
      <c r="H711" s="356" t="s">
        <v>878</v>
      </c>
      <c r="I711" s="35">
        <f>K710</f>
        <v>702.44360000000006</v>
      </c>
      <c r="J711" s="360">
        <f>J710</f>
        <v>21.014399999999998</v>
      </c>
      <c r="K711" s="369">
        <f>I711+J711</f>
        <v>723.45800000000008</v>
      </c>
      <c r="M711" s="370">
        <v>1</v>
      </c>
      <c r="N711" s="356" t="s">
        <v>151</v>
      </c>
      <c r="O711" s="356" t="s">
        <v>1604</v>
      </c>
      <c r="P711" s="370">
        <f>(C395/1*0.3)</f>
        <v>38.4</v>
      </c>
      <c r="Q711" s="356" t="s">
        <v>151</v>
      </c>
      <c r="R711" s="370">
        <f>(M711*P711)</f>
        <v>38.4</v>
      </c>
      <c r="S711" s="36">
        <f>3250*0.6%</f>
        <v>19.5</v>
      </c>
      <c r="T711" s="35" t="s">
        <v>213</v>
      </c>
      <c r="U711" s="430" t="s">
        <v>1605</v>
      </c>
      <c r="V711" s="35">
        <f>V650</f>
        <v>43.2</v>
      </c>
      <c r="W711" s="361"/>
      <c r="X711" s="35">
        <f t="shared" si="98"/>
        <v>842.40000000000009</v>
      </c>
      <c r="AA711" s="35">
        <f t="shared" si="99"/>
        <v>842.40000000000009</v>
      </c>
      <c r="AG711" s="395" t="str">
        <f t="shared" si="96"/>
        <v>|</v>
      </c>
      <c r="AI711" s="356" t="s">
        <v>1256</v>
      </c>
    </row>
    <row r="712" spans="1:35" ht="15.75">
      <c r="A712" s="382">
        <f t="shared" si="97"/>
        <v>507</v>
      </c>
      <c r="B712" s="385" t="s">
        <v>1606</v>
      </c>
      <c r="C712" s="402">
        <v>107.64</v>
      </c>
      <c r="D712" s="385" t="s">
        <v>107</v>
      </c>
      <c r="H712" s="356" t="s">
        <v>1287</v>
      </c>
      <c r="I712" s="35">
        <f>K711</f>
        <v>723.45800000000008</v>
      </c>
      <c r="J712" s="360">
        <f>J711</f>
        <v>21.014399999999998</v>
      </c>
      <c r="K712" s="369">
        <f>I712+J712</f>
        <v>744.47240000000011</v>
      </c>
      <c r="N712" s="356" t="s">
        <v>128</v>
      </c>
      <c r="O712" s="356" t="s">
        <v>1546</v>
      </c>
      <c r="Q712" s="356" t="s">
        <v>128</v>
      </c>
      <c r="R712" s="370">
        <v>1.65</v>
      </c>
      <c r="S712" s="36">
        <v>3.5</v>
      </c>
      <c r="T712" s="35" t="s">
        <v>192</v>
      </c>
      <c r="U712" s="35" t="s">
        <v>1551</v>
      </c>
      <c r="V712" s="35">
        <f>C11</f>
        <v>1118.3999999999999</v>
      </c>
      <c r="W712" s="361">
        <f>J721</f>
        <v>0</v>
      </c>
      <c r="X712" s="35">
        <f t="shared" si="98"/>
        <v>3914.3999999999996</v>
      </c>
      <c r="AA712" s="35">
        <f t="shared" si="99"/>
        <v>3914.3999999999996</v>
      </c>
      <c r="AG712" s="395" t="str">
        <f t="shared" si="96"/>
        <v>|</v>
      </c>
      <c r="AI712" s="356" t="s">
        <v>1256</v>
      </c>
    </row>
    <row r="713" spans="1:35" ht="15.75">
      <c r="A713" s="382">
        <f t="shared" si="97"/>
        <v>508</v>
      </c>
      <c r="B713" s="385" t="s">
        <v>1607</v>
      </c>
      <c r="C713" s="396"/>
      <c r="D713" s="396"/>
      <c r="F713" s="356" t="s">
        <v>114</v>
      </c>
      <c r="O713" s="356" t="s">
        <v>1550</v>
      </c>
      <c r="R713" s="356" t="s">
        <v>114</v>
      </c>
      <c r="S713" s="36">
        <v>21.2</v>
      </c>
      <c r="T713" s="35" t="s">
        <v>192</v>
      </c>
      <c r="U713" s="35" t="s">
        <v>1554</v>
      </c>
      <c r="V713" s="35">
        <f>C12</f>
        <v>781.19999999999993</v>
      </c>
      <c r="W713" s="361"/>
      <c r="X713" s="35">
        <f t="shared" si="98"/>
        <v>16561.439999999999</v>
      </c>
      <c r="AA713" s="35">
        <f t="shared" si="99"/>
        <v>16561.439999999999</v>
      </c>
      <c r="AG713" s="395" t="str">
        <f t="shared" si="96"/>
        <v>|</v>
      </c>
      <c r="AI713" s="356" t="s">
        <v>1256</v>
      </c>
    </row>
    <row r="714" spans="1:35" ht="15.75">
      <c r="A714" s="382">
        <f t="shared" si="97"/>
        <v>509</v>
      </c>
      <c r="B714" s="385" t="s">
        <v>1608</v>
      </c>
      <c r="C714" s="402">
        <v>11.55</v>
      </c>
      <c r="D714" s="385" t="s">
        <v>151</v>
      </c>
      <c r="R714" s="363" t="s">
        <v>117</v>
      </c>
      <c r="S714" s="36">
        <v>35.299999999999997</v>
      </c>
      <c r="T714" s="35" t="s">
        <v>192</v>
      </c>
      <c r="U714" s="35" t="s">
        <v>1558</v>
      </c>
      <c r="V714" s="35">
        <f>C13</f>
        <v>640.79999999999995</v>
      </c>
      <c r="W714" s="361"/>
      <c r="X714" s="35">
        <f t="shared" si="98"/>
        <v>22620.239999999998</v>
      </c>
      <c r="AA714" s="35">
        <f t="shared" si="99"/>
        <v>22620.239999999998</v>
      </c>
      <c r="AG714" s="395" t="str">
        <f t="shared" si="96"/>
        <v>|</v>
      </c>
      <c r="AI714" s="356" t="s">
        <v>1256</v>
      </c>
    </row>
    <row r="715" spans="1:35" ht="15.75">
      <c r="A715" s="382">
        <f t="shared" si="97"/>
        <v>510</v>
      </c>
      <c r="B715" s="385" t="s">
        <v>1207</v>
      </c>
      <c r="C715" s="402">
        <v>16.399999999999999</v>
      </c>
      <c r="D715" s="385" t="s">
        <v>151</v>
      </c>
      <c r="F715" s="357" t="s">
        <v>726</v>
      </c>
      <c r="H715" s="356" t="s">
        <v>1609</v>
      </c>
      <c r="O715" s="356" t="s">
        <v>1557</v>
      </c>
      <c r="R715" s="370">
        <f>SUM(R711:R713)</f>
        <v>40.049999999999997</v>
      </c>
      <c r="U715" s="35" t="s">
        <v>1560</v>
      </c>
      <c r="V715" s="35">
        <f>V685</f>
        <v>0</v>
      </c>
      <c r="W715" s="361"/>
      <c r="X715" s="411">
        <f>SUM(X707:X714)</f>
        <v>87810.991700000013</v>
      </c>
      <c r="Y715" s="411"/>
      <c r="AA715" s="35">
        <f t="shared" si="99"/>
        <v>87810.991700000013</v>
      </c>
      <c r="AG715" s="395" t="str">
        <f t="shared" si="96"/>
        <v>|</v>
      </c>
      <c r="AI715" s="356" t="s">
        <v>1256</v>
      </c>
    </row>
    <row r="716" spans="1:35" ht="15.75">
      <c r="A716" s="382">
        <f t="shared" si="97"/>
        <v>511</v>
      </c>
      <c r="B716" s="385" t="s">
        <v>1209</v>
      </c>
      <c r="C716" s="402">
        <v>27.85</v>
      </c>
      <c r="D716" s="385" t="s">
        <v>151</v>
      </c>
      <c r="H716" s="356" t="s">
        <v>1610</v>
      </c>
      <c r="R716" s="363" t="s">
        <v>117</v>
      </c>
      <c r="U716" s="35" t="s">
        <v>1562</v>
      </c>
      <c r="V716" s="35">
        <f>V686</f>
        <v>0</v>
      </c>
      <c r="W716" s="361"/>
      <c r="X716" s="411">
        <f>X715/10</f>
        <v>8781.0991700000013</v>
      </c>
      <c r="Y716" s="411"/>
      <c r="AA716" s="35">
        <f t="shared" si="99"/>
        <v>8781.0991700000013</v>
      </c>
      <c r="AG716" s="395" t="str">
        <f t="shared" si="96"/>
        <v>|</v>
      </c>
      <c r="AI716" s="356" t="s">
        <v>1256</v>
      </c>
    </row>
    <row r="717" spans="1:35" ht="15.75">
      <c r="A717" s="382">
        <f t="shared" si="97"/>
        <v>512</v>
      </c>
      <c r="B717" s="385" t="s">
        <v>1211</v>
      </c>
      <c r="C717" s="402">
        <v>49.9</v>
      </c>
      <c r="D717" s="385" t="s">
        <v>151</v>
      </c>
      <c r="H717" s="356" t="s">
        <v>1611</v>
      </c>
      <c r="O717" s="357" t="s">
        <v>1612</v>
      </c>
      <c r="R717" s="356" t="s">
        <v>114</v>
      </c>
      <c r="S717" s="36">
        <v>1</v>
      </c>
      <c r="T717" s="35" t="s">
        <v>405</v>
      </c>
      <c r="U717" s="35" t="s">
        <v>1566</v>
      </c>
      <c r="V717" s="35">
        <f>C25</f>
        <v>113.04</v>
      </c>
      <c r="W717" s="361"/>
      <c r="X717" s="35">
        <f>V717*S717</f>
        <v>113.04</v>
      </c>
      <c r="AG717" s="395" t="str">
        <f t="shared" si="96"/>
        <v>|</v>
      </c>
      <c r="AI717" s="356" t="s">
        <v>1256</v>
      </c>
    </row>
    <row r="718" spans="1:35" ht="15.75">
      <c r="A718" s="382">
        <f t="shared" si="97"/>
        <v>513</v>
      </c>
      <c r="B718" s="385" t="s">
        <v>1213</v>
      </c>
      <c r="C718" s="402">
        <v>69.25</v>
      </c>
      <c r="D718" s="385" t="s">
        <v>151</v>
      </c>
      <c r="H718" s="363" t="s">
        <v>117</v>
      </c>
      <c r="M718" s="461"/>
      <c r="O718" s="357" t="s">
        <v>1613</v>
      </c>
      <c r="U718" s="35" t="s">
        <v>1568</v>
      </c>
      <c r="V718" s="35">
        <f>V688</f>
        <v>0</v>
      </c>
      <c r="W718" s="361"/>
      <c r="X718" s="411">
        <f>SUM(X716:X717)</f>
        <v>8894.1391700000022</v>
      </c>
      <c r="Y718" s="411"/>
      <c r="AA718" s="35">
        <f>AA716</f>
        <v>8781.0991700000013</v>
      </c>
      <c r="AG718" s="395" t="str">
        <f t="shared" si="96"/>
        <v>|</v>
      </c>
      <c r="AI718" s="356" t="s">
        <v>1256</v>
      </c>
    </row>
    <row r="719" spans="1:35" ht="15.75">
      <c r="A719" s="382">
        <f t="shared" si="97"/>
        <v>514</v>
      </c>
      <c r="B719" s="385" t="s">
        <v>1614</v>
      </c>
      <c r="C719" s="396"/>
      <c r="D719" s="385" t="s">
        <v>114</v>
      </c>
      <c r="F719" s="370">
        <v>0.4</v>
      </c>
      <c r="G719" s="368" t="s">
        <v>108</v>
      </c>
      <c r="H719" s="356" t="s">
        <v>1615</v>
      </c>
      <c r="I719" s="370">
        <f>(C270)</f>
        <v>17600</v>
      </c>
      <c r="J719" s="356" t="s">
        <v>108</v>
      </c>
      <c r="K719" s="370">
        <f>(F719*I719)</f>
        <v>7040</v>
      </c>
      <c r="M719" s="357" t="s">
        <v>957</v>
      </c>
      <c r="N719" s="356" t="s">
        <v>438</v>
      </c>
      <c r="O719" s="356" t="s">
        <v>1616</v>
      </c>
      <c r="S719" s="501" t="s">
        <v>265</v>
      </c>
      <c r="U719" s="35" t="s">
        <v>1570</v>
      </c>
      <c r="V719" s="35" t="str">
        <f>V689</f>
        <v>LS</v>
      </c>
      <c r="W719" s="361"/>
      <c r="X719" s="35">
        <f>X718*0.5%</f>
        <v>44.470695850000013</v>
      </c>
      <c r="AA719" s="35">
        <f>AA718*0.5/100</f>
        <v>43.905495850000008</v>
      </c>
      <c r="AG719" s="395" t="str">
        <f t="shared" si="96"/>
        <v>|::</v>
      </c>
      <c r="AI719" s="356" t="s">
        <v>1001</v>
      </c>
    </row>
    <row r="720" spans="1:35" ht="15.75">
      <c r="A720" s="382">
        <f t="shared" si="97"/>
        <v>515</v>
      </c>
      <c r="B720" s="385" t="s">
        <v>1091</v>
      </c>
      <c r="C720" s="402">
        <v>20</v>
      </c>
      <c r="D720" s="385" t="s">
        <v>151</v>
      </c>
      <c r="F720" s="370">
        <v>0.12</v>
      </c>
      <c r="G720" s="368" t="s">
        <v>108</v>
      </c>
      <c r="H720" s="356" t="s">
        <v>1617</v>
      </c>
      <c r="I720" s="370">
        <f>(C271)</f>
        <v>15500</v>
      </c>
      <c r="J720" s="356" t="s">
        <v>108</v>
      </c>
      <c r="K720" s="370">
        <f>(F720*I720)</f>
        <v>1860</v>
      </c>
      <c r="O720" s="363" t="s">
        <v>117</v>
      </c>
      <c r="T720" s="358"/>
      <c r="U720" s="411" t="s">
        <v>1513</v>
      </c>
      <c r="W720" s="361"/>
      <c r="X720" s="369">
        <f>SUM(X718:X719)</f>
        <v>8938.6098658500014</v>
      </c>
      <c r="Y720" s="369"/>
      <c r="AA720" s="411">
        <f>SUM(AA718:AA719)</f>
        <v>8825.0046658500014</v>
      </c>
      <c r="AB720" s="411"/>
      <c r="AG720" s="395">
        <f t="shared" si="96"/>
        <v>0</v>
      </c>
    </row>
    <row r="721" spans="1:35" ht="15.75">
      <c r="A721" s="382">
        <f t="shared" si="97"/>
        <v>516</v>
      </c>
      <c r="B721" s="385" t="s">
        <v>1618</v>
      </c>
      <c r="C721" s="402">
        <v>45</v>
      </c>
      <c r="D721" s="385" t="s">
        <v>151</v>
      </c>
      <c r="H721" s="356" t="s">
        <v>1619</v>
      </c>
      <c r="I721" s="356" t="s">
        <v>114</v>
      </c>
      <c r="K721" s="356" t="s">
        <v>114</v>
      </c>
      <c r="M721" s="461">
        <v>2.69E-2</v>
      </c>
      <c r="N721" s="356" t="s">
        <v>108</v>
      </c>
      <c r="O721" s="450" t="s">
        <v>1620</v>
      </c>
      <c r="P721" s="370">
        <f>C86</f>
        <v>34665.439999999995</v>
      </c>
      <c r="Q721" s="356" t="s">
        <v>108</v>
      </c>
      <c r="R721" s="370">
        <f t="shared" ref="R721:R727" si="100">M721*P721</f>
        <v>932.50033599999983</v>
      </c>
      <c r="T721" s="358"/>
      <c r="W721" s="361"/>
      <c r="X721" s="363" t="s">
        <v>117</v>
      </c>
      <c r="Y721" s="363"/>
      <c r="AG721" s="395">
        <f t="shared" si="96"/>
        <v>0</v>
      </c>
    </row>
    <row r="722" spans="1:35" ht="15.75">
      <c r="A722" s="382">
        <f t="shared" si="97"/>
        <v>517</v>
      </c>
      <c r="B722" s="385" t="s">
        <v>1621</v>
      </c>
      <c r="C722" s="465"/>
      <c r="D722" s="385" t="s">
        <v>620</v>
      </c>
      <c r="F722" s="370">
        <v>98.5</v>
      </c>
      <c r="G722" s="368" t="s">
        <v>110</v>
      </c>
      <c r="H722" s="356" t="s">
        <v>1622</v>
      </c>
      <c r="I722" s="370">
        <f>(C272)</f>
        <v>25.2</v>
      </c>
      <c r="J722" s="356" t="s">
        <v>110</v>
      </c>
      <c r="K722" s="370">
        <f>(F722*I722)</f>
        <v>2482.1999999999998</v>
      </c>
      <c r="M722" s="461">
        <v>1.2949999999999999</v>
      </c>
      <c r="N722" s="356" t="s">
        <v>107</v>
      </c>
      <c r="O722" s="356" t="s">
        <v>1623</v>
      </c>
      <c r="P722" s="370">
        <f>C785</f>
        <v>387.4</v>
      </c>
      <c r="Q722" s="356" t="s">
        <v>107</v>
      </c>
      <c r="R722" s="370">
        <f t="shared" si="100"/>
        <v>501.68299999999994</v>
      </c>
      <c r="T722" s="358"/>
      <c r="U722" s="356" t="s">
        <v>172</v>
      </c>
      <c r="W722" s="361"/>
      <c r="X722" s="369">
        <f>(X720+C22)</f>
        <v>9082.4298658500011</v>
      </c>
      <c r="Y722" s="369"/>
      <c r="AG722" s="395">
        <f t="shared" si="96"/>
        <v>0</v>
      </c>
    </row>
    <row r="723" spans="1:35" ht="15.75">
      <c r="A723" s="382">
        <f t="shared" si="97"/>
        <v>518</v>
      </c>
      <c r="B723" s="385" t="s">
        <v>1091</v>
      </c>
      <c r="C723" s="402">
        <v>19.09</v>
      </c>
      <c r="D723" s="385" t="s">
        <v>151</v>
      </c>
      <c r="H723" s="356" t="s">
        <v>1624</v>
      </c>
      <c r="I723" s="356" t="s">
        <v>114</v>
      </c>
      <c r="K723" s="356" t="s">
        <v>620</v>
      </c>
      <c r="M723" s="461">
        <v>1.8149999999999999</v>
      </c>
      <c r="N723" s="356" t="s">
        <v>107</v>
      </c>
      <c r="O723" s="356" t="s">
        <v>989</v>
      </c>
      <c r="P723" s="370">
        <f>C31</f>
        <v>1844.3999999999999</v>
      </c>
      <c r="Q723" s="356" t="s">
        <v>107</v>
      </c>
      <c r="R723" s="370">
        <f t="shared" si="100"/>
        <v>3347.5859999999998</v>
      </c>
      <c r="T723" s="358"/>
      <c r="U723" s="356" t="s">
        <v>873</v>
      </c>
      <c r="W723" s="361"/>
      <c r="X723" s="369">
        <f>(X722+C24)</f>
        <v>9365.7498658500008</v>
      </c>
      <c r="Y723" s="369"/>
      <c r="AG723" s="395" t="str">
        <f t="shared" si="96"/>
        <v>|</v>
      </c>
      <c r="AI723" s="356" t="s">
        <v>1256</v>
      </c>
    </row>
    <row r="724" spans="1:35" ht="15.75">
      <c r="A724" s="382">
        <f t="shared" si="97"/>
        <v>519</v>
      </c>
      <c r="B724" s="385" t="s">
        <v>1618</v>
      </c>
      <c r="C724" s="402">
        <v>50.66</v>
      </c>
      <c r="D724" s="385" t="s">
        <v>151</v>
      </c>
      <c r="K724" s="363" t="s">
        <v>117</v>
      </c>
      <c r="M724" s="370">
        <v>2</v>
      </c>
      <c r="N724" s="356" t="s">
        <v>151</v>
      </c>
      <c r="O724" s="356" t="s">
        <v>1625</v>
      </c>
      <c r="P724" s="370">
        <f>C301</f>
        <v>10.5</v>
      </c>
      <c r="Q724" s="356" t="s">
        <v>151</v>
      </c>
      <c r="R724" s="370">
        <f t="shared" si="100"/>
        <v>21</v>
      </c>
      <c r="T724" s="358"/>
      <c r="U724" s="356" t="s">
        <v>876</v>
      </c>
      <c r="W724" s="361"/>
      <c r="X724" s="369">
        <f>(X723+C24)</f>
        <v>9649.0698658500005</v>
      </c>
      <c r="Y724" s="369"/>
      <c r="AG724" s="395" t="str">
        <f t="shared" si="96"/>
        <v>|</v>
      </c>
      <c r="AI724" s="356" t="s">
        <v>1256</v>
      </c>
    </row>
    <row r="725" spans="1:35" ht="15.75">
      <c r="A725" s="382">
        <f t="shared" si="97"/>
        <v>520</v>
      </c>
      <c r="B725" s="385" t="s">
        <v>1626</v>
      </c>
      <c r="C725" s="402">
        <v>1183.82</v>
      </c>
      <c r="D725" s="385" t="s">
        <v>107</v>
      </c>
      <c r="H725" s="356" t="s">
        <v>1627</v>
      </c>
      <c r="K725" s="370">
        <f>SUM(K719:K723)</f>
        <v>11382.2</v>
      </c>
      <c r="M725" s="370">
        <v>3</v>
      </c>
      <c r="N725" s="356" t="s">
        <v>151</v>
      </c>
      <c r="O725" s="356" t="s">
        <v>1628</v>
      </c>
      <c r="P725" s="370">
        <f>C297</f>
        <v>8.5</v>
      </c>
      <c r="Q725" s="356" t="s">
        <v>151</v>
      </c>
      <c r="R725" s="370">
        <f t="shared" si="100"/>
        <v>25.5</v>
      </c>
      <c r="T725" s="358"/>
      <c r="U725" s="356" t="s">
        <v>878</v>
      </c>
      <c r="W725" s="361"/>
      <c r="X725" s="369">
        <f>(X724+C24)</f>
        <v>9932.3898658500002</v>
      </c>
      <c r="Y725" s="369"/>
      <c r="AG725" s="395" t="str">
        <f t="shared" si="96"/>
        <v>|</v>
      </c>
      <c r="AI725" s="356" t="s">
        <v>1256</v>
      </c>
    </row>
    <row r="726" spans="1:35" ht="15.75">
      <c r="A726" s="382">
        <f t="shared" si="97"/>
        <v>521</v>
      </c>
      <c r="B726" s="385" t="s">
        <v>1629</v>
      </c>
      <c r="C726" s="402">
        <v>1605</v>
      </c>
      <c r="D726" s="385" t="s">
        <v>107</v>
      </c>
      <c r="H726" s="356" t="s">
        <v>114</v>
      </c>
      <c r="K726" s="363" t="s">
        <v>117</v>
      </c>
      <c r="M726" s="370">
        <v>1</v>
      </c>
      <c r="N726" s="356" t="s">
        <v>151</v>
      </c>
      <c r="O726" s="356" t="s">
        <v>1630</v>
      </c>
      <c r="P726" s="370">
        <f>C303</f>
        <v>21</v>
      </c>
      <c r="Q726" s="356" t="s">
        <v>151</v>
      </c>
      <c r="R726" s="370">
        <f t="shared" si="100"/>
        <v>21</v>
      </c>
      <c r="T726" s="358"/>
      <c r="U726" s="356" t="s">
        <v>951</v>
      </c>
      <c r="W726" s="361"/>
      <c r="X726" s="369">
        <f>(X725+C24)</f>
        <v>10215.70986585</v>
      </c>
      <c r="Y726" s="369"/>
      <c r="AG726" s="395" t="str">
        <f t="shared" si="96"/>
        <v>|</v>
      </c>
      <c r="AI726" s="356" t="s">
        <v>1256</v>
      </c>
    </row>
    <row r="727" spans="1:35" ht="15.75">
      <c r="A727" s="382">
        <f t="shared" si="97"/>
        <v>522</v>
      </c>
      <c r="B727" s="356" t="s">
        <v>1631</v>
      </c>
      <c r="C727" s="489">
        <v>10.050000000000001</v>
      </c>
      <c r="D727" s="490" t="s">
        <v>312</v>
      </c>
      <c r="F727" s="370">
        <v>10</v>
      </c>
      <c r="G727" s="368" t="s">
        <v>107</v>
      </c>
      <c r="H727" s="356" t="s">
        <v>1632</v>
      </c>
      <c r="I727" s="370">
        <f>(K725/50)</f>
        <v>227.64400000000001</v>
      </c>
      <c r="J727" s="356" t="s">
        <v>107</v>
      </c>
      <c r="K727" s="370">
        <f>(F727*I727)</f>
        <v>2276.44</v>
      </c>
      <c r="M727" s="370">
        <v>1</v>
      </c>
      <c r="N727" s="356" t="s">
        <v>151</v>
      </c>
      <c r="O727" s="356" t="s">
        <v>993</v>
      </c>
      <c r="P727" s="370">
        <f>C305</f>
        <v>4</v>
      </c>
      <c r="Q727" s="356" t="s">
        <v>151</v>
      </c>
      <c r="R727" s="370">
        <f t="shared" si="100"/>
        <v>4</v>
      </c>
      <c r="W727" s="361"/>
      <c r="AG727" s="395" t="str">
        <f t="shared" si="96"/>
        <v>|</v>
      </c>
      <c r="AI727" s="356" t="s">
        <v>1256</v>
      </c>
    </row>
    <row r="728" spans="1:35" ht="15.75">
      <c r="A728" s="382">
        <f t="shared" si="97"/>
        <v>523</v>
      </c>
      <c r="B728" s="385" t="s">
        <v>1633</v>
      </c>
      <c r="C728" s="402">
        <v>147.6</v>
      </c>
      <c r="D728" s="385" t="s">
        <v>110</v>
      </c>
      <c r="F728" s="370">
        <v>3.8</v>
      </c>
      <c r="G728" s="368" t="s">
        <v>223</v>
      </c>
      <c r="H728" s="356" t="s">
        <v>1634</v>
      </c>
      <c r="I728" s="370">
        <f>(C16)</f>
        <v>1171.2</v>
      </c>
      <c r="J728" s="356" t="s">
        <v>223</v>
      </c>
      <c r="K728" s="370">
        <f>(F728*I728)</f>
        <v>4450.5600000000004</v>
      </c>
      <c r="N728" s="356" t="s">
        <v>128</v>
      </c>
      <c r="O728" s="356" t="s">
        <v>129</v>
      </c>
      <c r="Q728" s="356" t="s">
        <v>128</v>
      </c>
      <c r="R728" s="370">
        <v>0</v>
      </c>
      <c r="W728" s="361"/>
      <c r="AG728" s="395" t="str">
        <f t="shared" si="96"/>
        <v>|</v>
      </c>
      <c r="AI728" s="356" t="s">
        <v>1256</v>
      </c>
    </row>
    <row r="729" spans="1:35" ht="15.75">
      <c r="A729" s="382">
        <f t="shared" si="97"/>
        <v>524</v>
      </c>
      <c r="B729" s="385" t="s">
        <v>1635</v>
      </c>
      <c r="C729" s="402">
        <v>147.6</v>
      </c>
      <c r="D729" s="385" t="s">
        <v>110</v>
      </c>
      <c r="F729" s="370">
        <v>5.4</v>
      </c>
      <c r="G729" s="368" t="s">
        <v>223</v>
      </c>
      <c r="H729" s="356" t="s">
        <v>153</v>
      </c>
      <c r="I729" s="370">
        <f>(C12)</f>
        <v>781.19999999999993</v>
      </c>
      <c r="J729" s="356" t="s">
        <v>223</v>
      </c>
      <c r="K729" s="370">
        <f>(F729*I729)</f>
        <v>4218.4799999999996</v>
      </c>
      <c r="R729" s="363" t="s">
        <v>117</v>
      </c>
      <c r="W729" s="361"/>
      <c r="AG729" s="395" t="str">
        <f t="shared" si="96"/>
        <v>|</v>
      </c>
      <c r="AI729" s="356" t="s">
        <v>1256</v>
      </c>
    </row>
    <row r="730" spans="1:35" ht="15.75">
      <c r="A730" s="382">
        <f t="shared" si="97"/>
        <v>525</v>
      </c>
      <c r="B730" s="385" t="s">
        <v>1636</v>
      </c>
      <c r="C730" s="402">
        <v>147.6</v>
      </c>
      <c r="D730" s="385" t="s">
        <v>110</v>
      </c>
      <c r="G730" s="368" t="s">
        <v>128</v>
      </c>
      <c r="H730" s="356" t="s">
        <v>1637</v>
      </c>
      <c r="J730" s="356" t="s">
        <v>128</v>
      </c>
      <c r="K730" s="370">
        <v>5</v>
      </c>
      <c r="O730" s="357" t="s">
        <v>1638</v>
      </c>
      <c r="R730" s="370">
        <f>SUM(R721:R728)</f>
        <v>4853.2693359999994</v>
      </c>
      <c r="T730" s="411">
        <v>4.2</v>
      </c>
      <c r="U730" s="411" t="s">
        <v>1639</v>
      </c>
      <c r="W730" s="361"/>
      <c r="AG730" s="395" t="str">
        <f t="shared" si="96"/>
        <v>|</v>
      </c>
      <c r="AI730" s="356" t="s">
        <v>1256</v>
      </c>
    </row>
    <row r="731" spans="1:35" ht="15.75">
      <c r="A731" s="382">
        <f t="shared" si="97"/>
        <v>526</v>
      </c>
      <c r="B731" s="385" t="s">
        <v>1640</v>
      </c>
      <c r="C731" s="402">
        <v>1250</v>
      </c>
      <c r="D731" s="385" t="s">
        <v>107</v>
      </c>
      <c r="K731" s="363" t="s">
        <v>117</v>
      </c>
      <c r="R731" s="363" t="s">
        <v>117</v>
      </c>
      <c r="S731" s="36">
        <v>5</v>
      </c>
      <c r="T731" s="35" t="s">
        <v>405</v>
      </c>
      <c r="U731" s="35" t="s">
        <v>1535</v>
      </c>
      <c r="V731" s="35">
        <f>V677</f>
        <v>1879.28</v>
      </c>
      <c r="W731" s="361"/>
      <c r="X731" s="35">
        <f t="shared" ref="X731:X738" si="101">V731*S731</f>
        <v>9396.4</v>
      </c>
      <c r="AG731" s="395" t="str">
        <f t="shared" si="96"/>
        <v>|</v>
      </c>
      <c r="AI731" s="356" t="s">
        <v>1256</v>
      </c>
    </row>
    <row r="732" spans="1:35" ht="15.75">
      <c r="A732" s="382">
        <f t="shared" si="97"/>
        <v>527</v>
      </c>
      <c r="B732" s="385" t="s">
        <v>1641</v>
      </c>
      <c r="C732" s="402">
        <v>1250</v>
      </c>
      <c r="D732" s="385" t="s">
        <v>107</v>
      </c>
      <c r="H732" s="356" t="s">
        <v>176</v>
      </c>
      <c r="K732" s="370">
        <f>SUM(K727:K730)</f>
        <v>10950.48</v>
      </c>
      <c r="N732" s="356" t="s">
        <v>114</v>
      </c>
      <c r="O732" s="357" t="s">
        <v>177</v>
      </c>
      <c r="R732" s="370">
        <f>R730/M722</f>
        <v>3747.6983289575287</v>
      </c>
      <c r="S732" s="36">
        <v>3.3</v>
      </c>
      <c r="T732" s="35" t="s">
        <v>405</v>
      </c>
      <c r="U732" s="35" t="s">
        <v>1539</v>
      </c>
      <c r="V732" s="35">
        <f t="shared" ref="V732:V741" si="102">V678</f>
        <v>1589.28</v>
      </c>
      <c r="W732" s="361"/>
      <c r="X732" s="35">
        <f t="shared" si="101"/>
        <v>5244.6239999999998</v>
      </c>
      <c r="AG732" s="395" t="str">
        <f t="shared" si="96"/>
        <v>|</v>
      </c>
      <c r="AI732" s="356" t="s">
        <v>1256</v>
      </c>
    </row>
    <row r="733" spans="1:35" ht="15.75">
      <c r="A733" s="382">
        <f t="shared" si="97"/>
        <v>528</v>
      </c>
      <c r="B733" s="385" t="s">
        <v>1642</v>
      </c>
      <c r="C733" s="402">
        <v>1250</v>
      </c>
      <c r="D733" s="385" t="s">
        <v>107</v>
      </c>
      <c r="K733" s="363" t="s">
        <v>117</v>
      </c>
      <c r="R733" s="363" t="s">
        <v>156</v>
      </c>
      <c r="S733" s="36">
        <v>4.79</v>
      </c>
      <c r="T733" s="35" t="s">
        <v>405</v>
      </c>
      <c r="U733" s="35" t="s">
        <v>1541</v>
      </c>
      <c r="V733" s="35">
        <f t="shared" si="102"/>
        <v>1779.13</v>
      </c>
      <c r="W733" s="361"/>
      <c r="X733" s="35">
        <f t="shared" si="101"/>
        <v>8522.0326999999997</v>
      </c>
      <c r="AG733" s="395" t="str">
        <f t="shared" si="96"/>
        <v>|</v>
      </c>
      <c r="AI733" s="356" t="s">
        <v>1256</v>
      </c>
    </row>
    <row r="734" spans="1:35" ht="15.75">
      <c r="A734" s="382">
        <f t="shared" si="97"/>
        <v>529</v>
      </c>
      <c r="B734" s="385" t="s">
        <v>1643</v>
      </c>
      <c r="C734" s="402">
        <v>1250</v>
      </c>
      <c r="D734" s="385" t="s">
        <v>107</v>
      </c>
      <c r="H734" s="356" t="s">
        <v>177</v>
      </c>
      <c r="K734" s="370">
        <f>(K732/10)</f>
        <v>1095.048</v>
      </c>
      <c r="M734" s="357" t="s">
        <v>957</v>
      </c>
      <c r="N734" s="356" t="s">
        <v>431</v>
      </c>
      <c r="O734" s="356" t="s">
        <v>1644</v>
      </c>
      <c r="S734" s="36">
        <v>3.5</v>
      </c>
      <c r="T734" s="35" t="s">
        <v>443</v>
      </c>
      <c r="U734" s="35" t="s">
        <v>306</v>
      </c>
      <c r="V734" s="35">
        <f t="shared" si="102"/>
        <v>6372.14</v>
      </c>
      <c r="W734" s="361"/>
      <c r="X734" s="35">
        <f t="shared" si="101"/>
        <v>22302.49</v>
      </c>
      <c r="AG734" s="395" t="str">
        <f t="shared" si="96"/>
        <v>|</v>
      </c>
      <c r="AI734" s="356" t="s">
        <v>1256</v>
      </c>
    </row>
    <row r="735" spans="1:35" ht="15.75">
      <c r="A735" s="382">
        <f t="shared" si="97"/>
        <v>530</v>
      </c>
      <c r="B735" s="385" t="s">
        <v>1645</v>
      </c>
      <c r="C735" s="402">
        <v>1250</v>
      </c>
      <c r="D735" s="385" t="s">
        <v>107</v>
      </c>
      <c r="K735" s="363" t="s">
        <v>156</v>
      </c>
      <c r="O735" s="363" t="s">
        <v>117</v>
      </c>
      <c r="S735" s="36">
        <v>28</v>
      </c>
      <c r="T735" s="35" t="s">
        <v>213</v>
      </c>
      <c r="U735" s="35" t="s">
        <v>1547</v>
      </c>
      <c r="V735" s="35">
        <f t="shared" si="102"/>
        <v>43.2</v>
      </c>
      <c r="W735" s="361"/>
      <c r="X735" s="35">
        <f t="shared" si="101"/>
        <v>1209.6000000000001</v>
      </c>
      <c r="AG735" s="395" t="str">
        <f t="shared" si="96"/>
        <v>|</v>
      </c>
      <c r="AI735" s="356" t="s">
        <v>1256</v>
      </c>
    </row>
    <row r="736" spans="1:35" ht="15.75">
      <c r="A736" s="382">
        <f t="shared" si="97"/>
        <v>531</v>
      </c>
      <c r="B736" s="385" t="s">
        <v>1646</v>
      </c>
      <c r="C736" s="402">
        <v>1250</v>
      </c>
      <c r="D736" s="385" t="s">
        <v>107</v>
      </c>
      <c r="M736" s="461">
        <v>2.5499999999999998E-2</v>
      </c>
      <c r="N736" s="356" t="s">
        <v>108</v>
      </c>
      <c r="O736" s="356" t="s">
        <v>1647</v>
      </c>
      <c r="P736" s="370">
        <f>C86</f>
        <v>34665.439999999995</v>
      </c>
      <c r="Q736" s="356" t="s">
        <v>108</v>
      </c>
      <c r="R736" s="370">
        <f t="shared" ref="R736:R742" si="103">M736*P736</f>
        <v>883.96871999999985</v>
      </c>
      <c r="S736" s="36">
        <v>3.5</v>
      </c>
      <c r="T736" s="35" t="s">
        <v>192</v>
      </c>
      <c r="U736" s="35" t="s">
        <v>1551</v>
      </c>
      <c r="V736" s="35">
        <f t="shared" si="102"/>
        <v>1118.3999999999999</v>
      </c>
      <c r="W736" s="361"/>
      <c r="X736" s="35">
        <f t="shared" si="101"/>
        <v>3914.3999999999996</v>
      </c>
      <c r="AG736" s="395" t="str">
        <f t="shared" si="96"/>
        <v>|</v>
      </c>
      <c r="AI736" s="356" t="s">
        <v>1256</v>
      </c>
    </row>
    <row r="737" spans="1:35" ht="15.75">
      <c r="A737" s="382">
        <f t="shared" si="97"/>
        <v>532</v>
      </c>
      <c r="B737" s="385" t="s">
        <v>1648</v>
      </c>
      <c r="C737" s="402">
        <v>1250</v>
      </c>
      <c r="D737" s="385" t="s">
        <v>107</v>
      </c>
      <c r="F737" s="357" t="s">
        <v>731</v>
      </c>
      <c r="G737" s="368" t="s">
        <v>122</v>
      </c>
      <c r="H737" s="356" t="s">
        <v>1649</v>
      </c>
      <c r="M737" s="461">
        <v>1.1299999999999999</v>
      </c>
      <c r="N737" s="356" t="s">
        <v>107</v>
      </c>
      <c r="O737" s="356" t="s">
        <v>1623</v>
      </c>
      <c r="P737" s="370">
        <f>C785</f>
        <v>387.4</v>
      </c>
      <c r="Q737" s="356" t="s">
        <v>107</v>
      </c>
      <c r="R737" s="370">
        <f t="shared" si="103"/>
        <v>437.76199999999994</v>
      </c>
      <c r="S737" s="36">
        <v>21.2</v>
      </c>
      <c r="T737" s="35" t="s">
        <v>192</v>
      </c>
      <c r="U737" s="35" t="s">
        <v>1554</v>
      </c>
      <c r="V737" s="35">
        <f t="shared" si="102"/>
        <v>781.19999999999993</v>
      </c>
      <c r="W737" s="361"/>
      <c r="X737" s="35">
        <f t="shared" si="101"/>
        <v>16561.439999999999</v>
      </c>
      <c r="AG737" s="395" t="str">
        <f t="shared" si="96"/>
        <v>|</v>
      </c>
      <c r="AI737" s="356" t="s">
        <v>1256</v>
      </c>
    </row>
    <row r="738" spans="1:35" ht="15.75">
      <c r="A738" s="382">
        <f t="shared" si="97"/>
        <v>533</v>
      </c>
      <c r="B738" s="385" t="s">
        <v>1650</v>
      </c>
      <c r="C738" s="402">
        <v>1250</v>
      </c>
      <c r="D738" s="385" t="s">
        <v>107</v>
      </c>
      <c r="H738" s="356" t="s">
        <v>1651</v>
      </c>
      <c r="M738" s="461">
        <v>1.6191</v>
      </c>
      <c r="N738" s="356" t="s">
        <v>107</v>
      </c>
      <c r="O738" s="356" t="s">
        <v>989</v>
      </c>
      <c r="P738" s="370">
        <f>C31</f>
        <v>1844.3999999999999</v>
      </c>
      <c r="Q738" s="356" t="s">
        <v>107</v>
      </c>
      <c r="R738" s="370">
        <f t="shared" si="103"/>
        <v>2986.2680399999999</v>
      </c>
      <c r="S738" s="36">
        <v>35.299999999999997</v>
      </c>
      <c r="T738" s="35" t="s">
        <v>192</v>
      </c>
      <c r="U738" s="35" t="s">
        <v>1558</v>
      </c>
      <c r="V738" s="35">
        <f t="shared" si="102"/>
        <v>640.79999999999995</v>
      </c>
      <c r="W738" s="361"/>
      <c r="X738" s="35">
        <f t="shared" si="101"/>
        <v>22620.239999999998</v>
      </c>
      <c r="AG738" s="395" t="str">
        <f t="shared" si="96"/>
        <v>|</v>
      </c>
      <c r="AI738" s="356" t="s">
        <v>1256</v>
      </c>
    </row>
    <row r="739" spans="1:35" ht="15.75">
      <c r="A739" s="382">
        <f t="shared" si="97"/>
        <v>534</v>
      </c>
      <c r="B739" s="385" t="s">
        <v>1652</v>
      </c>
      <c r="C739" s="402">
        <v>1250</v>
      </c>
      <c r="D739" s="385" t="s">
        <v>107</v>
      </c>
      <c r="H739" s="356" t="s">
        <v>1653</v>
      </c>
      <c r="M739" s="370">
        <v>2</v>
      </c>
      <c r="N739" s="356" t="s">
        <v>151</v>
      </c>
      <c r="O739" s="356" t="s">
        <v>1625</v>
      </c>
      <c r="P739" s="370">
        <f>C301</f>
        <v>10.5</v>
      </c>
      <c r="Q739" s="356" t="s">
        <v>151</v>
      </c>
      <c r="R739" s="370">
        <f t="shared" si="103"/>
        <v>21</v>
      </c>
      <c r="U739" s="411" t="s">
        <v>1560</v>
      </c>
      <c r="V739" s="35">
        <f t="shared" si="102"/>
        <v>0</v>
      </c>
      <c r="W739" s="361"/>
      <c r="X739" s="411">
        <f>SUM(X731:X738)</f>
        <v>89771.226699999999</v>
      </c>
      <c r="Y739" s="411"/>
      <c r="AG739" s="395" t="str">
        <f t="shared" si="96"/>
        <v>|</v>
      </c>
      <c r="AI739" s="356" t="s">
        <v>1256</v>
      </c>
    </row>
    <row r="740" spans="1:35" ht="15.75">
      <c r="A740" s="382">
        <f t="shared" si="97"/>
        <v>535</v>
      </c>
      <c r="B740" s="385" t="s">
        <v>1654</v>
      </c>
      <c r="C740" s="402">
        <v>1250</v>
      </c>
      <c r="D740" s="385" t="s">
        <v>107</v>
      </c>
      <c r="H740" s="356" t="s">
        <v>1655</v>
      </c>
      <c r="M740" s="370">
        <v>3</v>
      </c>
      <c r="N740" s="356" t="s">
        <v>151</v>
      </c>
      <c r="O740" s="356" t="s">
        <v>1628</v>
      </c>
      <c r="P740" s="370">
        <f>C297</f>
        <v>8.5</v>
      </c>
      <c r="Q740" s="356" t="s">
        <v>151</v>
      </c>
      <c r="R740" s="370">
        <f t="shared" si="103"/>
        <v>25.5</v>
      </c>
      <c r="U740" s="411" t="s">
        <v>1562</v>
      </c>
      <c r="V740" s="35">
        <f t="shared" si="102"/>
        <v>0</v>
      </c>
      <c r="W740" s="361"/>
      <c r="X740" s="411">
        <f>X739/10</f>
        <v>8977.1226700000007</v>
      </c>
      <c r="Y740" s="411"/>
      <c r="Z740" s="35">
        <f>X740</f>
        <v>8977.1226700000007</v>
      </c>
      <c r="AG740" s="395" t="str">
        <f t="shared" si="96"/>
        <v>|</v>
      </c>
      <c r="AI740" s="356" t="s">
        <v>1256</v>
      </c>
    </row>
    <row r="741" spans="1:35" ht="15.75">
      <c r="A741" s="382">
        <f t="shared" si="97"/>
        <v>536</v>
      </c>
      <c r="B741" s="385" t="s">
        <v>1656</v>
      </c>
      <c r="C741" s="402">
        <v>1250</v>
      </c>
      <c r="D741" s="385" t="s">
        <v>107</v>
      </c>
      <c r="H741" s="356" t="s">
        <v>1657</v>
      </c>
      <c r="M741" s="370">
        <v>1</v>
      </c>
      <c r="N741" s="356" t="s">
        <v>151</v>
      </c>
      <c r="O741" s="356" t="s">
        <v>1630</v>
      </c>
      <c r="P741" s="370">
        <f>C303</f>
        <v>21</v>
      </c>
      <c r="Q741" s="356" t="s">
        <v>151</v>
      </c>
      <c r="R741" s="370">
        <f t="shared" si="103"/>
        <v>21</v>
      </c>
      <c r="S741" s="36">
        <v>1</v>
      </c>
      <c r="T741" s="35" t="s">
        <v>405</v>
      </c>
      <c r="U741" s="35" t="s">
        <v>1566</v>
      </c>
      <c r="V741" s="35">
        <f t="shared" si="102"/>
        <v>113.04</v>
      </c>
      <c r="W741" s="361"/>
      <c r="X741" s="35">
        <f>V741</f>
        <v>113.04</v>
      </c>
      <c r="AG741" s="395" t="str">
        <f t="shared" si="96"/>
        <v>|</v>
      </c>
      <c r="AI741" s="356" t="s">
        <v>1256</v>
      </c>
    </row>
    <row r="742" spans="1:35" ht="15.75">
      <c r="A742" s="382">
        <f t="shared" si="97"/>
        <v>537</v>
      </c>
      <c r="B742" s="385" t="s">
        <v>1648</v>
      </c>
      <c r="C742" s="402">
        <v>1250</v>
      </c>
      <c r="D742" s="385" t="s">
        <v>107</v>
      </c>
      <c r="H742" s="356" t="s">
        <v>1658</v>
      </c>
      <c r="M742" s="370">
        <v>1</v>
      </c>
      <c r="N742" s="356" t="s">
        <v>151</v>
      </c>
      <c r="O742" s="356" t="s">
        <v>993</v>
      </c>
      <c r="P742" s="370">
        <f>C305</f>
        <v>4</v>
      </c>
      <c r="Q742" s="356" t="s">
        <v>151</v>
      </c>
      <c r="R742" s="370">
        <f t="shared" si="103"/>
        <v>4</v>
      </c>
      <c r="U742" s="35" t="s">
        <v>1568</v>
      </c>
      <c r="W742" s="361"/>
      <c r="X742" s="411">
        <f>SUM(X740:X741)</f>
        <v>9090.1626700000015</v>
      </c>
      <c r="Y742" s="411"/>
      <c r="Z742" s="35">
        <f>SUM(Z740:Z741)</f>
        <v>8977.1226700000007</v>
      </c>
      <c r="AG742" s="395" t="str">
        <f t="shared" si="96"/>
        <v>|</v>
      </c>
      <c r="AI742" s="356" t="s">
        <v>1256</v>
      </c>
    </row>
    <row r="743" spans="1:35" ht="15.75">
      <c r="A743" s="382">
        <f t="shared" si="97"/>
        <v>538</v>
      </c>
      <c r="B743" s="385" t="s">
        <v>1659</v>
      </c>
      <c r="C743" s="396"/>
      <c r="D743" s="385" t="s">
        <v>114</v>
      </c>
      <c r="H743" s="356" t="s">
        <v>1660</v>
      </c>
      <c r="N743" s="356" t="s">
        <v>128</v>
      </c>
      <c r="O743" s="356" t="s">
        <v>129</v>
      </c>
      <c r="Q743" s="356" t="s">
        <v>128</v>
      </c>
      <c r="R743" s="370">
        <v>0</v>
      </c>
      <c r="S743" s="501" t="s">
        <v>265</v>
      </c>
      <c r="U743" s="35" t="s">
        <v>1570</v>
      </c>
      <c r="V743" s="501" t="s">
        <v>265</v>
      </c>
      <c r="W743" s="361"/>
      <c r="X743" s="35">
        <f>X742*0.5%</f>
        <v>45.450813350000011</v>
      </c>
      <c r="Z743" s="35">
        <f>Z742*0.5/100</f>
        <v>44.88561335</v>
      </c>
      <c r="AG743" s="395" t="str">
        <f t="shared" si="96"/>
        <v>|</v>
      </c>
      <c r="AI743" s="356" t="s">
        <v>1256</v>
      </c>
    </row>
    <row r="744" spans="1:35" ht="15.75">
      <c r="A744" s="382">
        <f t="shared" si="97"/>
        <v>539</v>
      </c>
      <c r="B744" s="385" t="s">
        <v>1661</v>
      </c>
      <c r="C744" s="402">
        <v>65</v>
      </c>
      <c r="D744" s="385" t="s">
        <v>245</v>
      </c>
      <c r="H744" s="363" t="s">
        <v>117</v>
      </c>
      <c r="I744" s="363" t="s">
        <v>117</v>
      </c>
      <c r="J744" s="356" t="s">
        <v>117</v>
      </c>
      <c r="R744" s="363" t="s">
        <v>117</v>
      </c>
      <c r="T744" s="358"/>
      <c r="U744" s="411" t="s">
        <v>1513</v>
      </c>
      <c r="W744" s="361"/>
      <c r="X744" s="369">
        <f>SUM(X742:X743)</f>
        <v>9135.6134833500018</v>
      </c>
      <c r="Y744" s="369"/>
      <c r="Z744" s="411">
        <f>SUM(Z742:Z743)</f>
        <v>9022.0082833500001</v>
      </c>
      <c r="AG744" s="395" t="str">
        <f t="shared" si="96"/>
        <v>|</v>
      </c>
      <c r="AI744" s="356" t="s">
        <v>1256</v>
      </c>
    </row>
    <row r="745" spans="1:35" ht="15.75">
      <c r="A745" s="382">
        <f t="shared" si="97"/>
        <v>540</v>
      </c>
      <c r="B745" s="356" t="s">
        <v>1662</v>
      </c>
      <c r="C745" s="394">
        <v>21.5</v>
      </c>
      <c r="D745" s="385" t="s">
        <v>245</v>
      </c>
      <c r="F745" s="370">
        <v>13.46</v>
      </c>
      <c r="G745" s="368" t="s">
        <v>1663</v>
      </c>
      <c r="H745" s="356" t="s">
        <v>1664</v>
      </c>
      <c r="I745" s="370">
        <f>C34/1000</f>
        <v>53</v>
      </c>
      <c r="J745" s="356" t="s">
        <v>1663</v>
      </c>
      <c r="K745" s="370">
        <f>(F745*I745)</f>
        <v>713.38</v>
      </c>
      <c r="O745" s="357" t="s">
        <v>1665</v>
      </c>
      <c r="R745" s="370">
        <f>SUM(R736:R743)</f>
        <v>4379.4987599999995</v>
      </c>
      <c r="T745" s="358"/>
      <c r="W745" s="361"/>
      <c r="X745" s="363" t="s">
        <v>117</v>
      </c>
      <c r="Y745" s="363"/>
      <c r="AG745" s="395" t="str">
        <f t="shared" si="96"/>
        <v>|</v>
      </c>
      <c r="AI745" s="356" t="s">
        <v>1256</v>
      </c>
    </row>
    <row r="746" spans="1:35" ht="15.75">
      <c r="A746" s="382">
        <f t="shared" si="97"/>
        <v>541</v>
      </c>
      <c r="B746" s="385" t="s">
        <v>1666</v>
      </c>
      <c r="C746" s="402">
        <v>110.95</v>
      </c>
      <c r="D746" s="385" t="s">
        <v>245</v>
      </c>
      <c r="H746" s="356" t="s">
        <v>1667</v>
      </c>
      <c r="R746" s="363" t="s">
        <v>117</v>
      </c>
      <c r="T746" s="358"/>
      <c r="U746" s="356" t="s">
        <v>172</v>
      </c>
      <c r="W746" s="361"/>
      <c r="X746" s="369">
        <f>(X744+C22)</f>
        <v>9279.4334833500016</v>
      </c>
      <c r="Y746" s="369"/>
      <c r="AG746" s="395" t="str">
        <f t="shared" si="96"/>
        <v>|</v>
      </c>
      <c r="AI746" s="356" t="s">
        <v>1256</v>
      </c>
    </row>
    <row r="747" spans="1:35" ht="15.75">
      <c r="A747" s="382">
        <f t="shared" si="97"/>
        <v>542</v>
      </c>
      <c r="B747" s="385" t="s">
        <v>1668</v>
      </c>
      <c r="C747" s="402">
        <v>399</v>
      </c>
      <c r="D747" s="385" t="s">
        <v>245</v>
      </c>
      <c r="F747" s="370">
        <v>4</v>
      </c>
      <c r="G747" s="368" t="s">
        <v>1663</v>
      </c>
      <c r="H747" s="356" t="s">
        <v>1669</v>
      </c>
      <c r="I747" s="370">
        <f>C34/1000</f>
        <v>53</v>
      </c>
      <c r="J747" s="356" t="s">
        <v>1663</v>
      </c>
      <c r="K747" s="370">
        <f>(F747*I747)</f>
        <v>212</v>
      </c>
      <c r="O747" s="357" t="s">
        <v>177</v>
      </c>
      <c r="R747" s="370">
        <f>R745/M738</f>
        <v>2704.8970168612191</v>
      </c>
      <c r="T747" s="358"/>
      <c r="U747" s="356" t="s">
        <v>873</v>
      </c>
      <c r="W747" s="361"/>
      <c r="X747" s="369">
        <f>(X746+C24)</f>
        <v>9562.7534833500013</v>
      </c>
      <c r="Y747" s="369"/>
      <c r="AG747" s="395" t="str">
        <f t="shared" si="96"/>
        <v>|</v>
      </c>
      <c r="AI747" s="356" t="s">
        <v>1256</v>
      </c>
    </row>
    <row r="748" spans="1:35" ht="15.75">
      <c r="A748" s="382">
        <f t="shared" si="97"/>
        <v>543</v>
      </c>
      <c r="B748" s="385" t="s">
        <v>1670</v>
      </c>
      <c r="C748" s="402">
        <v>92</v>
      </c>
      <c r="D748" s="385" t="s">
        <v>245</v>
      </c>
      <c r="H748" s="356" t="s">
        <v>1671</v>
      </c>
      <c r="R748" s="363" t="s">
        <v>156</v>
      </c>
      <c r="T748" s="358"/>
      <c r="U748" s="356" t="s">
        <v>876</v>
      </c>
      <c r="W748" s="361"/>
      <c r="X748" s="369">
        <f>(X747+C24)</f>
        <v>9846.073483350001</v>
      </c>
      <c r="Y748" s="369"/>
      <c r="Z748" s="35">
        <f>X748-X747</f>
        <v>283.31999999999971</v>
      </c>
      <c r="AG748" s="395" t="str">
        <f t="shared" si="96"/>
        <v>|</v>
      </c>
      <c r="AI748" s="356" t="s">
        <v>1256</v>
      </c>
    </row>
    <row r="749" spans="1:35" ht="15.75">
      <c r="A749" s="382">
        <f t="shared" si="97"/>
        <v>544</v>
      </c>
      <c r="B749" s="385" t="s">
        <v>1672</v>
      </c>
      <c r="C749" s="402">
        <v>174.24</v>
      </c>
      <c r="D749" s="385" t="s">
        <v>245</v>
      </c>
      <c r="F749" s="370"/>
      <c r="G749" s="368" t="s">
        <v>128</v>
      </c>
      <c r="H749" s="356" t="s">
        <v>1673</v>
      </c>
      <c r="J749" s="356" t="s">
        <v>128</v>
      </c>
      <c r="K749" s="481">
        <v>40</v>
      </c>
      <c r="T749" s="358"/>
      <c r="U749" s="356" t="s">
        <v>878</v>
      </c>
      <c r="W749" s="361"/>
      <c r="X749" s="369">
        <f>(X748+C24)</f>
        <v>10129.393483350001</v>
      </c>
      <c r="Y749" s="369"/>
      <c r="AG749" s="395" t="str">
        <f t="shared" si="96"/>
        <v>|</v>
      </c>
      <c r="AI749" s="356" t="s">
        <v>1256</v>
      </c>
    </row>
    <row r="750" spans="1:35" ht="15.75">
      <c r="A750" s="382">
        <f t="shared" si="97"/>
        <v>545</v>
      </c>
      <c r="B750" s="385" t="s">
        <v>1674</v>
      </c>
      <c r="C750" s="402">
        <v>215.06</v>
      </c>
      <c r="D750" s="385" t="s">
        <v>245</v>
      </c>
      <c r="H750" s="356" t="s">
        <v>1675</v>
      </c>
      <c r="K750" s="363" t="s">
        <v>117</v>
      </c>
      <c r="M750" s="357" t="s">
        <v>957</v>
      </c>
      <c r="N750" s="356" t="s">
        <v>433</v>
      </c>
      <c r="O750" s="356" t="s">
        <v>1676</v>
      </c>
      <c r="T750" s="358"/>
      <c r="U750" s="356" t="s">
        <v>951</v>
      </c>
      <c r="W750" s="361"/>
      <c r="X750" s="369">
        <f t="shared" ref="X750:X755" si="104">(X749+C24)</f>
        <v>10412.71348335</v>
      </c>
      <c r="Y750" s="369"/>
      <c r="Z750" s="35">
        <f>X750+Z748</f>
        <v>10696.03348335</v>
      </c>
      <c r="AG750" s="395" t="str">
        <f t="shared" si="96"/>
        <v>|</v>
      </c>
      <c r="AI750" s="356" t="s">
        <v>1256</v>
      </c>
    </row>
    <row r="751" spans="1:35" ht="15.75">
      <c r="A751" s="382">
        <f t="shared" si="97"/>
        <v>546</v>
      </c>
      <c r="B751" s="385" t="s">
        <v>1677</v>
      </c>
      <c r="C751" s="402">
        <v>97.24</v>
      </c>
      <c r="D751" s="385" t="s">
        <v>245</v>
      </c>
      <c r="H751" s="357" t="s">
        <v>1678</v>
      </c>
      <c r="K751" s="370">
        <f>SUM(K745:K749)</f>
        <v>965.38</v>
      </c>
      <c r="O751" s="363" t="s">
        <v>117</v>
      </c>
      <c r="W751" s="361"/>
      <c r="X751" s="369">
        <f t="shared" si="104"/>
        <v>10525.753483350001</v>
      </c>
      <c r="Y751" s="369"/>
      <c r="Z751" s="35">
        <f>Z750-X750</f>
        <v>283.31999999999971</v>
      </c>
      <c r="AG751" s="395" t="str">
        <f t="shared" ref="AG751:AG814" si="105">AI751</f>
        <v>|</v>
      </c>
      <c r="AI751" s="356" t="s">
        <v>1256</v>
      </c>
    </row>
    <row r="752" spans="1:35" ht="15.75">
      <c r="A752" s="382">
        <f t="shared" si="97"/>
        <v>547</v>
      </c>
      <c r="B752" s="385" t="s">
        <v>1679</v>
      </c>
      <c r="C752" s="402">
        <v>168.96</v>
      </c>
      <c r="D752" s="385" t="s">
        <v>245</v>
      </c>
      <c r="K752" s="363" t="s">
        <v>117</v>
      </c>
      <c r="M752" s="461">
        <v>2.35E-2</v>
      </c>
      <c r="N752" s="356" t="s">
        <v>108</v>
      </c>
      <c r="O752" s="356" t="s">
        <v>1647</v>
      </c>
      <c r="P752" s="370">
        <f>C86</f>
        <v>34665.439999999995</v>
      </c>
      <c r="Q752" s="356" t="s">
        <v>108</v>
      </c>
      <c r="R752" s="370">
        <f t="shared" ref="R752:R758" si="106">M752*P752</f>
        <v>814.63783999999987</v>
      </c>
      <c r="W752" s="361"/>
      <c r="X752" s="369">
        <f t="shared" si="104"/>
        <v>10572.493483350001</v>
      </c>
      <c r="Y752" s="369"/>
      <c r="AG752" s="395" t="str">
        <f t="shared" si="105"/>
        <v>|</v>
      </c>
      <c r="AI752" s="356" t="s">
        <v>1256</v>
      </c>
    </row>
    <row r="753" spans="1:35" ht="15.75">
      <c r="A753" s="382">
        <f t="shared" si="97"/>
        <v>548</v>
      </c>
      <c r="B753" s="356" t="s">
        <v>1680</v>
      </c>
      <c r="C753" s="394">
        <v>376.7</v>
      </c>
      <c r="D753" s="394">
        <v>408</v>
      </c>
      <c r="H753" s="357" t="s">
        <v>1681</v>
      </c>
      <c r="K753" s="370">
        <f>K751/40</f>
        <v>24.134499999999999</v>
      </c>
      <c r="M753" s="461">
        <v>0.872</v>
      </c>
      <c r="N753" s="356" t="s">
        <v>107</v>
      </c>
      <c r="O753" s="356" t="s">
        <v>1623</v>
      </c>
      <c r="P753" s="370">
        <f>C785</f>
        <v>387.4</v>
      </c>
      <c r="Q753" s="356" t="s">
        <v>107</v>
      </c>
      <c r="R753" s="370">
        <f t="shared" si="106"/>
        <v>337.81279999999998</v>
      </c>
      <c r="W753" s="361"/>
      <c r="X753" s="369">
        <f t="shared" si="104"/>
        <v>10613.533483350002</v>
      </c>
      <c r="Y753" s="369"/>
      <c r="AG753" s="395" t="str">
        <f t="shared" si="105"/>
        <v>|</v>
      </c>
      <c r="AI753" s="356" t="s">
        <v>1256</v>
      </c>
    </row>
    <row r="754" spans="1:35" ht="15.75">
      <c r="A754" s="382">
        <f t="shared" si="97"/>
        <v>549</v>
      </c>
      <c r="B754" s="356" t="s">
        <v>1682</v>
      </c>
      <c r="C754" s="394">
        <v>769</v>
      </c>
      <c r="D754" s="385" t="s">
        <v>245</v>
      </c>
      <c r="K754" s="363" t="s">
        <v>117</v>
      </c>
      <c r="M754" s="461">
        <v>1.3247</v>
      </c>
      <c r="N754" s="356" t="s">
        <v>107</v>
      </c>
      <c r="O754" s="356" t="s">
        <v>989</v>
      </c>
      <c r="P754" s="370">
        <f>C31</f>
        <v>1844.3999999999999</v>
      </c>
      <c r="Q754" s="356" t="s">
        <v>107</v>
      </c>
      <c r="R754" s="370">
        <f t="shared" si="106"/>
        <v>2443.2766799999999</v>
      </c>
      <c r="W754" s="361"/>
      <c r="X754" s="369">
        <f t="shared" si="104"/>
        <v>10699.933483350002</v>
      </c>
      <c r="Y754" s="369"/>
      <c r="AG754" s="395" t="str">
        <f t="shared" si="105"/>
        <v>|</v>
      </c>
      <c r="AI754" s="356" t="s">
        <v>1256</v>
      </c>
    </row>
    <row r="755" spans="1:35" ht="15.75">
      <c r="A755" s="382">
        <f t="shared" si="97"/>
        <v>550</v>
      </c>
      <c r="B755" s="385" t="s">
        <v>1683</v>
      </c>
      <c r="C755" s="402">
        <v>210</v>
      </c>
      <c r="D755" s="385" t="s">
        <v>245</v>
      </c>
      <c r="H755" s="356" t="s">
        <v>1684</v>
      </c>
      <c r="M755" s="370">
        <v>1</v>
      </c>
      <c r="N755" s="356" t="s">
        <v>151</v>
      </c>
      <c r="O755" s="356" t="s">
        <v>1625</v>
      </c>
      <c r="P755" s="370">
        <f>C301</f>
        <v>10.5</v>
      </c>
      <c r="Q755" s="356" t="s">
        <v>151</v>
      </c>
      <c r="R755" s="370">
        <f t="shared" si="106"/>
        <v>10.5</v>
      </c>
      <c r="W755" s="361"/>
      <c r="X755" s="369">
        <f t="shared" si="104"/>
        <v>11622.733483350001</v>
      </c>
      <c r="Y755" s="369"/>
      <c r="AG755" s="395" t="str">
        <f t="shared" si="105"/>
        <v>|</v>
      </c>
      <c r="AI755" s="356" t="s">
        <v>1256</v>
      </c>
    </row>
    <row r="756" spans="1:35" ht="15.75">
      <c r="A756" s="382">
        <f t="shared" si="97"/>
        <v>551</v>
      </c>
      <c r="B756" s="356" t="s">
        <v>1685</v>
      </c>
      <c r="C756" s="394">
        <v>1462</v>
      </c>
      <c r="D756" s="385" t="s">
        <v>107</v>
      </c>
      <c r="H756" s="356" t="s">
        <v>1686</v>
      </c>
      <c r="M756" s="370">
        <v>3</v>
      </c>
      <c r="N756" s="356" t="s">
        <v>151</v>
      </c>
      <c r="O756" s="356" t="s">
        <v>1687</v>
      </c>
      <c r="P756" s="370">
        <f>C296</f>
        <v>5.75</v>
      </c>
      <c r="Q756" s="356" t="s">
        <v>151</v>
      </c>
      <c r="R756" s="370">
        <f t="shared" si="106"/>
        <v>17.25</v>
      </c>
      <c r="W756" s="361"/>
      <c r="AG756" s="395" t="str">
        <f t="shared" si="105"/>
        <v>|</v>
      </c>
      <c r="AI756" s="356" t="s">
        <v>1256</v>
      </c>
    </row>
    <row r="757" spans="1:35" ht="15.75">
      <c r="A757" s="382">
        <f t="shared" si="97"/>
        <v>552</v>
      </c>
      <c r="B757" s="385" t="s">
        <v>1688</v>
      </c>
      <c r="C757" s="396"/>
      <c r="D757" s="385" t="s">
        <v>114</v>
      </c>
      <c r="H757" s="356" t="s">
        <v>1689</v>
      </c>
      <c r="M757" s="370">
        <v>1</v>
      </c>
      <c r="N757" s="356" t="s">
        <v>151</v>
      </c>
      <c r="O757" s="356" t="s">
        <v>1690</v>
      </c>
      <c r="P757" s="370">
        <f>C304</f>
        <v>10</v>
      </c>
      <c r="Q757" s="356" t="s">
        <v>151</v>
      </c>
      <c r="R757" s="370">
        <f t="shared" si="106"/>
        <v>10</v>
      </c>
      <c r="W757" s="361"/>
      <c r="AG757" s="395" t="str">
        <f t="shared" si="105"/>
        <v>|</v>
      </c>
      <c r="AI757" s="356" t="s">
        <v>1256</v>
      </c>
    </row>
    <row r="758" spans="1:35" ht="15.75">
      <c r="A758" s="382">
        <f t="shared" si="97"/>
        <v>553</v>
      </c>
      <c r="B758" s="385" t="s">
        <v>1691</v>
      </c>
      <c r="C758" s="396"/>
      <c r="D758" s="396"/>
      <c r="M758" s="370">
        <v>1</v>
      </c>
      <c r="N758" s="356" t="s">
        <v>151</v>
      </c>
      <c r="O758" s="356" t="s">
        <v>993</v>
      </c>
      <c r="P758" s="370">
        <f>C305</f>
        <v>4</v>
      </c>
      <c r="Q758" s="356" t="s">
        <v>151</v>
      </c>
      <c r="R758" s="370">
        <f t="shared" si="106"/>
        <v>4</v>
      </c>
      <c r="W758" s="361"/>
      <c r="AG758" s="395" t="str">
        <f t="shared" si="105"/>
        <v>|</v>
      </c>
      <c r="AI758" s="356" t="s">
        <v>1256</v>
      </c>
    </row>
    <row r="759" spans="1:35" ht="15.75">
      <c r="A759" s="382">
        <f t="shared" si="97"/>
        <v>554</v>
      </c>
      <c r="B759" s="385" t="s">
        <v>1692</v>
      </c>
      <c r="C759" s="384">
        <v>300</v>
      </c>
      <c r="D759" s="385" t="s">
        <v>1693</v>
      </c>
      <c r="F759" s="370">
        <v>19</v>
      </c>
      <c r="G759" s="368" t="s">
        <v>192</v>
      </c>
      <c r="H759" s="356" t="s">
        <v>1694</v>
      </c>
      <c r="I759" s="407">
        <f>K753</f>
        <v>24.134499999999999</v>
      </c>
      <c r="J759" s="356" t="s">
        <v>1695</v>
      </c>
      <c r="K759" s="370">
        <f>(F759*I759)</f>
        <v>458.55549999999999</v>
      </c>
      <c r="N759" s="356" t="s">
        <v>128</v>
      </c>
      <c r="O759" s="356" t="s">
        <v>129</v>
      </c>
      <c r="Q759" s="356" t="s">
        <v>128</v>
      </c>
      <c r="R759" s="370">
        <v>0</v>
      </c>
      <c r="W759" s="361"/>
      <c r="AG759" s="395" t="str">
        <f t="shared" si="105"/>
        <v>|</v>
      </c>
      <c r="AI759" s="356" t="s">
        <v>1256</v>
      </c>
    </row>
    <row r="760" spans="1:35" ht="15.75">
      <c r="A760" s="382">
        <f t="shared" si="97"/>
        <v>555</v>
      </c>
      <c r="B760" s="503" t="s">
        <v>1696</v>
      </c>
      <c r="C760" s="384">
        <v>302</v>
      </c>
      <c r="D760" s="385" t="s">
        <v>1693</v>
      </c>
      <c r="H760" s="356" t="s">
        <v>1697</v>
      </c>
      <c r="R760" s="363" t="s">
        <v>117</v>
      </c>
      <c r="W760" s="361"/>
      <c r="AG760" s="395" t="str">
        <f t="shared" si="105"/>
        <v>|</v>
      </c>
      <c r="AI760" s="356" t="s">
        <v>1256</v>
      </c>
    </row>
    <row r="761" spans="1:35" ht="15.75">
      <c r="A761" s="382">
        <f t="shared" si="97"/>
        <v>556</v>
      </c>
      <c r="B761" s="385" t="s">
        <v>1698</v>
      </c>
      <c r="C761" s="384">
        <v>382</v>
      </c>
      <c r="D761" s="385" t="s">
        <v>1693</v>
      </c>
      <c r="F761" s="370">
        <v>0.12</v>
      </c>
      <c r="G761" s="368" t="s">
        <v>793</v>
      </c>
      <c r="H761" s="356" t="s">
        <v>1699</v>
      </c>
      <c r="I761" s="370">
        <f>C271/5</f>
        <v>3100</v>
      </c>
      <c r="J761" s="356" t="s">
        <v>1695</v>
      </c>
      <c r="K761" s="370">
        <f t="shared" ref="K761:K768" si="107">(F761*I761)</f>
        <v>372</v>
      </c>
      <c r="O761" s="357" t="s">
        <v>1700</v>
      </c>
      <c r="R761" s="370">
        <f>SUM(R752:R759)</f>
        <v>3637.47732</v>
      </c>
      <c r="W761" s="361"/>
      <c r="AG761" s="395" t="str">
        <f t="shared" si="105"/>
        <v>|</v>
      </c>
      <c r="AI761" s="356" t="s">
        <v>1256</v>
      </c>
    </row>
    <row r="762" spans="1:35" ht="15.75">
      <c r="A762" s="382">
        <f t="shared" si="97"/>
        <v>557</v>
      </c>
      <c r="B762" s="385" t="s">
        <v>1701</v>
      </c>
      <c r="C762" s="384">
        <v>140</v>
      </c>
      <c r="D762" s="385" t="s">
        <v>1693</v>
      </c>
      <c r="F762" s="370">
        <v>98.5</v>
      </c>
      <c r="G762" s="368" t="s">
        <v>31</v>
      </c>
      <c r="H762" s="356" t="s">
        <v>1702</v>
      </c>
      <c r="I762" s="370">
        <f>C272/5</f>
        <v>5.04</v>
      </c>
      <c r="J762" s="356" t="s">
        <v>1695</v>
      </c>
      <c r="K762" s="370">
        <f t="shared" si="107"/>
        <v>496.44</v>
      </c>
      <c r="R762" s="363" t="s">
        <v>117</v>
      </c>
      <c r="T762" s="411">
        <v>4.2</v>
      </c>
      <c r="U762" s="411" t="s">
        <v>1703</v>
      </c>
      <c r="W762" s="361"/>
      <c r="AG762" s="395" t="str">
        <f t="shared" si="105"/>
        <v>|</v>
      </c>
      <c r="AI762" s="356" t="s">
        <v>1256</v>
      </c>
    </row>
    <row r="763" spans="1:35" ht="15.75">
      <c r="A763" s="382">
        <f t="shared" si="97"/>
        <v>558</v>
      </c>
      <c r="B763" s="385" t="s">
        <v>1704</v>
      </c>
      <c r="C763" s="384">
        <v>222</v>
      </c>
      <c r="D763" s="385" t="s">
        <v>1693</v>
      </c>
      <c r="F763" s="370">
        <v>1</v>
      </c>
      <c r="G763" s="368" t="s">
        <v>128</v>
      </c>
      <c r="H763" s="356" t="s">
        <v>1705</v>
      </c>
      <c r="I763" s="459">
        <v>11</v>
      </c>
      <c r="J763" s="356" t="s">
        <v>128</v>
      </c>
      <c r="K763" s="370">
        <f t="shared" si="107"/>
        <v>11</v>
      </c>
      <c r="O763" s="357" t="s">
        <v>177</v>
      </c>
      <c r="R763" s="370">
        <f>R761/1.3247</f>
        <v>2745.8876122895749</v>
      </c>
      <c r="S763" s="36">
        <v>5</v>
      </c>
      <c r="T763" s="35" t="s">
        <v>405</v>
      </c>
      <c r="U763" s="35" t="s">
        <v>1535</v>
      </c>
      <c r="V763" s="35">
        <f>V677</f>
        <v>1879.28</v>
      </c>
      <c r="W763" s="361"/>
      <c r="X763" s="35">
        <f t="shared" ref="X763:X770" si="108">V763*S763</f>
        <v>9396.4</v>
      </c>
      <c r="AG763" s="395" t="str">
        <f t="shared" si="105"/>
        <v>|</v>
      </c>
      <c r="AI763" s="356" t="s">
        <v>1256</v>
      </c>
    </row>
    <row r="764" spans="1:35" ht="15.75">
      <c r="A764" s="382">
        <f t="shared" si="97"/>
        <v>559</v>
      </c>
      <c r="B764" s="385" t="s">
        <v>1706</v>
      </c>
      <c r="C764" s="384">
        <v>505</v>
      </c>
      <c r="D764" s="385" t="s">
        <v>1693</v>
      </c>
      <c r="F764" s="370">
        <v>3.8</v>
      </c>
      <c r="G764" s="368" t="s">
        <v>292</v>
      </c>
      <c r="H764" s="356" t="s">
        <v>1707</v>
      </c>
      <c r="I764" s="370">
        <f>C16</f>
        <v>1171.2</v>
      </c>
      <c r="J764" s="356" t="s">
        <v>194</v>
      </c>
      <c r="K764" s="370">
        <f t="shared" si="107"/>
        <v>4450.5600000000004</v>
      </c>
      <c r="R764" s="363" t="s">
        <v>156</v>
      </c>
      <c r="S764" s="36">
        <v>3.3</v>
      </c>
      <c r="T764" s="35" t="s">
        <v>405</v>
      </c>
      <c r="U764" s="35" t="s">
        <v>1539</v>
      </c>
      <c r="V764" s="35">
        <f t="shared" ref="V764:V770" si="109">V678</f>
        <v>1589.28</v>
      </c>
      <c r="W764" s="361"/>
      <c r="X764" s="35">
        <f t="shared" si="108"/>
        <v>5244.6239999999998</v>
      </c>
      <c r="AG764" s="395" t="str">
        <f t="shared" si="105"/>
        <v>|</v>
      </c>
      <c r="AI764" s="356" t="s">
        <v>1256</v>
      </c>
    </row>
    <row r="765" spans="1:35" ht="15.75">
      <c r="A765" s="382">
        <f t="shared" si="97"/>
        <v>560</v>
      </c>
      <c r="B765" s="385" t="s">
        <v>1708</v>
      </c>
      <c r="C765" s="381">
        <v>272.2</v>
      </c>
      <c r="D765" s="385" t="s">
        <v>245</v>
      </c>
      <c r="F765" s="370">
        <v>5.4</v>
      </c>
      <c r="G765" s="368" t="s">
        <v>292</v>
      </c>
      <c r="H765" s="356" t="s">
        <v>1383</v>
      </c>
      <c r="I765" s="370">
        <f>C12</f>
        <v>781.19999999999993</v>
      </c>
      <c r="J765" s="356" t="s">
        <v>194</v>
      </c>
      <c r="K765" s="370">
        <f t="shared" si="107"/>
        <v>4218.4799999999996</v>
      </c>
      <c r="N765" s="356" t="s">
        <v>122</v>
      </c>
      <c r="S765" s="36">
        <v>4.79</v>
      </c>
      <c r="T765" s="35" t="s">
        <v>405</v>
      </c>
      <c r="U765" s="35" t="s">
        <v>1541</v>
      </c>
      <c r="V765" s="35">
        <f t="shared" si="109"/>
        <v>1779.13</v>
      </c>
      <c r="W765" s="361"/>
      <c r="X765" s="35">
        <f t="shared" si="108"/>
        <v>8522.0326999999997</v>
      </c>
      <c r="AG765" s="395" t="str">
        <f t="shared" si="105"/>
        <v>|</v>
      </c>
      <c r="AI765" s="356" t="s">
        <v>1256</v>
      </c>
    </row>
    <row r="766" spans="1:35" ht="15.75">
      <c r="A766" s="396" t="s">
        <v>1709</v>
      </c>
      <c r="B766" s="385" t="s">
        <v>1710</v>
      </c>
      <c r="C766" s="394">
        <v>1020</v>
      </c>
      <c r="D766" s="385" t="s">
        <v>245</v>
      </c>
      <c r="F766" s="370">
        <v>1</v>
      </c>
      <c r="G766" s="368" t="s">
        <v>292</v>
      </c>
      <c r="H766" s="356" t="s">
        <v>1711</v>
      </c>
      <c r="I766" s="370">
        <f>C66</f>
        <v>1027.2</v>
      </c>
      <c r="J766" s="356" t="s">
        <v>194</v>
      </c>
      <c r="K766" s="370">
        <f t="shared" si="107"/>
        <v>1027.2</v>
      </c>
      <c r="O766" s="356" t="s">
        <v>1712</v>
      </c>
      <c r="S766" s="36">
        <v>4.25</v>
      </c>
      <c r="T766" s="35" t="s">
        <v>443</v>
      </c>
      <c r="U766" s="35" t="s">
        <v>306</v>
      </c>
      <c r="V766" s="35">
        <f t="shared" si="109"/>
        <v>6372.14</v>
      </c>
      <c r="W766" s="361"/>
      <c r="X766" s="35">
        <f t="shared" si="108"/>
        <v>27081.595000000001</v>
      </c>
      <c r="AG766" s="395" t="str">
        <f t="shared" si="105"/>
        <v>|</v>
      </c>
      <c r="AI766" s="356" t="s">
        <v>1256</v>
      </c>
    </row>
    <row r="767" spans="1:35" ht="15.75">
      <c r="A767" s="382">
        <f>(A765+1)</f>
        <v>561</v>
      </c>
      <c r="B767" s="385" t="s">
        <v>1713</v>
      </c>
      <c r="C767" s="504">
        <v>43.3</v>
      </c>
      <c r="D767" s="385" t="s">
        <v>110</v>
      </c>
      <c r="F767" s="370">
        <v>1</v>
      </c>
      <c r="G767" s="368" t="s">
        <v>128</v>
      </c>
      <c r="H767" s="356" t="s">
        <v>1714</v>
      </c>
      <c r="I767" s="459">
        <v>10</v>
      </c>
      <c r="J767" s="356" t="s">
        <v>128</v>
      </c>
      <c r="K767" s="370">
        <f t="shared" si="107"/>
        <v>10</v>
      </c>
      <c r="O767" s="356" t="s">
        <v>1715</v>
      </c>
      <c r="S767" s="36">
        <v>40</v>
      </c>
      <c r="T767" s="35" t="s">
        <v>213</v>
      </c>
      <c r="U767" s="35" t="s">
        <v>1547</v>
      </c>
      <c r="V767" s="35">
        <f t="shared" si="109"/>
        <v>43.2</v>
      </c>
      <c r="W767" s="361"/>
      <c r="X767" s="35">
        <f t="shared" si="108"/>
        <v>1728</v>
      </c>
      <c r="AG767" s="395" t="str">
        <f t="shared" si="105"/>
        <v>|</v>
      </c>
      <c r="AI767" s="356" t="s">
        <v>1256</v>
      </c>
    </row>
    <row r="768" spans="1:35" ht="15.75">
      <c r="A768" s="382">
        <f t="shared" ref="A768:A785" si="110">(A767+1)</f>
        <v>562</v>
      </c>
      <c r="B768" s="385" t="s">
        <v>1716</v>
      </c>
      <c r="C768" s="504">
        <v>218</v>
      </c>
      <c r="D768" s="385" t="s">
        <v>245</v>
      </c>
      <c r="F768" s="370">
        <v>19</v>
      </c>
      <c r="G768" s="368" t="s">
        <v>192</v>
      </c>
      <c r="H768" s="356" t="s">
        <v>1717</v>
      </c>
      <c r="I768" s="459">
        <v>2</v>
      </c>
      <c r="J768" s="356" t="s">
        <v>192</v>
      </c>
      <c r="K768" s="370">
        <f t="shared" si="107"/>
        <v>38</v>
      </c>
      <c r="O768" s="356" t="s">
        <v>1718</v>
      </c>
      <c r="S768" s="36">
        <v>3.5</v>
      </c>
      <c r="T768" s="35" t="s">
        <v>192</v>
      </c>
      <c r="U768" s="35" t="s">
        <v>1551</v>
      </c>
      <c r="V768" s="35">
        <f t="shared" si="109"/>
        <v>1118.3999999999999</v>
      </c>
      <c r="W768" s="361"/>
      <c r="X768" s="35">
        <f t="shared" si="108"/>
        <v>3914.3999999999996</v>
      </c>
      <c r="AG768" s="395" t="str">
        <f t="shared" si="105"/>
        <v>|</v>
      </c>
      <c r="AI768" s="356" t="s">
        <v>1256</v>
      </c>
    </row>
    <row r="769" spans="1:35" ht="15.75">
      <c r="A769" s="382">
        <f t="shared" si="110"/>
        <v>563</v>
      </c>
      <c r="B769" s="385" t="s">
        <v>1719</v>
      </c>
      <c r="C769" s="504">
        <v>926</v>
      </c>
      <c r="D769" s="385" t="s">
        <v>245</v>
      </c>
      <c r="H769" s="356" t="s">
        <v>1720</v>
      </c>
      <c r="K769" s="363" t="s">
        <v>117</v>
      </c>
      <c r="O769" s="356" t="s">
        <v>1721</v>
      </c>
      <c r="S769" s="36">
        <v>21.2</v>
      </c>
      <c r="T769" s="35" t="s">
        <v>192</v>
      </c>
      <c r="U769" s="35" t="s">
        <v>1554</v>
      </c>
      <c r="V769" s="35">
        <f t="shared" si="109"/>
        <v>781.19999999999993</v>
      </c>
      <c r="W769" s="361"/>
      <c r="X769" s="35">
        <f t="shared" si="108"/>
        <v>16561.439999999999</v>
      </c>
      <c r="AG769" s="395" t="str">
        <f t="shared" si="105"/>
        <v>|</v>
      </c>
      <c r="AI769" s="356" t="s">
        <v>1256</v>
      </c>
    </row>
    <row r="770" spans="1:35" ht="15.75">
      <c r="A770" s="382">
        <f t="shared" si="110"/>
        <v>564</v>
      </c>
      <c r="B770" s="385" t="s">
        <v>1722</v>
      </c>
      <c r="C770" s="504">
        <v>5.15</v>
      </c>
      <c r="D770" s="385" t="s">
        <v>110</v>
      </c>
      <c r="H770" s="357" t="s">
        <v>176</v>
      </c>
      <c r="K770" s="370">
        <f>SUM(K759:K768)+0.07</f>
        <v>11082.3055</v>
      </c>
      <c r="O770" s="363" t="s">
        <v>117</v>
      </c>
      <c r="S770" s="36">
        <v>35.299999999999997</v>
      </c>
      <c r="T770" s="35" t="s">
        <v>192</v>
      </c>
      <c r="U770" s="35" t="s">
        <v>1558</v>
      </c>
      <c r="V770" s="35">
        <f t="shared" si="109"/>
        <v>640.79999999999995</v>
      </c>
      <c r="W770" s="361"/>
      <c r="X770" s="35">
        <f t="shared" si="108"/>
        <v>22620.239999999998</v>
      </c>
      <c r="AG770" s="395" t="str">
        <f t="shared" si="105"/>
        <v>|</v>
      </c>
      <c r="AI770" s="356" t="s">
        <v>1256</v>
      </c>
    </row>
    <row r="771" spans="1:35" ht="15.75">
      <c r="A771" s="382">
        <f t="shared" si="110"/>
        <v>565</v>
      </c>
      <c r="B771" s="385" t="s">
        <v>1723</v>
      </c>
      <c r="C771" s="504">
        <v>550</v>
      </c>
      <c r="D771" s="385" t="s">
        <v>245</v>
      </c>
      <c r="K771" s="363" t="s">
        <v>117</v>
      </c>
      <c r="U771" s="411" t="s">
        <v>1560</v>
      </c>
      <c r="W771" s="361"/>
      <c r="X771" s="411">
        <f>SUM(X763:X770)</f>
        <v>95068.731700000004</v>
      </c>
      <c r="Y771" s="411"/>
      <c r="AG771" s="395" t="str">
        <f t="shared" si="105"/>
        <v>|</v>
      </c>
      <c r="AI771" s="356" t="s">
        <v>1256</v>
      </c>
    </row>
    <row r="772" spans="1:35" ht="15.75">
      <c r="A772" s="382">
        <f t="shared" si="110"/>
        <v>566</v>
      </c>
      <c r="B772" s="385" t="s">
        <v>1724</v>
      </c>
      <c r="C772" s="504">
        <v>286</v>
      </c>
      <c r="D772" s="385" t="s">
        <v>245</v>
      </c>
      <c r="H772" s="357" t="s">
        <v>177</v>
      </c>
      <c r="K772" s="370">
        <f>(K770/10)</f>
        <v>1108.23055</v>
      </c>
      <c r="O772" s="356" t="s">
        <v>1725</v>
      </c>
      <c r="R772" s="370">
        <f>(C725)</f>
        <v>1183.82</v>
      </c>
      <c r="U772" s="411" t="s">
        <v>1562</v>
      </c>
      <c r="W772" s="361"/>
      <c r="X772" s="411">
        <f>X771/10</f>
        <v>9506.8731700000008</v>
      </c>
      <c r="Y772" s="411"/>
      <c r="AG772" s="395" t="str">
        <f t="shared" si="105"/>
        <v>|</v>
      </c>
      <c r="AI772" s="356" t="s">
        <v>1256</v>
      </c>
    </row>
    <row r="773" spans="1:35" ht="15.75">
      <c r="A773" s="382">
        <f t="shared" si="110"/>
        <v>567</v>
      </c>
      <c r="B773" s="385" t="s">
        <v>1726</v>
      </c>
      <c r="C773" s="504">
        <v>96.3</v>
      </c>
      <c r="D773" s="385" t="s">
        <v>110</v>
      </c>
      <c r="F773" s="356" t="s">
        <v>114</v>
      </c>
      <c r="R773" s="363" t="s">
        <v>156</v>
      </c>
      <c r="S773" s="36">
        <v>1</v>
      </c>
      <c r="T773" s="35" t="s">
        <v>405</v>
      </c>
      <c r="U773" s="35" t="s">
        <v>1566</v>
      </c>
      <c r="V773" s="35">
        <f>V809</f>
        <v>113.04</v>
      </c>
      <c r="W773" s="361"/>
      <c r="X773" s="35">
        <f>V773</f>
        <v>113.04</v>
      </c>
      <c r="AG773" s="395" t="str">
        <f t="shared" si="105"/>
        <v>|</v>
      </c>
      <c r="AI773" s="356" t="s">
        <v>1256</v>
      </c>
    </row>
    <row r="774" spans="1:35" ht="15.75">
      <c r="A774" s="382">
        <f t="shared" si="110"/>
        <v>568</v>
      </c>
      <c r="B774" s="385" t="s">
        <v>1727</v>
      </c>
      <c r="C774" s="504">
        <v>51</v>
      </c>
      <c r="D774" s="385" t="s">
        <v>245</v>
      </c>
      <c r="K774" s="363" t="s">
        <v>156</v>
      </c>
      <c r="U774" s="35" t="s">
        <v>1568</v>
      </c>
      <c r="W774" s="361"/>
      <c r="X774" s="411">
        <f>SUM(X772:X773)</f>
        <v>9619.9131700000016</v>
      </c>
      <c r="Y774" s="411"/>
      <c r="AG774" s="395" t="str">
        <f t="shared" si="105"/>
        <v>|</v>
      </c>
      <c r="AI774" s="356" t="s">
        <v>1256</v>
      </c>
    </row>
    <row r="775" spans="1:35" ht="15.75">
      <c r="A775" s="382">
        <f t="shared" si="110"/>
        <v>569</v>
      </c>
      <c r="B775" s="385" t="s">
        <v>1728</v>
      </c>
      <c r="C775" s="504">
        <v>181</v>
      </c>
      <c r="D775" s="385" t="s">
        <v>1431</v>
      </c>
      <c r="F775" s="357" t="s">
        <v>735</v>
      </c>
      <c r="G775" s="368" t="s">
        <v>122</v>
      </c>
      <c r="H775" s="356" t="s">
        <v>1729</v>
      </c>
      <c r="N775" s="356" t="s">
        <v>122</v>
      </c>
      <c r="O775" s="356" t="s">
        <v>1730</v>
      </c>
      <c r="S775" s="501" t="s">
        <v>265</v>
      </c>
      <c r="U775" s="35" t="s">
        <v>1570</v>
      </c>
      <c r="V775" s="501" t="s">
        <v>265</v>
      </c>
      <c r="W775" s="361"/>
      <c r="X775" s="35">
        <f>X774*0.5%</f>
        <v>48.099565850000012</v>
      </c>
      <c r="AG775" s="395" t="str">
        <f t="shared" si="105"/>
        <v>|</v>
      </c>
      <c r="AI775" s="356" t="s">
        <v>1256</v>
      </c>
    </row>
    <row r="776" spans="1:35" ht="15.75">
      <c r="A776" s="382">
        <f t="shared" si="110"/>
        <v>570</v>
      </c>
      <c r="B776" s="385" t="s">
        <v>1731</v>
      </c>
      <c r="C776" s="504">
        <v>36.200000000000003</v>
      </c>
      <c r="D776" s="385" t="s">
        <v>110</v>
      </c>
      <c r="H776" s="356" t="s">
        <v>1732</v>
      </c>
      <c r="O776" s="363" t="s">
        <v>156</v>
      </c>
      <c r="P776" s="363" t="s">
        <v>156</v>
      </c>
      <c r="Q776" s="363" t="s">
        <v>156</v>
      </c>
      <c r="R776" s="356" t="s">
        <v>1733</v>
      </c>
      <c r="T776" s="358"/>
      <c r="U776" s="411" t="s">
        <v>1513</v>
      </c>
      <c r="W776" s="361"/>
      <c r="X776" s="369">
        <f>SUM(X774:X775)</f>
        <v>9668.0127358500013</v>
      </c>
      <c r="Y776" s="369"/>
      <c r="AG776" s="395" t="str">
        <f t="shared" si="105"/>
        <v>|</v>
      </c>
      <c r="AI776" s="356" t="s">
        <v>1256</v>
      </c>
    </row>
    <row r="777" spans="1:35" ht="15.75">
      <c r="A777" s="382">
        <f t="shared" si="110"/>
        <v>571</v>
      </c>
      <c r="B777" s="385" t="s">
        <v>1734</v>
      </c>
      <c r="C777" s="504">
        <v>98</v>
      </c>
      <c r="D777" s="385" t="s">
        <v>245</v>
      </c>
      <c r="H777" s="356" t="s">
        <v>1735</v>
      </c>
      <c r="O777" s="356" t="s">
        <v>1736</v>
      </c>
      <c r="Q777" s="357" t="s">
        <v>31</v>
      </c>
      <c r="R777" s="370">
        <f>(C728)</f>
        <v>147.6</v>
      </c>
      <c r="T777" s="358"/>
      <c r="W777" s="361"/>
      <c r="X777" s="363" t="s">
        <v>117</v>
      </c>
      <c r="Y777" s="363"/>
      <c r="AG777" s="395" t="str">
        <f t="shared" si="105"/>
        <v>|</v>
      </c>
      <c r="AI777" s="356" t="s">
        <v>1256</v>
      </c>
    </row>
    <row r="778" spans="1:35" ht="15.75">
      <c r="A778" s="382">
        <f t="shared" si="110"/>
        <v>572</v>
      </c>
      <c r="B778" s="385" t="s">
        <v>1737</v>
      </c>
      <c r="C778" s="504">
        <v>92</v>
      </c>
      <c r="D778" s="385" t="s">
        <v>110</v>
      </c>
      <c r="H778" s="363" t="s">
        <v>117</v>
      </c>
      <c r="O778" s="356" t="s">
        <v>1738</v>
      </c>
      <c r="T778" s="358"/>
      <c r="U778" s="356" t="s">
        <v>172</v>
      </c>
      <c r="W778" s="361"/>
      <c r="X778" s="369">
        <f>(X776+C22)</f>
        <v>9811.832735850001</v>
      </c>
      <c r="Y778" s="369"/>
      <c r="AG778" s="395" t="str">
        <f t="shared" si="105"/>
        <v>|::</v>
      </c>
      <c r="AI778" s="356" t="s">
        <v>1001</v>
      </c>
    </row>
    <row r="779" spans="1:35" ht="15.75">
      <c r="A779" s="382">
        <f t="shared" si="110"/>
        <v>573</v>
      </c>
      <c r="B779" s="385" t="s">
        <v>1739</v>
      </c>
      <c r="C779" s="504">
        <v>49.42</v>
      </c>
      <c r="D779" s="385" t="s">
        <v>245</v>
      </c>
      <c r="F779" s="370">
        <v>10</v>
      </c>
      <c r="G779" s="368" t="s">
        <v>107</v>
      </c>
      <c r="H779" s="356" t="s">
        <v>1740</v>
      </c>
      <c r="I779" s="370">
        <f>(K759)*1.2</f>
        <v>550.26659999999993</v>
      </c>
      <c r="J779" s="356" t="s">
        <v>1695</v>
      </c>
      <c r="K779" s="370">
        <f>(F779*I779)/10</f>
        <v>550.26659999999993</v>
      </c>
      <c r="O779" s="356" t="s">
        <v>1741</v>
      </c>
      <c r="T779" s="358"/>
      <c r="U779" s="356" t="s">
        <v>873</v>
      </c>
      <c r="W779" s="361"/>
      <c r="X779" s="369">
        <f>(X778+C24)</f>
        <v>10095.152735850001</v>
      </c>
      <c r="Y779" s="369"/>
      <c r="AG779" s="395">
        <f t="shared" si="105"/>
        <v>0</v>
      </c>
    </row>
    <row r="780" spans="1:35" ht="15.75">
      <c r="A780" s="382">
        <f t="shared" si="110"/>
        <v>574</v>
      </c>
      <c r="B780" s="385" t="s">
        <v>1742</v>
      </c>
      <c r="C780" s="504">
        <v>53.2</v>
      </c>
      <c r="D780" s="385" t="s">
        <v>245</v>
      </c>
      <c r="H780" s="356" t="s">
        <v>1743</v>
      </c>
      <c r="O780" s="356" t="s">
        <v>1744</v>
      </c>
      <c r="T780" s="358"/>
      <c r="U780" s="356" t="s">
        <v>876</v>
      </c>
      <c r="W780" s="361"/>
      <c r="X780" s="369">
        <f>(X779+C24)</f>
        <v>10378.47273585</v>
      </c>
      <c r="Y780" s="369"/>
      <c r="AG780" s="395">
        <f t="shared" si="105"/>
        <v>0</v>
      </c>
    </row>
    <row r="781" spans="1:35" ht="15.75">
      <c r="A781" s="382">
        <f t="shared" si="110"/>
        <v>575</v>
      </c>
      <c r="B781" s="385" t="s">
        <v>1745</v>
      </c>
      <c r="C781" s="504">
        <v>59</v>
      </c>
      <c r="D781" s="385" t="s">
        <v>245</v>
      </c>
      <c r="H781" s="356" t="s">
        <v>1746</v>
      </c>
      <c r="O781" s="356" t="s">
        <v>1747</v>
      </c>
      <c r="T781" s="358"/>
      <c r="U781" s="356" t="s">
        <v>878</v>
      </c>
      <c r="W781" s="361"/>
      <c r="X781" s="369">
        <f>(X780+C24)</f>
        <v>10661.79273585</v>
      </c>
      <c r="Y781" s="369"/>
      <c r="AG781" s="395" t="str">
        <f t="shared" si="105"/>
        <v>|</v>
      </c>
      <c r="AI781" s="356" t="s">
        <v>1256</v>
      </c>
    </row>
    <row r="782" spans="1:35" ht="15.75">
      <c r="A782" s="382">
        <f t="shared" si="110"/>
        <v>576</v>
      </c>
      <c r="B782" s="385" t="s">
        <v>1748</v>
      </c>
      <c r="C782" s="504">
        <v>100</v>
      </c>
      <c r="D782" s="385" t="s">
        <v>245</v>
      </c>
      <c r="F782" s="370">
        <v>10</v>
      </c>
      <c r="G782" s="368" t="s">
        <v>107</v>
      </c>
      <c r="H782" s="356" t="s">
        <v>1749</v>
      </c>
      <c r="I782" s="370">
        <f>K761*1.2</f>
        <v>446.4</v>
      </c>
      <c r="J782" s="356" t="s">
        <v>1695</v>
      </c>
      <c r="K782" s="370">
        <f>(F782*I782)/10</f>
        <v>446.4</v>
      </c>
      <c r="O782" s="356" t="s">
        <v>1750</v>
      </c>
      <c r="R782" s="356" t="s">
        <v>114</v>
      </c>
      <c r="T782" s="358"/>
      <c r="U782" s="356" t="s">
        <v>951</v>
      </c>
      <c r="W782" s="361"/>
      <c r="X782" s="369">
        <f>(X781+C$24)</f>
        <v>10945.11273585</v>
      </c>
      <c r="Y782" s="369"/>
      <c r="AG782" s="395">
        <f t="shared" si="105"/>
        <v>0</v>
      </c>
    </row>
    <row r="783" spans="1:35" ht="15.75">
      <c r="A783" s="382">
        <f t="shared" si="110"/>
        <v>577</v>
      </c>
      <c r="B783" s="385" t="s">
        <v>1751</v>
      </c>
      <c r="C783" s="504">
        <v>49.52</v>
      </c>
      <c r="D783" s="385" t="s">
        <v>110</v>
      </c>
      <c r="H783" s="356" t="s">
        <v>1752</v>
      </c>
      <c r="O783" s="356" t="s">
        <v>114</v>
      </c>
      <c r="W783" s="361"/>
      <c r="X783" s="369">
        <f>(X782+C$24)</f>
        <v>11228.43273585</v>
      </c>
      <c r="Y783" s="369"/>
      <c r="AG783" s="395" t="str">
        <f t="shared" si="105"/>
        <v>|</v>
      </c>
      <c r="AI783" s="356" t="s">
        <v>1256</v>
      </c>
    </row>
    <row r="784" spans="1:35" ht="15.75">
      <c r="A784" s="382">
        <f t="shared" si="110"/>
        <v>578</v>
      </c>
      <c r="B784" s="385" t="s">
        <v>1753</v>
      </c>
      <c r="C784" s="504">
        <v>1080</v>
      </c>
      <c r="D784" s="385" t="s">
        <v>245</v>
      </c>
      <c r="H784" s="356" t="s">
        <v>1754</v>
      </c>
      <c r="W784" s="361"/>
      <c r="X784" s="369">
        <f>(X783+C$24)</f>
        <v>11511.752735849999</v>
      </c>
      <c r="Y784" s="369"/>
      <c r="AG784" s="395" t="str">
        <f t="shared" si="105"/>
        <v>|</v>
      </c>
      <c r="AI784" s="356" t="s">
        <v>1256</v>
      </c>
    </row>
    <row r="785" spans="1:35" ht="15.75">
      <c r="A785" s="382">
        <f t="shared" si="110"/>
        <v>579</v>
      </c>
      <c r="B785" s="385" t="s">
        <v>1755</v>
      </c>
      <c r="C785" s="402">
        <v>387.4</v>
      </c>
      <c r="D785" s="385" t="s">
        <v>107</v>
      </c>
      <c r="F785" s="370">
        <v>98.5</v>
      </c>
      <c r="G785" s="368" t="s">
        <v>31</v>
      </c>
      <c r="H785" s="356" t="s">
        <v>1702</v>
      </c>
      <c r="I785" s="370">
        <f>C272/5</f>
        <v>5.04</v>
      </c>
      <c r="J785" s="356" t="s">
        <v>1695</v>
      </c>
      <c r="K785" s="370">
        <f t="shared" ref="K785:K791" si="111">(F785*I785)</f>
        <v>496.44</v>
      </c>
      <c r="N785" s="356" t="s">
        <v>122</v>
      </c>
      <c r="O785" s="356" t="s">
        <v>1756</v>
      </c>
      <c r="Q785" s="357" t="s">
        <v>262</v>
      </c>
      <c r="R785" s="370">
        <f>(C732)</f>
        <v>1250</v>
      </c>
      <c r="W785" s="361"/>
      <c r="X785" s="369">
        <f>(X784+C$24)</f>
        <v>11795.072735849999</v>
      </c>
      <c r="Y785" s="369"/>
      <c r="AG785" s="395" t="str">
        <f t="shared" si="105"/>
        <v>|</v>
      </c>
      <c r="AI785" s="356" t="s">
        <v>1256</v>
      </c>
    </row>
    <row r="786" spans="1:35" ht="15.75">
      <c r="A786" s="382" t="e">
        <f>(#REF!+1)</f>
        <v>#REF!</v>
      </c>
      <c r="B786" s="385" t="s">
        <v>1691</v>
      </c>
      <c r="C786" s="396"/>
      <c r="D786" s="396"/>
      <c r="F786" s="370">
        <v>3.8</v>
      </c>
      <c r="G786" s="368" t="s">
        <v>223</v>
      </c>
      <c r="H786" s="356" t="s">
        <v>1634</v>
      </c>
      <c r="I786" s="370">
        <f>(C16)</f>
        <v>1171.2</v>
      </c>
      <c r="J786" s="356" t="s">
        <v>223</v>
      </c>
      <c r="K786" s="370">
        <f t="shared" si="111"/>
        <v>4450.5600000000004</v>
      </c>
      <c r="O786" s="356" t="s">
        <v>1757</v>
      </c>
      <c r="W786" s="361"/>
      <c r="AG786" s="395" t="str">
        <f t="shared" si="105"/>
        <v>|</v>
      </c>
      <c r="AI786" s="356" t="s">
        <v>1256</v>
      </c>
    </row>
    <row r="787" spans="1:35" ht="15.75">
      <c r="A787" s="382"/>
      <c r="B787" s="385" t="s">
        <v>1692</v>
      </c>
      <c r="C787" s="384">
        <v>300</v>
      </c>
      <c r="D787" s="396"/>
      <c r="F787" s="370">
        <v>5.4</v>
      </c>
      <c r="G787" s="368" t="s">
        <v>223</v>
      </c>
      <c r="H787" s="356" t="s">
        <v>153</v>
      </c>
      <c r="I787" s="370">
        <f>(C12)</f>
        <v>781.19999999999993</v>
      </c>
      <c r="J787" s="356" t="s">
        <v>223</v>
      </c>
      <c r="K787" s="370">
        <f t="shared" si="111"/>
        <v>4218.4799999999996</v>
      </c>
      <c r="O787" s="356" t="s">
        <v>1758</v>
      </c>
      <c r="W787" s="361"/>
      <c r="AG787" s="395" t="str">
        <f t="shared" si="105"/>
        <v>|</v>
      </c>
      <c r="AI787" s="356" t="s">
        <v>1256</v>
      </c>
    </row>
    <row r="788" spans="1:35" ht="15.75">
      <c r="A788" s="382"/>
      <c r="B788" s="503" t="s">
        <v>1696</v>
      </c>
      <c r="C788" s="384">
        <v>302</v>
      </c>
      <c r="D788" s="396"/>
      <c r="F788" s="370">
        <v>1</v>
      </c>
      <c r="G788" s="368" t="s">
        <v>223</v>
      </c>
      <c r="H788" s="356" t="s">
        <v>1711</v>
      </c>
      <c r="I788" s="370">
        <f>C66</f>
        <v>1027.2</v>
      </c>
      <c r="J788" s="356" t="s">
        <v>194</v>
      </c>
      <c r="K788" s="370">
        <f t="shared" si="111"/>
        <v>1027.2</v>
      </c>
      <c r="O788" s="356" t="s">
        <v>1759</v>
      </c>
      <c r="W788" s="361"/>
      <c r="AG788" s="395" t="str">
        <f t="shared" si="105"/>
        <v>|</v>
      </c>
      <c r="AI788" s="356" t="s">
        <v>1256</v>
      </c>
    </row>
    <row r="789" spans="1:35" ht="15.75">
      <c r="A789" s="382"/>
      <c r="B789" s="385" t="s">
        <v>1760</v>
      </c>
      <c r="C789" s="384">
        <v>324</v>
      </c>
      <c r="D789" s="396"/>
      <c r="F789" s="370">
        <v>1</v>
      </c>
      <c r="G789" s="368" t="s">
        <v>128</v>
      </c>
      <c r="H789" s="356" t="s">
        <v>1761</v>
      </c>
      <c r="I789" s="370">
        <f>I763</f>
        <v>11</v>
      </c>
      <c r="J789" s="356" t="s">
        <v>194</v>
      </c>
      <c r="K789" s="370">
        <f t="shared" si="111"/>
        <v>11</v>
      </c>
      <c r="W789" s="361"/>
      <c r="AG789" s="395" t="str">
        <f t="shared" si="105"/>
        <v>|</v>
      </c>
      <c r="AI789" s="356" t="s">
        <v>1256</v>
      </c>
    </row>
    <row r="790" spans="1:35" ht="15.75">
      <c r="A790" s="382"/>
      <c r="B790" s="385" t="s">
        <v>1698</v>
      </c>
      <c r="C790" s="384">
        <v>382</v>
      </c>
      <c r="D790" s="396"/>
      <c r="F790" s="370">
        <v>1</v>
      </c>
      <c r="G790" s="368" t="s">
        <v>128</v>
      </c>
      <c r="H790" s="356" t="s">
        <v>1637</v>
      </c>
      <c r="I790" s="505">
        <v>10</v>
      </c>
      <c r="J790" s="356" t="s">
        <v>128</v>
      </c>
      <c r="K790" s="370">
        <f t="shared" si="111"/>
        <v>10</v>
      </c>
      <c r="N790" s="356" t="s">
        <v>122</v>
      </c>
      <c r="O790" s="356" t="s">
        <v>1762</v>
      </c>
      <c r="W790" s="361"/>
      <c r="AG790" s="395" t="str">
        <f t="shared" si="105"/>
        <v>|</v>
      </c>
      <c r="AI790" s="356" t="s">
        <v>1256</v>
      </c>
    </row>
    <row r="791" spans="1:35" ht="15.75">
      <c r="A791" s="382"/>
      <c r="B791" s="385" t="s">
        <v>1706</v>
      </c>
      <c r="C791" s="384">
        <v>505</v>
      </c>
      <c r="D791" s="396"/>
      <c r="F791" s="370">
        <v>19</v>
      </c>
      <c r="G791" s="368" t="s">
        <v>192</v>
      </c>
      <c r="H791" s="356" t="s">
        <v>1763</v>
      </c>
      <c r="I791" s="505">
        <v>2</v>
      </c>
      <c r="J791" s="360" t="s">
        <v>192</v>
      </c>
      <c r="K791" s="370">
        <f t="shared" si="111"/>
        <v>38</v>
      </c>
      <c r="O791" s="356" t="s">
        <v>1764</v>
      </c>
      <c r="R791" s="356" t="s">
        <v>114</v>
      </c>
      <c r="W791" s="361"/>
      <c r="AG791" s="395" t="str">
        <f t="shared" si="105"/>
        <v>|</v>
      </c>
      <c r="AI791" s="356" t="s">
        <v>1256</v>
      </c>
    </row>
    <row r="792" spans="1:35" ht="15.75">
      <c r="A792" s="382"/>
      <c r="B792" s="385" t="s">
        <v>1701</v>
      </c>
      <c r="C792" s="384">
        <v>140</v>
      </c>
      <c r="D792" s="396"/>
      <c r="H792" s="356" t="s">
        <v>1765</v>
      </c>
      <c r="O792" s="356" t="s">
        <v>1766</v>
      </c>
      <c r="W792" s="361"/>
      <c r="AG792" s="395" t="str">
        <f t="shared" si="105"/>
        <v>|</v>
      </c>
      <c r="AI792" s="356" t="s">
        <v>1256</v>
      </c>
    </row>
    <row r="793" spans="1:35" ht="15.75">
      <c r="A793" s="382"/>
      <c r="B793" s="385" t="s">
        <v>1704</v>
      </c>
      <c r="C793" s="384">
        <v>222</v>
      </c>
      <c r="D793" s="396"/>
      <c r="K793" s="363" t="s">
        <v>117</v>
      </c>
      <c r="O793" s="363" t="s">
        <v>117</v>
      </c>
      <c r="W793" s="361"/>
      <c r="AG793" s="395" t="str">
        <f t="shared" si="105"/>
        <v>|</v>
      </c>
      <c r="AI793" s="356" t="s">
        <v>1256</v>
      </c>
    </row>
    <row r="794" spans="1:35" ht="15.75">
      <c r="A794" s="382"/>
      <c r="B794" s="385" t="s">
        <v>1767</v>
      </c>
      <c r="C794" s="384">
        <v>100</v>
      </c>
      <c r="D794" s="396"/>
      <c r="H794" s="356" t="s">
        <v>176</v>
      </c>
      <c r="K794" s="370">
        <f>SUM(K779:K792)</f>
        <v>11248.346600000001</v>
      </c>
      <c r="N794" s="356" t="s">
        <v>478</v>
      </c>
      <c r="O794" s="356" t="s">
        <v>1768</v>
      </c>
      <c r="P794" s="370">
        <f>(C274)</f>
        <v>306.89999999999998</v>
      </c>
      <c r="Q794" s="356" t="s">
        <v>478</v>
      </c>
      <c r="R794" s="370">
        <f>M794*P794</f>
        <v>0</v>
      </c>
      <c r="W794" s="361"/>
      <c r="AG794" s="395" t="str">
        <f t="shared" si="105"/>
        <v>|</v>
      </c>
      <c r="AI794" s="356" t="s">
        <v>1256</v>
      </c>
    </row>
    <row r="795" spans="1:35" ht="15.75">
      <c r="A795" s="382"/>
      <c r="B795" s="385" t="s">
        <v>1769</v>
      </c>
      <c r="C795" s="384">
        <v>75</v>
      </c>
      <c r="D795" s="396"/>
      <c r="K795" s="363" t="s">
        <v>117</v>
      </c>
      <c r="R795" s="370"/>
      <c r="W795" s="361"/>
      <c r="AG795" s="395" t="str">
        <f t="shared" si="105"/>
        <v>|</v>
      </c>
      <c r="AI795" s="356" t="s">
        <v>1256</v>
      </c>
    </row>
    <row r="796" spans="1:35" ht="15.75">
      <c r="A796" s="382"/>
      <c r="B796" s="385" t="s">
        <v>1770</v>
      </c>
      <c r="C796" s="384">
        <v>218</v>
      </c>
      <c r="D796" s="396"/>
      <c r="H796" s="356" t="s">
        <v>177</v>
      </c>
      <c r="K796" s="370">
        <f>(K794/10)</f>
        <v>1124.83466</v>
      </c>
      <c r="N796" s="356" t="s">
        <v>1771</v>
      </c>
      <c r="O796" s="356" t="s">
        <v>1772</v>
      </c>
      <c r="P796" s="370">
        <f>(C16)</f>
        <v>1171.2</v>
      </c>
      <c r="Q796" s="356" t="s">
        <v>1771</v>
      </c>
      <c r="R796" s="370">
        <f>M796*P796</f>
        <v>0</v>
      </c>
      <c r="W796" s="361"/>
      <c r="AG796" s="395" t="str">
        <f t="shared" si="105"/>
        <v>|</v>
      </c>
      <c r="AI796" s="356" t="s">
        <v>1256</v>
      </c>
    </row>
    <row r="797" spans="1:35" ht="15.75">
      <c r="A797" s="382"/>
      <c r="B797" s="385" t="s">
        <v>1773</v>
      </c>
      <c r="C797" s="384">
        <v>1854</v>
      </c>
      <c r="D797" s="396"/>
      <c r="K797" s="363" t="s">
        <v>156</v>
      </c>
      <c r="R797" s="370"/>
      <c r="W797" s="361"/>
      <c r="AG797" s="395" t="str">
        <f t="shared" si="105"/>
        <v>|</v>
      </c>
      <c r="AI797" s="356" t="s">
        <v>1256</v>
      </c>
    </row>
    <row r="798" spans="1:35" ht="15.75">
      <c r="A798" s="382"/>
      <c r="B798" s="385" t="s">
        <v>365</v>
      </c>
      <c r="C798" s="384">
        <v>51</v>
      </c>
      <c r="D798" s="396"/>
      <c r="O798" s="356" t="s">
        <v>1774</v>
      </c>
      <c r="P798" s="498" t="s">
        <v>128</v>
      </c>
      <c r="R798" s="370">
        <v>0.64</v>
      </c>
      <c r="W798" s="361"/>
      <c r="AG798" s="395" t="str">
        <f t="shared" si="105"/>
        <v>|</v>
      </c>
      <c r="AI798" s="356" t="s">
        <v>1256</v>
      </c>
    </row>
    <row r="799" spans="1:35" ht="15.75">
      <c r="A799" s="382"/>
      <c r="B799" s="385" t="s">
        <v>1775</v>
      </c>
      <c r="C799" s="384">
        <v>915</v>
      </c>
      <c r="D799" s="396"/>
      <c r="F799" s="357" t="s">
        <v>740</v>
      </c>
      <c r="G799" s="368" t="s">
        <v>122</v>
      </c>
      <c r="H799" s="356" t="s">
        <v>1729</v>
      </c>
      <c r="R799" s="363" t="s">
        <v>117</v>
      </c>
      <c r="W799" s="361"/>
      <c r="AG799" s="395" t="str">
        <f t="shared" si="105"/>
        <v>|</v>
      </c>
      <c r="AI799" s="356" t="s">
        <v>1256</v>
      </c>
    </row>
    <row r="800" spans="1:35" ht="15.75">
      <c r="A800" s="382"/>
      <c r="B800" s="385" t="s">
        <v>1776</v>
      </c>
      <c r="C800" s="384">
        <v>890</v>
      </c>
      <c r="D800" s="396"/>
      <c r="H800" s="356" t="s">
        <v>1732</v>
      </c>
      <c r="O800" s="356" t="s">
        <v>1777</v>
      </c>
      <c r="R800" s="370">
        <f>SUM(R794:R798)</f>
        <v>0.64</v>
      </c>
      <c r="W800" s="361"/>
      <c r="AG800" s="395" t="str">
        <f t="shared" si="105"/>
        <v>|</v>
      </c>
      <c r="AI800" s="356" t="s">
        <v>1256</v>
      </c>
    </row>
    <row r="801" spans="1:35" ht="15.75">
      <c r="A801" s="382"/>
      <c r="B801" s="385" t="s">
        <v>1778</v>
      </c>
      <c r="C801" s="384">
        <v>5.15</v>
      </c>
      <c r="D801" s="396"/>
      <c r="H801" s="356" t="s">
        <v>1779</v>
      </c>
      <c r="R801" s="363" t="s">
        <v>117</v>
      </c>
      <c r="U801" s="411" t="s">
        <v>1780</v>
      </c>
      <c r="W801" s="361"/>
      <c r="AG801" s="395" t="str">
        <f t="shared" si="105"/>
        <v>|</v>
      </c>
      <c r="AI801" s="356" t="s">
        <v>1256</v>
      </c>
    </row>
    <row r="802" spans="1:35" ht="15.75">
      <c r="A802" s="382"/>
      <c r="B802" s="385" t="s">
        <v>1781</v>
      </c>
      <c r="C802" s="384">
        <v>43.3</v>
      </c>
      <c r="D802" s="396"/>
      <c r="H802" s="363" t="s">
        <v>117</v>
      </c>
      <c r="O802" s="356" t="s">
        <v>1782</v>
      </c>
      <c r="R802" s="370">
        <f>(R800/0.4)</f>
        <v>1.5999999999999999</v>
      </c>
      <c r="S802" s="36">
        <v>0.443</v>
      </c>
      <c r="T802" s="35" t="s">
        <v>405</v>
      </c>
      <c r="U802" s="35" t="s">
        <v>1783</v>
      </c>
      <c r="V802" s="35">
        <f>AE14</f>
        <v>1879.28</v>
      </c>
      <c r="W802" s="361"/>
      <c r="X802" s="35">
        <f>V802*S802</f>
        <v>832.52103999999997</v>
      </c>
      <c r="AG802" s="395" t="str">
        <f t="shared" si="105"/>
        <v>|</v>
      </c>
      <c r="AI802" s="356" t="s">
        <v>1256</v>
      </c>
    </row>
    <row r="803" spans="1:35" ht="15.75">
      <c r="A803" s="382"/>
      <c r="B803" s="385" t="s">
        <v>1784</v>
      </c>
      <c r="C803" s="384">
        <v>920</v>
      </c>
      <c r="D803" s="396"/>
      <c r="H803" s="356" t="s">
        <v>1785</v>
      </c>
      <c r="K803" s="370">
        <f>(K734/2)</f>
        <v>547.524</v>
      </c>
      <c r="R803" s="363" t="s">
        <v>156</v>
      </c>
      <c r="S803" s="36">
        <v>0.29499999999999998</v>
      </c>
      <c r="T803" s="35" t="s">
        <v>405</v>
      </c>
      <c r="U803" s="35" t="s">
        <v>1786</v>
      </c>
      <c r="V803" s="35">
        <f>AE12</f>
        <v>1406.28</v>
      </c>
      <c r="W803" s="361"/>
      <c r="X803" s="35">
        <f t="shared" ref="X803:X809" si="112">V803*S803</f>
        <v>414.8526</v>
      </c>
      <c r="AG803" s="395" t="str">
        <f t="shared" si="105"/>
        <v>|</v>
      </c>
      <c r="AI803" s="356" t="s">
        <v>1256</v>
      </c>
    </row>
    <row r="804" spans="1:35" ht="15.75">
      <c r="A804" s="382"/>
      <c r="B804" s="385" t="s">
        <v>1787</v>
      </c>
      <c r="C804" s="384">
        <v>98</v>
      </c>
      <c r="D804" s="396"/>
      <c r="H804" s="356" t="s">
        <v>1788</v>
      </c>
      <c r="K804" s="363" t="s">
        <v>156</v>
      </c>
      <c r="N804" s="414"/>
      <c r="O804" s="414"/>
      <c r="P804" s="465"/>
      <c r="Q804" s="465"/>
      <c r="R804" s="465"/>
      <c r="S804" s="36">
        <v>0.43</v>
      </c>
      <c r="T804" s="35" t="s">
        <v>405</v>
      </c>
      <c r="U804" s="35" t="s">
        <v>598</v>
      </c>
      <c r="V804" s="35">
        <f>I811</f>
        <v>1779.13</v>
      </c>
      <c r="W804" s="361"/>
      <c r="X804" s="35">
        <f t="shared" si="112"/>
        <v>765.02589999999998</v>
      </c>
      <c r="AG804" s="395" t="str">
        <f t="shared" si="105"/>
        <v>|</v>
      </c>
      <c r="AI804" s="356" t="s">
        <v>1256</v>
      </c>
    </row>
    <row r="805" spans="1:35" ht="15.75">
      <c r="A805" s="382"/>
      <c r="B805" s="385" t="s">
        <v>1789</v>
      </c>
      <c r="C805" s="384">
        <v>181</v>
      </c>
      <c r="D805" s="396"/>
      <c r="F805" s="357" t="s">
        <v>1477</v>
      </c>
      <c r="G805" s="368" t="s">
        <v>122</v>
      </c>
      <c r="H805" s="356" t="s">
        <v>1790</v>
      </c>
      <c r="N805" s="465"/>
      <c r="O805" s="414"/>
      <c r="P805" s="465"/>
      <c r="Q805" s="465"/>
      <c r="R805" s="465"/>
      <c r="S805" s="36">
        <v>0.39</v>
      </c>
      <c r="T805" s="35" t="s">
        <v>443</v>
      </c>
      <c r="U805" s="35" t="s">
        <v>306</v>
      </c>
      <c r="V805" s="35">
        <f>I810</f>
        <v>6372.14</v>
      </c>
      <c r="W805" s="361"/>
      <c r="X805" s="35">
        <f t="shared" si="112"/>
        <v>2485.1346000000003</v>
      </c>
      <c r="AG805" s="395" t="str">
        <f t="shared" si="105"/>
        <v>|</v>
      </c>
      <c r="AI805" s="356" t="s">
        <v>1256</v>
      </c>
    </row>
    <row r="806" spans="1:35" ht="15.75">
      <c r="A806" s="382"/>
      <c r="B806" s="385" t="s">
        <v>1791</v>
      </c>
      <c r="C806" s="384">
        <v>1148.76</v>
      </c>
      <c r="D806" s="396"/>
      <c r="H806" s="356" t="s">
        <v>1480</v>
      </c>
      <c r="N806" s="465"/>
      <c r="O806" s="414"/>
      <c r="P806" s="465"/>
      <c r="Q806" s="465"/>
      <c r="R806" s="465"/>
      <c r="S806" s="36">
        <v>0.35</v>
      </c>
      <c r="T806" s="35" t="s">
        <v>192</v>
      </c>
      <c r="U806" s="35" t="s">
        <v>1551</v>
      </c>
      <c r="V806" s="35">
        <f>I812</f>
        <v>1118.3999999999999</v>
      </c>
      <c r="W806" s="361" t="str">
        <f>J812</f>
        <v>NO.</v>
      </c>
      <c r="X806" s="35">
        <f t="shared" si="112"/>
        <v>391.43999999999994</v>
      </c>
      <c r="AG806" s="395" t="str">
        <f t="shared" si="105"/>
        <v>|</v>
      </c>
      <c r="AI806" s="356" t="s">
        <v>1256</v>
      </c>
    </row>
    <row r="807" spans="1:35" ht="15.75">
      <c r="A807" s="382"/>
      <c r="B807" s="385" t="s">
        <v>1792</v>
      </c>
      <c r="C807" s="384">
        <v>967</v>
      </c>
      <c r="D807" s="396"/>
      <c r="H807" s="356" t="s">
        <v>1483</v>
      </c>
      <c r="N807" s="465"/>
      <c r="O807" s="506"/>
      <c r="P807" s="465"/>
      <c r="Q807" s="465"/>
      <c r="R807" s="465"/>
      <c r="S807" s="36">
        <v>2.12</v>
      </c>
      <c r="T807" s="35" t="s">
        <v>192</v>
      </c>
      <c r="U807" s="35" t="s">
        <v>1554</v>
      </c>
      <c r="V807" s="35">
        <f>I813</f>
        <v>781.19999999999993</v>
      </c>
      <c r="W807" s="361"/>
      <c r="X807" s="35">
        <f t="shared" si="112"/>
        <v>1656.144</v>
      </c>
      <c r="AG807" s="395" t="str">
        <f t="shared" si="105"/>
        <v>|</v>
      </c>
      <c r="AI807" s="356" t="s">
        <v>1256</v>
      </c>
    </row>
    <row r="808" spans="1:35" ht="15.75">
      <c r="A808" s="382"/>
      <c r="B808" s="385" t="s">
        <v>1793</v>
      </c>
      <c r="C808" s="507">
        <v>33.9</v>
      </c>
      <c r="D808" s="396"/>
      <c r="H808" s="363" t="s">
        <v>117</v>
      </c>
      <c r="N808" s="508"/>
      <c r="O808" s="414"/>
      <c r="P808" s="465"/>
      <c r="Q808" s="465"/>
      <c r="R808" s="465"/>
      <c r="S808" s="36">
        <v>3.53</v>
      </c>
      <c r="T808" s="35" t="s">
        <v>192</v>
      </c>
      <c r="U808" s="35" t="s">
        <v>1558</v>
      </c>
      <c r="V808" s="35">
        <f>I814</f>
        <v>640.79999999999995</v>
      </c>
      <c r="W808" s="361"/>
      <c r="X808" s="35">
        <f t="shared" si="112"/>
        <v>2262.0239999999999</v>
      </c>
      <c r="AG808" s="395" t="str">
        <f t="shared" si="105"/>
        <v>|</v>
      </c>
      <c r="AI808" s="356" t="s">
        <v>1256</v>
      </c>
    </row>
    <row r="809" spans="1:35" ht="15.75">
      <c r="A809" s="382"/>
      <c r="B809" s="385" t="s">
        <v>1794</v>
      </c>
      <c r="C809" s="384">
        <v>2107</v>
      </c>
      <c r="D809" s="396"/>
      <c r="F809" s="407">
        <v>9</v>
      </c>
      <c r="G809" s="368" t="s">
        <v>108</v>
      </c>
      <c r="H809" s="356" t="s">
        <v>1795</v>
      </c>
      <c r="I809" s="370">
        <f>C73</f>
        <v>1879.28</v>
      </c>
      <c r="J809" s="356" t="s">
        <v>108</v>
      </c>
      <c r="K809" s="370">
        <f t="shared" ref="K809:K814" si="113">F809*I809</f>
        <v>16913.52</v>
      </c>
      <c r="N809" s="465"/>
      <c r="O809" s="414"/>
      <c r="P809" s="465"/>
      <c r="Q809" s="465"/>
      <c r="R809" s="465"/>
      <c r="S809" s="36">
        <v>1</v>
      </c>
      <c r="T809" s="35" t="s">
        <v>405</v>
      </c>
      <c r="U809" s="35" t="s">
        <v>1796</v>
      </c>
      <c r="V809" s="35">
        <f>K821</f>
        <v>113.04</v>
      </c>
      <c r="W809" s="361"/>
      <c r="X809" s="35">
        <f t="shared" si="112"/>
        <v>113.04</v>
      </c>
      <c r="AG809" s="395" t="str">
        <f t="shared" si="105"/>
        <v>|</v>
      </c>
      <c r="AI809" s="356" t="s">
        <v>1256</v>
      </c>
    </row>
    <row r="810" spans="1:35" ht="15.75">
      <c r="A810" s="382"/>
      <c r="B810" s="385" t="s">
        <v>1797</v>
      </c>
      <c r="C810" s="395">
        <v>940</v>
      </c>
      <c r="D810" s="396"/>
      <c r="F810" s="407">
        <v>4.3079999999999998</v>
      </c>
      <c r="G810" s="368" t="s">
        <v>124</v>
      </c>
      <c r="H810" s="356" t="s">
        <v>125</v>
      </c>
      <c r="I810" s="370">
        <f>C67</f>
        <v>6372.14</v>
      </c>
      <c r="J810" s="356" t="s">
        <v>124</v>
      </c>
      <c r="K810" s="370">
        <f t="shared" si="113"/>
        <v>27451.179120000001</v>
      </c>
      <c r="N810" s="414"/>
      <c r="O810" s="414"/>
      <c r="P810" s="402"/>
      <c r="Q810" s="465"/>
      <c r="R810" s="402"/>
      <c r="S810" s="501" t="s">
        <v>265</v>
      </c>
      <c r="U810" s="35" t="s">
        <v>1798</v>
      </c>
      <c r="V810" s="501" t="s">
        <v>265</v>
      </c>
      <c r="W810" s="361"/>
      <c r="X810" s="35">
        <v>270</v>
      </c>
      <c r="AG810" s="395" t="str">
        <f t="shared" si="105"/>
        <v>|</v>
      </c>
      <c r="AI810" s="356" t="s">
        <v>1256</v>
      </c>
    </row>
    <row r="811" spans="1:35" ht="15.75">
      <c r="A811" s="382"/>
      <c r="B811" s="385" t="s">
        <v>1799</v>
      </c>
      <c r="C811" s="394">
        <v>826</v>
      </c>
      <c r="D811" s="396"/>
      <c r="F811" s="407">
        <v>4.5</v>
      </c>
      <c r="G811" s="368" t="s">
        <v>108</v>
      </c>
      <c r="H811" s="356" t="s">
        <v>126</v>
      </c>
      <c r="I811" s="370">
        <f>C78</f>
        <v>1779.13</v>
      </c>
      <c r="J811" s="356" t="s">
        <v>108</v>
      </c>
      <c r="K811" s="370">
        <f t="shared" si="113"/>
        <v>8006.0850000000009</v>
      </c>
      <c r="N811" s="465"/>
      <c r="O811" s="414"/>
      <c r="P811" s="465"/>
      <c r="Q811" s="465"/>
      <c r="R811" s="465"/>
      <c r="S811" s="501" t="s">
        <v>265</v>
      </c>
      <c r="U811" s="35" t="s">
        <v>1800</v>
      </c>
      <c r="V811" s="501" t="s">
        <v>265</v>
      </c>
      <c r="W811" s="361"/>
      <c r="X811" s="35">
        <v>150</v>
      </c>
      <c r="AG811" s="395" t="str">
        <f t="shared" si="105"/>
        <v>|</v>
      </c>
      <c r="AI811" s="356" t="s">
        <v>1256</v>
      </c>
    </row>
    <row r="812" spans="1:35" ht="15.75">
      <c r="A812" s="382"/>
      <c r="B812" s="385" t="s">
        <v>1801</v>
      </c>
      <c r="C812" s="394">
        <v>644</v>
      </c>
      <c r="D812" s="396"/>
      <c r="F812" s="407">
        <v>3.5</v>
      </c>
      <c r="G812" s="368" t="s">
        <v>151</v>
      </c>
      <c r="H812" s="356" t="s">
        <v>152</v>
      </c>
      <c r="I812" s="370">
        <f>C11</f>
        <v>1118.3999999999999</v>
      </c>
      <c r="J812" s="356" t="s">
        <v>151</v>
      </c>
      <c r="K812" s="370">
        <f t="shared" si="113"/>
        <v>3914.3999999999996</v>
      </c>
      <c r="N812" s="465"/>
      <c r="O812" s="414"/>
      <c r="P812" s="465"/>
      <c r="Q812" s="465"/>
      <c r="R812" s="465"/>
      <c r="S812" s="501" t="s">
        <v>265</v>
      </c>
      <c r="U812" s="35" t="s">
        <v>331</v>
      </c>
      <c r="V812" s="501" t="s">
        <v>265</v>
      </c>
      <c r="W812" s="361"/>
      <c r="X812" s="35">
        <v>0.06</v>
      </c>
      <c r="AG812" s="395" t="str">
        <f t="shared" si="105"/>
        <v>|</v>
      </c>
      <c r="AI812" s="356" t="s">
        <v>1256</v>
      </c>
    </row>
    <row r="813" spans="1:35" ht="15.75">
      <c r="A813" s="382"/>
      <c r="B813" s="396"/>
      <c r="C813" s="396"/>
      <c r="D813" s="396"/>
      <c r="F813" s="407">
        <v>21.2</v>
      </c>
      <c r="G813" s="368" t="s">
        <v>151</v>
      </c>
      <c r="H813" s="356" t="s">
        <v>153</v>
      </c>
      <c r="I813" s="370">
        <f>C12</f>
        <v>781.19999999999993</v>
      </c>
      <c r="J813" s="356" t="s">
        <v>151</v>
      </c>
      <c r="K813" s="370">
        <f t="shared" si="113"/>
        <v>16561.439999999999</v>
      </c>
      <c r="N813" s="414"/>
      <c r="O813" s="414"/>
      <c r="P813" s="402"/>
      <c r="Q813" s="465"/>
      <c r="R813" s="402"/>
      <c r="W813" s="361"/>
      <c r="X813" s="411">
        <f>SUM(X802:X812)</f>
        <v>9340.2421400000003</v>
      </c>
      <c r="Y813" s="411"/>
      <c r="Z813" s="35">
        <v>59.4</v>
      </c>
      <c r="AA813" s="35">
        <v>117</v>
      </c>
      <c r="AG813" s="395" t="str">
        <f t="shared" si="105"/>
        <v>|</v>
      </c>
      <c r="AI813" s="356" t="s">
        <v>1256</v>
      </c>
    </row>
    <row r="814" spans="1:35" ht="15.75">
      <c r="A814" s="382"/>
      <c r="B814" s="385" t="s">
        <v>1802</v>
      </c>
      <c r="C814" s="509">
        <v>3.15</v>
      </c>
      <c r="D814" s="396"/>
      <c r="F814" s="407">
        <v>35.299999999999997</v>
      </c>
      <c r="G814" s="368" t="s">
        <v>151</v>
      </c>
      <c r="H814" s="356" t="s">
        <v>154</v>
      </c>
      <c r="I814" s="370">
        <f>C13</f>
        <v>640.79999999999995</v>
      </c>
      <c r="J814" s="356" t="s">
        <v>151</v>
      </c>
      <c r="K814" s="370">
        <f t="shared" si="113"/>
        <v>22620.239999999998</v>
      </c>
      <c r="N814" s="414"/>
      <c r="O814" s="414"/>
      <c r="P814" s="402"/>
      <c r="Q814" s="465"/>
      <c r="R814" s="402"/>
      <c r="W814" s="361"/>
      <c r="AG814" s="395" t="str">
        <f t="shared" si="105"/>
        <v>|</v>
      </c>
      <c r="AI814" s="356" t="s">
        <v>1256</v>
      </c>
    </row>
    <row r="815" spans="1:35" ht="15.75">
      <c r="A815" s="382"/>
      <c r="B815" s="396"/>
      <c r="C815" s="396"/>
      <c r="D815" s="396"/>
      <c r="F815" s="498" t="s">
        <v>128</v>
      </c>
      <c r="H815" s="356" t="s">
        <v>129</v>
      </c>
      <c r="J815" s="356" t="s">
        <v>128</v>
      </c>
      <c r="K815" s="370">
        <v>0</v>
      </c>
      <c r="N815" s="414"/>
      <c r="O815" s="414"/>
      <c r="P815" s="402"/>
      <c r="Q815" s="465"/>
      <c r="R815" s="402"/>
      <c r="W815" s="361"/>
      <c r="AG815" s="395" t="str">
        <f t="shared" ref="AG815:AG878" si="114">AI815</f>
        <v>|</v>
      </c>
      <c r="AI815" s="356" t="s">
        <v>1256</v>
      </c>
    </row>
    <row r="816" spans="1:35" ht="15.75">
      <c r="A816" s="382"/>
      <c r="B816" s="385" t="s">
        <v>1803</v>
      </c>
      <c r="C816" s="510">
        <v>8.5</v>
      </c>
      <c r="D816" s="396"/>
      <c r="K816" s="363" t="s">
        <v>117</v>
      </c>
      <c r="N816" s="414"/>
      <c r="O816" s="414"/>
      <c r="P816" s="402"/>
      <c r="Q816" s="465"/>
      <c r="R816" s="402"/>
      <c r="U816" s="411" t="s">
        <v>1804</v>
      </c>
      <c r="W816" s="361"/>
      <c r="AG816" s="395" t="str">
        <f t="shared" si="114"/>
        <v>|</v>
      </c>
      <c r="AI816" s="356" t="s">
        <v>1256</v>
      </c>
    </row>
    <row r="817" spans="1:35" ht="15.75">
      <c r="A817" s="382"/>
      <c r="B817" s="385" t="s">
        <v>1805</v>
      </c>
      <c r="C817" s="510">
        <v>21.1</v>
      </c>
      <c r="D817" s="396"/>
      <c r="H817" s="357" t="s">
        <v>143</v>
      </c>
      <c r="K817" s="370">
        <f>SUM(K809:K815)</f>
        <v>95466.864120000013</v>
      </c>
      <c r="N817" s="414"/>
      <c r="O817" s="414"/>
      <c r="P817" s="402"/>
      <c r="Q817" s="465"/>
      <c r="R817" s="402"/>
      <c r="S817" s="36">
        <v>0.45300000000000001</v>
      </c>
      <c r="T817" s="35" t="s">
        <v>405</v>
      </c>
      <c r="U817" s="35" t="s">
        <v>1783</v>
      </c>
      <c r="V817" s="35">
        <f>V802</f>
        <v>1879.28</v>
      </c>
      <c r="W817" s="361"/>
      <c r="X817" s="35">
        <f>V817*S817</f>
        <v>851.31384000000003</v>
      </c>
      <c r="AA817" s="35">
        <f>X828+Z813</f>
        <v>9318.7374</v>
      </c>
      <c r="AG817" s="395" t="str">
        <f t="shared" si="114"/>
        <v>|</v>
      </c>
      <c r="AI817" s="356" t="s">
        <v>1256</v>
      </c>
    </row>
    <row r="818" spans="1:35" ht="15.75">
      <c r="A818" s="382"/>
      <c r="B818" s="396"/>
      <c r="C818" s="396" t="s">
        <v>1806</v>
      </c>
      <c r="D818" s="396"/>
      <c r="K818" s="363" t="s">
        <v>156</v>
      </c>
      <c r="N818" s="414"/>
      <c r="O818" s="414"/>
      <c r="P818" s="402"/>
      <c r="Q818" s="465"/>
      <c r="R818" s="402"/>
      <c r="S818" s="36">
        <v>0.30199999999999999</v>
      </c>
      <c r="T818" s="35" t="s">
        <v>405</v>
      </c>
      <c r="U818" s="35" t="s">
        <v>1786</v>
      </c>
      <c r="V818" s="35">
        <f t="shared" ref="V818:V827" si="115">V803</f>
        <v>1406.28</v>
      </c>
      <c r="W818" s="361"/>
      <c r="X818" s="35">
        <f t="shared" ref="X818:X824" si="116">V818*S818</f>
        <v>424.69655999999998</v>
      </c>
      <c r="AA818" s="35">
        <f>AA817+AA813</f>
        <v>9435.7374</v>
      </c>
      <c r="AG818" s="395" t="str">
        <f t="shared" si="114"/>
        <v>|</v>
      </c>
      <c r="AI818" s="356" t="s">
        <v>1256</v>
      </c>
    </row>
    <row r="819" spans="1:35" ht="15.75">
      <c r="A819" s="511"/>
      <c r="H819" s="356" t="s">
        <v>155</v>
      </c>
      <c r="K819" s="370">
        <f>K817/10</f>
        <v>9546.6864120000009</v>
      </c>
      <c r="N819" s="414"/>
      <c r="O819" s="414"/>
      <c r="P819" s="402"/>
      <c r="Q819" s="465"/>
      <c r="R819" s="402"/>
      <c r="S819" s="36">
        <v>0.44</v>
      </c>
      <c r="T819" s="35" t="s">
        <v>405</v>
      </c>
      <c r="U819" s="35" t="s">
        <v>598</v>
      </c>
      <c r="V819" s="35">
        <f t="shared" si="115"/>
        <v>1779.13</v>
      </c>
      <c r="W819" s="361"/>
      <c r="X819" s="35">
        <f t="shared" si="116"/>
        <v>782.81720000000007</v>
      </c>
      <c r="AA819" s="35">
        <f>AA818+AA813</f>
        <v>9552.7374</v>
      </c>
      <c r="AG819" s="395" t="str">
        <f t="shared" si="114"/>
        <v>|</v>
      </c>
      <c r="AI819" s="356" t="s">
        <v>1256</v>
      </c>
    </row>
    <row r="820" spans="1:35" ht="15.75">
      <c r="A820" s="511"/>
      <c r="R820" s="370"/>
      <c r="S820" s="36">
        <v>0.37</v>
      </c>
      <c r="T820" s="35" t="s">
        <v>443</v>
      </c>
      <c r="U820" s="35" t="s">
        <v>306</v>
      </c>
      <c r="V820" s="35">
        <f t="shared" si="115"/>
        <v>6372.14</v>
      </c>
      <c r="W820" s="361"/>
      <c r="X820" s="35">
        <f t="shared" si="116"/>
        <v>2357.6918000000001</v>
      </c>
      <c r="AA820" s="35">
        <f>AA819+AA813</f>
        <v>9669.7374</v>
      </c>
      <c r="AG820" s="395" t="str">
        <f t="shared" si="114"/>
        <v>|</v>
      </c>
      <c r="AI820" s="356" t="s">
        <v>1256</v>
      </c>
    </row>
    <row r="821" spans="1:35" ht="15.75">
      <c r="A821" s="511"/>
      <c r="F821" s="370">
        <v>1</v>
      </c>
      <c r="G821" s="368" t="s">
        <v>108</v>
      </c>
      <c r="H821" s="356" t="s">
        <v>1052</v>
      </c>
      <c r="I821" s="370">
        <f>C25</f>
        <v>113.04</v>
      </c>
      <c r="K821" s="370">
        <f>F821*I821</f>
        <v>113.04</v>
      </c>
      <c r="R821" s="363"/>
      <c r="S821" s="36">
        <v>0.35</v>
      </c>
      <c r="T821" s="35" t="s">
        <v>192</v>
      </c>
      <c r="U821" s="35" t="s">
        <v>1551</v>
      </c>
      <c r="V821" s="35">
        <f t="shared" si="115"/>
        <v>1118.3999999999999</v>
      </c>
      <c r="W821" s="361">
        <f>J827</f>
        <v>0</v>
      </c>
      <c r="X821" s="35">
        <f t="shared" si="116"/>
        <v>391.43999999999994</v>
      </c>
      <c r="AA821" s="35">
        <f>AA813+AA820</f>
        <v>9786.7374</v>
      </c>
      <c r="AG821" s="395" t="str">
        <f t="shared" si="114"/>
        <v>|</v>
      </c>
      <c r="AI821" s="356" t="s">
        <v>1256</v>
      </c>
    </row>
    <row r="822" spans="1:35" ht="15.75">
      <c r="A822" s="511"/>
      <c r="K822" s="363" t="s">
        <v>117</v>
      </c>
      <c r="O822" s="357"/>
      <c r="R822" s="370"/>
      <c r="S822" s="36">
        <v>2.12</v>
      </c>
      <c r="T822" s="35" t="s">
        <v>192</v>
      </c>
      <c r="U822" s="35" t="s">
        <v>1554</v>
      </c>
      <c r="V822" s="35">
        <f t="shared" si="115"/>
        <v>781.19999999999993</v>
      </c>
      <c r="W822" s="361"/>
      <c r="X822" s="35">
        <f t="shared" si="116"/>
        <v>1656.144</v>
      </c>
      <c r="AA822" s="35">
        <f>AA813+AA821</f>
        <v>9903.7374</v>
      </c>
      <c r="AG822" s="395" t="str">
        <f t="shared" si="114"/>
        <v>|</v>
      </c>
      <c r="AI822" s="356" t="s">
        <v>1256</v>
      </c>
    </row>
    <row r="823" spans="1:35" ht="15.75">
      <c r="K823" s="370">
        <f>SUM(K819:K821)</f>
        <v>9659.7264120000018</v>
      </c>
      <c r="S823" s="36">
        <v>3.53</v>
      </c>
      <c r="T823" s="35" t="s">
        <v>192</v>
      </c>
      <c r="U823" s="35" t="s">
        <v>1558</v>
      </c>
      <c r="V823" s="35">
        <f t="shared" si="115"/>
        <v>640.79999999999995</v>
      </c>
      <c r="W823" s="361"/>
      <c r="X823" s="35">
        <f t="shared" si="116"/>
        <v>2262.0239999999999</v>
      </c>
      <c r="AA823" s="35">
        <f>AA813+AA822</f>
        <v>10020.7374</v>
      </c>
      <c r="AG823" s="395" t="str">
        <f t="shared" si="114"/>
        <v>|</v>
      </c>
      <c r="AI823" s="356" t="s">
        <v>1256</v>
      </c>
    </row>
    <row r="824" spans="1:35" ht="15.75">
      <c r="A824" s="511"/>
      <c r="K824" s="363" t="s">
        <v>117</v>
      </c>
      <c r="R824" s="363"/>
      <c r="S824" s="36">
        <v>1</v>
      </c>
      <c r="T824" s="35" t="s">
        <v>405</v>
      </c>
      <c r="U824" s="35" t="s">
        <v>1796</v>
      </c>
      <c r="V824" s="35">
        <f t="shared" si="115"/>
        <v>113.04</v>
      </c>
      <c r="W824" s="361"/>
      <c r="X824" s="35">
        <f t="shared" si="116"/>
        <v>113.04</v>
      </c>
      <c r="AA824" s="35">
        <f>AA813+AA823</f>
        <v>10137.7374</v>
      </c>
      <c r="AG824" s="395" t="str">
        <f t="shared" si="114"/>
        <v>|</v>
      </c>
      <c r="AI824" s="356" t="s">
        <v>1256</v>
      </c>
    </row>
    <row r="825" spans="1:35" ht="15.75">
      <c r="A825" s="511"/>
      <c r="H825" s="356" t="s">
        <v>172</v>
      </c>
      <c r="K825" s="369">
        <f>(K823+C22)</f>
        <v>9803.5464120000015</v>
      </c>
      <c r="S825" s="501" t="s">
        <v>265</v>
      </c>
      <c r="U825" s="35" t="s">
        <v>1798</v>
      </c>
      <c r="V825" s="471" t="str">
        <f t="shared" si="115"/>
        <v>LS</v>
      </c>
      <c r="W825" s="361"/>
      <c r="X825" s="35">
        <v>270</v>
      </c>
      <c r="AA825" s="35">
        <f>AA813+AA824</f>
        <v>10254.7374</v>
      </c>
      <c r="AG825" s="395" t="str">
        <f t="shared" si="114"/>
        <v>|</v>
      </c>
      <c r="AI825" s="356" t="s">
        <v>1256</v>
      </c>
    </row>
    <row r="826" spans="1:35" ht="15.75">
      <c r="A826" s="511"/>
      <c r="H826" s="356" t="s">
        <v>873</v>
      </c>
      <c r="K826" s="369">
        <f>(K825+C23)</f>
        <v>10086.866412000001</v>
      </c>
      <c r="N826" s="356"/>
      <c r="O826" s="356"/>
      <c r="S826" s="501" t="s">
        <v>265</v>
      </c>
      <c r="U826" s="35" t="s">
        <v>1800</v>
      </c>
      <c r="V826" s="471" t="str">
        <f t="shared" si="115"/>
        <v>LS</v>
      </c>
      <c r="W826" s="361"/>
      <c r="X826" s="35">
        <v>150</v>
      </c>
      <c r="AA826" s="35">
        <f>AA813+AA825</f>
        <v>10371.7374</v>
      </c>
      <c r="AG826" s="395" t="str">
        <f t="shared" si="114"/>
        <v>|</v>
      </c>
      <c r="AI826" s="356" t="s">
        <v>1256</v>
      </c>
    </row>
    <row r="827" spans="1:35" ht="15.75">
      <c r="A827" s="511"/>
      <c r="H827" s="356" t="s">
        <v>876</v>
      </c>
      <c r="K827" s="369">
        <f>(K826+C24)</f>
        <v>10370.186412000001</v>
      </c>
      <c r="O827" s="356"/>
      <c r="S827" s="501" t="s">
        <v>265</v>
      </c>
      <c r="U827" s="35" t="s">
        <v>331</v>
      </c>
      <c r="V827" s="471" t="str">
        <f t="shared" si="115"/>
        <v>LS</v>
      </c>
      <c r="W827" s="361"/>
      <c r="X827" s="35">
        <v>0.17</v>
      </c>
      <c r="AG827" s="395" t="str">
        <f t="shared" si="114"/>
        <v>|</v>
      </c>
      <c r="AI827" s="356" t="s">
        <v>1256</v>
      </c>
    </row>
    <row r="828" spans="1:35" ht="15.75">
      <c r="A828" s="511"/>
      <c r="H828" s="356" t="s">
        <v>878</v>
      </c>
      <c r="K828" s="369">
        <f>(K827+C24)</f>
        <v>10653.506412000001</v>
      </c>
      <c r="N828" s="356"/>
      <c r="O828" s="356"/>
      <c r="P828" s="370"/>
      <c r="R828" s="370"/>
      <c r="W828" s="361"/>
      <c r="X828" s="411">
        <f>SUM(X817:X827)</f>
        <v>9259.3374000000003</v>
      </c>
      <c r="Y828" s="411"/>
      <c r="AG828" s="395" t="str">
        <f t="shared" si="114"/>
        <v>|</v>
      </c>
      <c r="AI828" s="356" t="s">
        <v>1256</v>
      </c>
    </row>
    <row r="829" spans="1:35" ht="15.75">
      <c r="H829" s="356" t="s">
        <v>951</v>
      </c>
      <c r="K829" s="369">
        <f>(K828+C24)</f>
        <v>10936.826412</v>
      </c>
      <c r="O829" s="356"/>
      <c r="W829" s="361"/>
      <c r="AG829" s="395" t="str">
        <f t="shared" si="114"/>
        <v>|</v>
      </c>
      <c r="AI829" s="356" t="s">
        <v>1256</v>
      </c>
    </row>
    <row r="830" spans="1:35" ht="15.75">
      <c r="H830" s="356">
        <v>5</v>
      </c>
      <c r="K830" s="369">
        <f>(K829+C24)</f>
        <v>11220.146412</v>
      </c>
      <c r="O830" s="356"/>
      <c r="W830" s="361"/>
      <c r="AG830" s="395">
        <f>SUM(AG683:AG687)</f>
        <v>8206.1</v>
      </c>
      <c r="AI830" s="356"/>
    </row>
    <row r="831" spans="1:35" ht="15.75">
      <c r="H831" s="356">
        <v>6</v>
      </c>
      <c r="K831" s="369">
        <f>(K830+C24)</f>
        <v>11503.466412</v>
      </c>
      <c r="O831" s="356"/>
      <c r="W831" s="361"/>
      <c r="AG831" s="395"/>
      <c r="AI831" s="356"/>
    </row>
    <row r="832" spans="1:35" ht="15.75">
      <c r="H832" s="356">
        <v>7</v>
      </c>
      <c r="K832" s="369">
        <f>(K831+C24)</f>
        <v>11786.786411999999</v>
      </c>
      <c r="O832" s="356"/>
      <c r="W832" s="361"/>
      <c r="AG832" s="395"/>
      <c r="AI832" s="356"/>
    </row>
    <row r="833" spans="6:35" ht="15.75">
      <c r="H833" s="356">
        <v>8</v>
      </c>
      <c r="K833" s="369">
        <f>(K832+C24)</f>
        <v>12070.106411999999</v>
      </c>
      <c r="O833" s="356"/>
      <c r="W833" s="361"/>
      <c r="AG833" s="395"/>
      <c r="AI833" s="356"/>
    </row>
    <row r="834" spans="6:35" ht="15.75">
      <c r="H834" s="356">
        <v>9</v>
      </c>
      <c r="K834" s="369">
        <f>(K833+C24)</f>
        <v>12353.426411999999</v>
      </c>
      <c r="O834" s="356"/>
      <c r="W834" s="361"/>
      <c r="AG834" s="395"/>
      <c r="AI834" s="356"/>
    </row>
    <row r="835" spans="6:35" ht="15.75">
      <c r="H835" s="356">
        <v>10</v>
      </c>
      <c r="K835" s="369">
        <f>(K834+C24)</f>
        <v>12636.746411999999</v>
      </c>
      <c r="O835" s="356"/>
      <c r="W835" s="361"/>
      <c r="AG835" s="395"/>
      <c r="AI835" s="356"/>
    </row>
    <row r="836" spans="6:35" ht="15.75">
      <c r="H836" s="356">
        <v>11</v>
      </c>
      <c r="K836" s="369">
        <f>(K835+C24)</f>
        <v>12920.066411999998</v>
      </c>
      <c r="O836" s="356"/>
      <c r="W836" s="361"/>
      <c r="AG836" s="395"/>
      <c r="AI836" s="356"/>
    </row>
    <row r="837" spans="6:35" ht="15.75">
      <c r="H837" s="356">
        <v>12</v>
      </c>
      <c r="K837" s="369">
        <f>(K836+C24)</f>
        <v>13203.386411999998</v>
      </c>
      <c r="O837" s="356"/>
      <c r="W837" s="361"/>
      <c r="AG837" s="395"/>
      <c r="AI837" s="356"/>
    </row>
    <row r="838" spans="6:35" ht="15.75">
      <c r="H838" s="356"/>
      <c r="K838" s="369"/>
      <c r="O838" s="356"/>
      <c r="W838" s="361"/>
      <c r="AG838" s="395"/>
      <c r="AI838" s="356"/>
    </row>
    <row r="839" spans="6:35" ht="15.75">
      <c r="F839" s="356" t="s">
        <v>114</v>
      </c>
      <c r="O839" s="356"/>
      <c r="W839" s="361"/>
      <c r="AG839" s="395" t="str">
        <f t="shared" si="114"/>
        <v>|</v>
      </c>
      <c r="AI839" s="356" t="s">
        <v>1256</v>
      </c>
    </row>
    <row r="840" spans="6:35" ht="15.75">
      <c r="F840" s="356" t="s">
        <v>114</v>
      </c>
      <c r="G840" s="368" t="s">
        <v>122</v>
      </c>
      <c r="H840" s="357" t="s">
        <v>1807</v>
      </c>
      <c r="N840" s="356"/>
      <c r="O840" s="356"/>
      <c r="P840" s="370"/>
      <c r="R840" s="370"/>
      <c r="W840" s="361"/>
      <c r="AG840" s="395" t="str">
        <f t="shared" si="114"/>
        <v>|</v>
      </c>
      <c r="AI840" s="356" t="s">
        <v>1256</v>
      </c>
    </row>
    <row r="841" spans="6:35" ht="15.75">
      <c r="H841" s="363" t="s">
        <v>156</v>
      </c>
      <c r="N841" s="356"/>
      <c r="O841" s="356"/>
      <c r="P841" s="370"/>
      <c r="R841" s="370"/>
      <c r="W841" s="361"/>
      <c r="AG841" s="395" t="str">
        <f t="shared" si="114"/>
        <v>|</v>
      </c>
      <c r="AI841" s="356" t="s">
        <v>1256</v>
      </c>
    </row>
    <row r="842" spans="6:35" ht="15.75">
      <c r="N842" s="356"/>
      <c r="O842" s="356"/>
      <c r="P842" s="370"/>
      <c r="R842" s="370"/>
      <c r="W842" s="361"/>
      <c r="AG842" s="395" t="str">
        <f t="shared" si="114"/>
        <v>|</v>
      </c>
      <c r="AI842" s="356" t="s">
        <v>1256</v>
      </c>
    </row>
    <row r="843" spans="6:35" ht="15.75">
      <c r="F843" s="357" t="s">
        <v>1808</v>
      </c>
      <c r="G843" s="368" t="s">
        <v>122</v>
      </c>
      <c r="H843" s="356" t="s">
        <v>1809</v>
      </c>
      <c r="N843" s="356"/>
      <c r="O843" s="356"/>
      <c r="P843" s="370"/>
      <c r="R843" s="370"/>
      <c r="W843" s="361"/>
      <c r="AG843" s="395" t="str">
        <f t="shared" si="114"/>
        <v>|</v>
      </c>
      <c r="AI843" s="356" t="s">
        <v>1256</v>
      </c>
    </row>
    <row r="844" spans="6:35" ht="15.75">
      <c r="H844" s="356" t="s">
        <v>1810</v>
      </c>
      <c r="N844" s="356"/>
      <c r="O844" s="356"/>
      <c r="P844" s="370"/>
      <c r="R844" s="370"/>
      <c r="W844" s="361"/>
      <c r="AG844" s="395" t="str">
        <f t="shared" si="114"/>
        <v>|</v>
      </c>
      <c r="AI844" s="356" t="s">
        <v>1256</v>
      </c>
    </row>
    <row r="845" spans="6:35" ht="15.75">
      <c r="H845" s="356" t="s">
        <v>1811</v>
      </c>
      <c r="N845" s="356"/>
      <c r="O845" s="356"/>
      <c r="P845" s="370"/>
      <c r="R845" s="370"/>
      <c r="W845" s="361"/>
      <c r="AG845" s="395" t="str">
        <f t="shared" si="114"/>
        <v>|::</v>
      </c>
      <c r="AI845" s="356" t="s">
        <v>1001</v>
      </c>
    </row>
    <row r="846" spans="6:35" ht="15.75">
      <c r="H846" s="356" t="s">
        <v>1812</v>
      </c>
      <c r="N846" s="356"/>
      <c r="O846" s="356"/>
      <c r="P846" s="370"/>
      <c r="R846" s="370"/>
      <c r="W846" s="361"/>
      <c r="AG846" s="395">
        <f t="shared" si="114"/>
        <v>0</v>
      </c>
    </row>
    <row r="847" spans="6:35" ht="15.75">
      <c r="H847" s="356" t="s">
        <v>1813</v>
      </c>
      <c r="R847" s="370"/>
      <c r="W847" s="361"/>
      <c r="AG847" s="395">
        <f t="shared" si="114"/>
        <v>0</v>
      </c>
    </row>
    <row r="848" spans="6:35" ht="15.75">
      <c r="H848" s="356" t="s">
        <v>1814</v>
      </c>
      <c r="R848" s="363"/>
      <c r="W848" s="361"/>
      <c r="AG848" s="395">
        <f t="shared" si="114"/>
        <v>0</v>
      </c>
    </row>
    <row r="849" spans="6:35" ht="15.75">
      <c r="H849" s="356" t="s">
        <v>1815</v>
      </c>
      <c r="O849" s="357"/>
      <c r="R849" s="370"/>
      <c r="W849" s="361"/>
      <c r="AG849" s="395" t="str">
        <f t="shared" si="114"/>
        <v>|</v>
      </c>
      <c r="AI849" s="356" t="s">
        <v>1256</v>
      </c>
    </row>
    <row r="850" spans="6:35" ht="15.75">
      <c r="H850" s="356" t="s">
        <v>1816</v>
      </c>
      <c r="R850" s="363"/>
      <c r="W850" s="361"/>
      <c r="AG850" s="395" t="str">
        <f t="shared" si="114"/>
        <v>|</v>
      </c>
      <c r="AI850" s="356" t="s">
        <v>1256</v>
      </c>
    </row>
    <row r="851" spans="6:35" ht="15.75">
      <c r="H851" s="356" t="s">
        <v>1817</v>
      </c>
      <c r="O851" s="411" t="s">
        <v>1818</v>
      </c>
      <c r="R851" s="363"/>
      <c r="W851" s="361"/>
      <c r="AG851" s="395" t="str">
        <f t="shared" si="114"/>
        <v>|</v>
      </c>
      <c r="AI851" s="356" t="s">
        <v>1256</v>
      </c>
    </row>
    <row r="852" spans="6:35" ht="15.75">
      <c r="H852" s="356" t="s">
        <v>1819</v>
      </c>
      <c r="O852" s="357" t="s">
        <v>1820</v>
      </c>
      <c r="R852" s="363"/>
      <c r="W852" s="361"/>
      <c r="AG852" s="395" t="str">
        <f t="shared" si="114"/>
        <v>|</v>
      </c>
      <c r="AI852" s="356" t="s">
        <v>1256</v>
      </c>
    </row>
    <row r="853" spans="6:35" ht="15.75">
      <c r="H853" s="356" t="s">
        <v>1821</v>
      </c>
      <c r="R853" s="363"/>
      <c r="W853" s="361"/>
      <c r="AG853" s="395" t="str">
        <f t="shared" si="114"/>
        <v>|</v>
      </c>
      <c r="AI853" s="356" t="s">
        <v>1256</v>
      </c>
    </row>
    <row r="854" spans="6:35" ht="15.75">
      <c r="H854" s="356" t="s">
        <v>1822</v>
      </c>
      <c r="M854" s="460">
        <v>6.5000000000000002E-2</v>
      </c>
      <c r="N854" s="368" t="s">
        <v>108</v>
      </c>
      <c r="O854" s="356" t="s">
        <v>1823</v>
      </c>
      <c r="P854" s="370">
        <f>I861</f>
        <v>9394.3075183500005</v>
      </c>
      <c r="Q854" s="356" t="s">
        <v>108</v>
      </c>
      <c r="R854" s="370">
        <f>P854*M854</f>
        <v>610.62998869275009</v>
      </c>
      <c r="W854" s="361"/>
      <c r="AG854" s="395" t="str">
        <f t="shared" si="114"/>
        <v>|</v>
      </c>
      <c r="AI854" s="356" t="s">
        <v>1256</v>
      </c>
    </row>
    <row r="855" spans="6:35" ht="15.75">
      <c r="H855" s="356" t="s">
        <v>1824</v>
      </c>
      <c r="M855" s="512">
        <v>8.4499999999999993</v>
      </c>
      <c r="N855" s="368" t="s">
        <v>213</v>
      </c>
      <c r="O855" s="356" t="s">
        <v>1825</v>
      </c>
      <c r="P855" s="370">
        <f t="shared" ref="P855:P864" si="117">I862</f>
        <v>95267.640000000014</v>
      </c>
      <c r="Q855" s="356" t="s">
        <v>124</v>
      </c>
      <c r="R855" s="370">
        <f>P855*M855/1000</f>
        <v>805.01155800000004</v>
      </c>
      <c r="W855" s="361"/>
      <c r="AG855" s="395" t="str">
        <f t="shared" si="114"/>
        <v>|</v>
      </c>
      <c r="AI855" s="356" t="s">
        <v>1256</v>
      </c>
    </row>
    <row r="856" spans="6:35" ht="15.75">
      <c r="H856" s="356" t="s">
        <v>1826</v>
      </c>
      <c r="M856" s="370">
        <v>3</v>
      </c>
      <c r="N856" s="368" t="s">
        <v>151</v>
      </c>
      <c r="O856" s="356" t="s">
        <v>1827</v>
      </c>
      <c r="P856" s="370">
        <f t="shared" si="117"/>
        <v>14.8</v>
      </c>
      <c r="Q856" s="356" t="s">
        <v>151</v>
      </c>
      <c r="R856" s="370">
        <f t="shared" ref="R856:R863" si="118">P856*M856</f>
        <v>44.400000000000006</v>
      </c>
      <c r="W856" s="361"/>
      <c r="AG856" s="395" t="str">
        <f t="shared" si="114"/>
        <v>|</v>
      </c>
      <c r="AI856" s="356" t="s">
        <v>1256</v>
      </c>
    </row>
    <row r="857" spans="6:35" ht="15.75">
      <c r="M857" s="370">
        <v>12</v>
      </c>
      <c r="N857" s="368" t="s">
        <v>151</v>
      </c>
      <c r="O857" s="356" t="s">
        <v>1828</v>
      </c>
      <c r="P857" s="370">
        <f t="shared" si="117"/>
        <v>2</v>
      </c>
      <c r="Q857" s="356" t="s">
        <v>151</v>
      </c>
      <c r="R857" s="370">
        <f t="shared" si="118"/>
        <v>24</v>
      </c>
      <c r="W857" s="361"/>
      <c r="AG857" s="395" t="str">
        <f t="shared" si="114"/>
        <v>|</v>
      </c>
      <c r="AI857" s="356" t="s">
        <v>1256</v>
      </c>
    </row>
    <row r="858" spans="6:35" ht="15.75">
      <c r="M858" s="370">
        <v>2</v>
      </c>
      <c r="N858" s="368" t="s">
        <v>151</v>
      </c>
      <c r="O858" s="356" t="s">
        <v>1829</v>
      </c>
      <c r="P858" s="370">
        <f t="shared" si="117"/>
        <v>4.9000000000000004</v>
      </c>
      <c r="Q858" s="356" t="s">
        <v>151</v>
      </c>
      <c r="R858" s="370">
        <f t="shared" si="118"/>
        <v>9.8000000000000007</v>
      </c>
      <c r="W858" s="361"/>
      <c r="AG858" s="395" t="str">
        <f t="shared" si="114"/>
        <v>|</v>
      </c>
      <c r="AI858" s="356" t="s">
        <v>1256</v>
      </c>
    </row>
    <row r="859" spans="6:35" ht="15.75">
      <c r="G859" s="368" t="s">
        <v>433</v>
      </c>
      <c r="H859" s="357" t="s">
        <v>1830</v>
      </c>
      <c r="M859" s="370">
        <v>6</v>
      </c>
      <c r="N859" s="368" t="s">
        <v>151</v>
      </c>
      <c r="O859" s="356" t="s">
        <v>1831</v>
      </c>
      <c r="P859" s="370">
        <f t="shared" si="117"/>
        <v>4.45</v>
      </c>
      <c r="Q859" s="356" t="s">
        <v>151</v>
      </c>
      <c r="R859" s="370">
        <f t="shared" si="118"/>
        <v>26.700000000000003</v>
      </c>
      <c r="S859" s="35"/>
      <c r="T859" s="368" t="s">
        <v>433</v>
      </c>
      <c r="U859" s="357" t="s">
        <v>1832</v>
      </c>
      <c r="W859" s="361"/>
      <c r="AG859" s="395" t="str">
        <f t="shared" si="114"/>
        <v>|</v>
      </c>
      <c r="AI859" s="356" t="s">
        <v>1256</v>
      </c>
    </row>
    <row r="860" spans="6:35" ht="15.75">
      <c r="H860" s="357" t="s">
        <v>1833</v>
      </c>
      <c r="M860" s="370">
        <v>1</v>
      </c>
      <c r="N860" s="368" t="s">
        <v>151</v>
      </c>
      <c r="O860" s="356" t="s">
        <v>1834</v>
      </c>
      <c r="P860" s="370">
        <f t="shared" si="117"/>
        <v>1198.8</v>
      </c>
      <c r="Q860" s="356" t="s">
        <v>151</v>
      </c>
      <c r="R860" s="370">
        <f t="shared" si="118"/>
        <v>1198.8</v>
      </c>
      <c r="S860" s="35"/>
      <c r="T860" s="358"/>
      <c r="U860" s="357" t="s">
        <v>1833</v>
      </c>
      <c r="W860" s="361"/>
      <c r="AG860" s="395" t="str">
        <f t="shared" si="114"/>
        <v>|</v>
      </c>
      <c r="AI860" s="356" t="s">
        <v>1256</v>
      </c>
    </row>
    <row r="861" spans="6:35" ht="15.75">
      <c r="F861" s="460">
        <v>3.8100000000000002E-2</v>
      </c>
      <c r="G861" s="368" t="s">
        <v>108</v>
      </c>
      <c r="H861" s="356" t="s">
        <v>1835</v>
      </c>
      <c r="I861" s="370">
        <f>I879</f>
        <v>9394.3075183500005</v>
      </c>
      <c r="J861" s="356" t="s">
        <v>108</v>
      </c>
      <c r="K861" s="370">
        <f>F861*I861</f>
        <v>357.92311644913502</v>
      </c>
      <c r="M861" s="370">
        <v>1</v>
      </c>
      <c r="N861" s="368" t="s">
        <v>151</v>
      </c>
      <c r="O861" s="356" t="s">
        <v>1836</v>
      </c>
      <c r="P861" s="370">
        <f t="shared" si="117"/>
        <v>781.19999999999993</v>
      </c>
      <c r="Q861" s="356" t="s">
        <v>151</v>
      </c>
      <c r="R861" s="370">
        <f t="shared" si="118"/>
        <v>781.19999999999993</v>
      </c>
      <c r="S861" s="460">
        <v>4.9500000000000002E-2</v>
      </c>
      <c r="T861" s="368" t="s">
        <v>108</v>
      </c>
      <c r="U861" s="356" t="s">
        <v>1823</v>
      </c>
      <c r="V861" s="370">
        <f>I861</f>
        <v>9394.3075183500005</v>
      </c>
      <c r="W861" s="357" t="s">
        <v>108</v>
      </c>
      <c r="X861" s="370">
        <f>S861*V861</f>
        <v>465.01822215832505</v>
      </c>
      <c r="Y861" s="370"/>
      <c r="AG861" s="395" t="str">
        <f t="shared" si="114"/>
        <v>|</v>
      </c>
      <c r="AI861" s="356" t="s">
        <v>1256</v>
      </c>
    </row>
    <row r="862" spans="6:35" ht="15.75">
      <c r="F862" s="513">
        <v>5.01</v>
      </c>
      <c r="G862" s="368" t="s">
        <v>213</v>
      </c>
      <c r="H862" s="356" t="s">
        <v>1825</v>
      </c>
      <c r="I862" s="370">
        <f>I880</f>
        <v>95267.640000000014</v>
      </c>
      <c r="J862" s="356" t="s">
        <v>124</v>
      </c>
      <c r="K862" s="370">
        <f>F862*I862/1000</f>
        <v>477.29087640000006</v>
      </c>
      <c r="M862" s="370">
        <v>1</v>
      </c>
      <c r="N862" s="368" t="s">
        <v>151</v>
      </c>
      <c r="O862" s="356" t="s">
        <v>1837</v>
      </c>
      <c r="P862" s="370">
        <f t="shared" si="117"/>
        <v>25</v>
      </c>
      <c r="Q862" s="356" t="s">
        <v>151</v>
      </c>
      <c r="R862" s="370">
        <f t="shared" si="118"/>
        <v>25</v>
      </c>
      <c r="S862" s="513">
        <v>5.66</v>
      </c>
      <c r="T862" s="368" t="s">
        <v>213</v>
      </c>
      <c r="U862" s="356" t="s">
        <v>1825</v>
      </c>
      <c r="V862" s="370">
        <f t="shared" ref="V862:V870" si="119">I862</f>
        <v>95267.640000000014</v>
      </c>
      <c r="W862" s="357" t="s">
        <v>124</v>
      </c>
      <c r="X862" s="370">
        <f>S862*V862/1000</f>
        <v>539.21484240000007</v>
      </c>
      <c r="Y862" s="370"/>
      <c r="AG862" s="395" t="str">
        <f t="shared" si="114"/>
        <v>|</v>
      </c>
      <c r="AI862" s="356" t="s">
        <v>1256</v>
      </c>
    </row>
    <row r="863" spans="6:35" ht="15.75">
      <c r="F863" s="370">
        <v>3</v>
      </c>
      <c r="G863" s="368" t="s">
        <v>151</v>
      </c>
      <c r="H863" s="514" t="s">
        <v>1827</v>
      </c>
      <c r="I863" s="459">
        <v>14.8</v>
      </c>
      <c r="J863" s="356" t="s">
        <v>151</v>
      </c>
      <c r="K863" s="370">
        <f t="shared" ref="K863:K870" si="120">F863*I863</f>
        <v>44.400000000000006</v>
      </c>
      <c r="M863" s="370">
        <v>0.5</v>
      </c>
      <c r="N863" s="368" t="s">
        <v>151</v>
      </c>
      <c r="O863" s="356" t="s">
        <v>1838</v>
      </c>
      <c r="P863" s="370">
        <f t="shared" si="117"/>
        <v>640.79999999999995</v>
      </c>
      <c r="Q863" s="356" t="s">
        <v>151</v>
      </c>
      <c r="R863" s="370">
        <f t="shared" si="118"/>
        <v>320.39999999999998</v>
      </c>
      <c r="S863" s="370">
        <v>3</v>
      </c>
      <c r="T863" s="368" t="s">
        <v>151</v>
      </c>
      <c r="U863" s="356" t="s">
        <v>1827</v>
      </c>
      <c r="V863" s="370">
        <f t="shared" si="119"/>
        <v>14.8</v>
      </c>
      <c r="W863" s="357" t="s">
        <v>151</v>
      </c>
      <c r="X863" s="370">
        <f t="shared" ref="X863:X870" si="121">S863*V863</f>
        <v>44.400000000000006</v>
      </c>
      <c r="Y863" s="370"/>
      <c r="AG863" s="395" t="str">
        <f t="shared" si="114"/>
        <v>|</v>
      </c>
      <c r="AI863" s="356" t="s">
        <v>1256</v>
      </c>
    </row>
    <row r="864" spans="6:35" ht="15.75">
      <c r="F864" s="370">
        <v>12</v>
      </c>
      <c r="G864" s="368" t="s">
        <v>151</v>
      </c>
      <c r="H864" s="514" t="s">
        <v>1828</v>
      </c>
      <c r="I864" s="459">
        <v>2</v>
      </c>
      <c r="J864" s="356" t="s">
        <v>151</v>
      </c>
      <c r="K864" s="370">
        <f t="shared" si="120"/>
        <v>24</v>
      </c>
      <c r="N864" s="368" t="s">
        <v>128</v>
      </c>
      <c r="O864" s="356" t="s">
        <v>1839</v>
      </c>
      <c r="P864" s="370">
        <f t="shared" si="117"/>
        <v>0</v>
      </c>
      <c r="Q864" s="356" t="s">
        <v>128</v>
      </c>
      <c r="R864" s="370">
        <v>2.1</v>
      </c>
      <c r="S864" s="370">
        <v>12</v>
      </c>
      <c r="T864" s="368" t="s">
        <v>151</v>
      </c>
      <c r="U864" s="356" t="s">
        <v>1828</v>
      </c>
      <c r="V864" s="370">
        <f t="shared" si="119"/>
        <v>2</v>
      </c>
      <c r="W864" s="357" t="s">
        <v>151</v>
      </c>
      <c r="X864" s="370">
        <f t="shared" si="121"/>
        <v>24</v>
      </c>
      <c r="Y864" s="370"/>
      <c r="AG864" s="395" t="str">
        <f t="shared" si="114"/>
        <v>|</v>
      </c>
      <c r="AI864" s="356" t="s">
        <v>1256</v>
      </c>
    </row>
    <row r="865" spans="2:35" ht="15.75">
      <c r="F865" s="370">
        <v>2</v>
      </c>
      <c r="G865" s="368" t="s">
        <v>151</v>
      </c>
      <c r="H865" s="514" t="s">
        <v>1829</v>
      </c>
      <c r="I865" s="459">
        <v>4.9000000000000004</v>
      </c>
      <c r="J865" s="356" t="s">
        <v>151</v>
      </c>
      <c r="K865" s="370">
        <f t="shared" si="120"/>
        <v>9.8000000000000007</v>
      </c>
      <c r="N865" s="358"/>
      <c r="Q865" s="360"/>
      <c r="R865" s="363" t="s">
        <v>117</v>
      </c>
      <c r="S865" s="370">
        <v>2</v>
      </c>
      <c r="T865" s="368" t="s">
        <v>151</v>
      </c>
      <c r="U865" s="356" t="s">
        <v>1829</v>
      </c>
      <c r="V865" s="370">
        <f t="shared" si="119"/>
        <v>4.9000000000000004</v>
      </c>
      <c r="W865" s="357" t="s">
        <v>151</v>
      </c>
      <c r="X865" s="370">
        <f t="shared" si="121"/>
        <v>9.8000000000000007</v>
      </c>
      <c r="Y865" s="370"/>
      <c r="AG865" s="395" t="str">
        <f t="shared" si="114"/>
        <v>|</v>
      </c>
      <c r="AI865" s="356" t="s">
        <v>1256</v>
      </c>
    </row>
    <row r="866" spans="2:35" ht="15.75">
      <c r="F866" s="370">
        <v>6</v>
      </c>
      <c r="G866" s="368" t="s">
        <v>151</v>
      </c>
      <c r="H866" s="514" t="s">
        <v>1831</v>
      </c>
      <c r="I866" s="459">
        <v>4.45</v>
      </c>
      <c r="J866" s="356" t="s">
        <v>151</v>
      </c>
      <c r="K866" s="370">
        <f t="shared" si="120"/>
        <v>26.700000000000003</v>
      </c>
      <c r="N866" s="358"/>
      <c r="O866" s="372" t="s">
        <v>1840</v>
      </c>
      <c r="Q866" s="360"/>
      <c r="R866" s="454">
        <f>SUM(R854:R864)</f>
        <v>3848.0415466927498</v>
      </c>
      <c r="S866" s="370">
        <v>6</v>
      </c>
      <c r="T866" s="368" t="s">
        <v>151</v>
      </c>
      <c r="U866" s="356" t="s">
        <v>1831</v>
      </c>
      <c r="V866" s="370">
        <f t="shared" si="119"/>
        <v>4.45</v>
      </c>
      <c r="W866" s="357" t="s">
        <v>151</v>
      </c>
      <c r="X866" s="370">
        <f t="shared" si="121"/>
        <v>26.700000000000003</v>
      </c>
      <c r="Y866" s="370"/>
      <c r="AG866" s="395" t="str">
        <f t="shared" si="114"/>
        <v>|</v>
      </c>
      <c r="AI866" s="356" t="s">
        <v>1256</v>
      </c>
    </row>
    <row r="867" spans="2:35" ht="15.75">
      <c r="F867" s="370">
        <v>1</v>
      </c>
      <c r="G867" s="368" t="s">
        <v>151</v>
      </c>
      <c r="H867" s="356" t="s">
        <v>1834</v>
      </c>
      <c r="I867" s="370">
        <f>C10</f>
        <v>1198.8</v>
      </c>
      <c r="J867" s="356" t="s">
        <v>151</v>
      </c>
      <c r="K867" s="370">
        <f t="shared" si="120"/>
        <v>1198.8</v>
      </c>
      <c r="N867" s="358"/>
      <c r="Q867" s="360"/>
      <c r="R867" s="363" t="s">
        <v>117</v>
      </c>
      <c r="S867" s="370">
        <v>1</v>
      </c>
      <c r="T867" s="368" t="s">
        <v>151</v>
      </c>
      <c r="U867" s="356" t="s">
        <v>1834</v>
      </c>
      <c r="V867" s="370">
        <f t="shared" si="119"/>
        <v>1198.8</v>
      </c>
      <c r="W867" s="357" t="s">
        <v>151</v>
      </c>
      <c r="X867" s="370">
        <f t="shared" si="121"/>
        <v>1198.8</v>
      </c>
      <c r="Y867" s="370"/>
      <c r="AG867" s="395">
        <f t="shared" si="114"/>
        <v>0</v>
      </c>
      <c r="AI867" s="356"/>
    </row>
    <row r="868" spans="2:35" ht="15.75">
      <c r="F868" s="370">
        <v>1</v>
      </c>
      <c r="G868" s="368" t="s">
        <v>151</v>
      </c>
      <c r="H868" s="356" t="s">
        <v>1836</v>
      </c>
      <c r="I868" s="370">
        <f>C12</f>
        <v>781.19999999999993</v>
      </c>
      <c r="J868" s="356" t="s">
        <v>151</v>
      </c>
      <c r="K868" s="370">
        <f t="shared" si="120"/>
        <v>781.19999999999993</v>
      </c>
      <c r="S868" s="370">
        <v>1</v>
      </c>
      <c r="T868" s="368" t="s">
        <v>151</v>
      </c>
      <c r="U868" s="356" t="s">
        <v>1836</v>
      </c>
      <c r="V868" s="370">
        <f t="shared" si="119"/>
        <v>781.19999999999993</v>
      </c>
      <c r="W868" s="357" t="s">
        <v>151</v>
      </c>
      <c r="X868" s="370">
        <f t="shared" si="121"/>
        <v>781.19999999999993</v>
      </c>
      <c r="Y868" s="370"/>
      <c r="AG868" s="395">
        <f t="shared" si="114"/>
        <v>0</v>
      </c>
      <c r="AI868" s="356"/>
    </row>
    <row r="869" spans="2:35" ht="15.75">
      <c r="F869" s="370">
        <v>1</v>
      </c>
      <c r="G869" s="368" t="s">
        <v>151</v>
      </c>
      <c r="H869" s="514" t="s">
        <v>1837</v>
      </c>
      <c r="I869" s="459">
        <v>25</v>
      </c>
      <c r="J869" s="356" t="s">
        <v>151</v>
      </c>
      <c r="K869" s="370">
        <f t="shared" si="120"/>
        <v>25</v>
      </c>
      <c r="R869" s="363"/>
      <c r="S869" s="370">
        <v>1</v>
      </c>
      <c r="T869" s="368" t="s">
        <v>151</v>
      </c>
      <c r="U869" s="356" t="s">
        <v>1837</v>
      </c>
      <c r="V869" s="370">
        <f t="shared" si="119"/>
        <v>25</v>
      </c>
      <c r="W869" s="357" t="s">
        <v>151</v>
      </c>
      <c r="X869" s="370">
        <f t="shared" si="121"/>
        <v>25</v>
      </c>
      <c r="Y869" s="370"/>
      <c r="AG869" s="395">
        <f t="shared" si="114"/>
        <v>0</v>
      </c>
      <c r="AI869" s="356"/>
    </row>
    <row r="870" spans="2:35" ht="15.75">
      <c r="F870" s="370">
        <v>0.5</v>
      </c>
      <c r="G870" s="368" t="s">
        <v>151</v>
      </c>
      <c r="H870" s="356" t="s">
        <v>1838</v>
      </c>
      <c r="I870" s="370">
        <f>C13</f>
        <v>640.79999999999995</v>
      </c>
      <c r="J870" s="356" t="s">
        <v>151</v>
      </c>
      <c r="K870" s="370">
        <f t="shared" si="120"/>
        <v>320.39999999999998</v>
      </c>
      <c r="R870" s="356" t="s">
        <v>114</v>
      </c>
      <c r="S870" s="370">
        <v>0.5</v>
      </c>
      <c r="T870" s="368" t="s">
        <v>151</v>
      </c>
      <c r="U870" s="356" t="s">
        <v>1838</v>
      </c>
      <c r="V870" s="370">
        <f t="shared" si="119"/>
        <v>640.79999999999995</v>
      </c>
      <c r="W870" s="357" t="s">
        <v>151</v>
      </c>
      <c r="X870" s="370">
        <f t="shared" si="121"/>
        <v>320.39999999999998</v>
      </c>
      <c r="Y870" s="370"/>
      <c r="AG870" s="395">
        <f t="shared" si="114"/>
        <v>0</v>
      </c>
      <c r="AI870" s="356"/>
    </row>
    <row r="871" spans="2:35" ht="15.75">
      <c r="G871" s="368" t="s">
        <v>128</v>
      </c>
      <c r="H871" s="356" t="s">
        <v>1839</v>
      </c>
      <c r="J871" s="356" t="s">
        <v>128</v>
      </c>
      <c r="K871" s="370">
        <v>1.1299999999999999</v>
      </c>
      <c r="N871" s="356"/>
      <c r="O871" s="356"/>
      <c r="S871" s="35"/>
      <c r="T871" s="368" t="s">
        <v>128</v>
      </c>
      <c r="U871" s="356" t="s">
        <v>1839</v>
      </c>
      <c r="W871" s="357" t="s">
        <v>128</v>
      </c>
      <c r="X871" s="370">
        <v>0.06</v>
      </c>
      <c r="Y871" s="370"/>
      <c r="AG871" s="395">
        <f t="shared" si="114"/>
        <v>0</v>
      </c>
      <c r="AI871" s="356"/>
    </row>
    <row r="872" spans="2:35" ht="15.75">
      <c r="K872" s="363" t="s">
        <v>117</v>
      </c>
      <c r="O872" s="356"/>
      <c r="S872" s="35"/>
      <c r="T872" s="358"/>
      <c r="W872" s="361"/>
      <c r="X872" s="363" t="s">
        <v>117</v>
      </c>
      <c r="Y872" s="363"/>
      <c r="AG872" s="395">
        <f t="shared" si="114"/>
        <v>0</v>
      </c>
      <c r="AI872" s="356"/>
    </row>
    <row r="873" spans="2:35" ht="15.75">
      <c r="H873" s="372" t="s">
        <v>1840</v>
      </c>
      <c r="K873" s="369">
        <f>SUM(K861:K871)</f>
        <v>3266.643992849135</v>
      </c>
      <c r="N873" s="356"/>
      <c r="O873" s="356"/>
      <c r="P873" s="370"/>
      <c r="R873" s="370"/>
      <c r="S873" s="35"/>
      <c r="T873" s="358"/>
      <c r="U873" s="372" t="s">
        <v>1840</v>
      </c>
      <c r="W873" s="361"/>
      <c r="X873" s="369">
        <f>SUM(X861:X871)</f>
        <v>3434.5930645583248</v>
      </c>
      <c r="Y873" s="369"/>
      <c r="AG873" s="395">
        <f t="shared" si="114"/>
        <v>0</v>
      </c>
      <c r="AI873" s="356"/>
    </row>
    <row r="874" spans="2:35" ht="15.75">
      <c r="K874" s="363" t="s">
        <v>117</v>
      </c>
      <c r="O874" s="356"/>
      <c r="W874" s="361"/>
      <c r="AG874" s="395">
        <f t="shared" si="114"/>
        <v>0</v>
      </c>
      <c r="AI874" s="356"/>
    </row>
    <row r="875" spans="2:35" ht="15.75">
      <c r="O875" s="356"/>
      <c r="W875" s="361"/>
      <c r="AG875" s="395">
        <f t="shared" si="114"/>
        <v>0</v>
      </c>
      <c r="AI875" s="356"/>
    </row>
    <row r="876" spans="2:35" ht="15.75">
      <c r="N876" s="356"/>
      <c r="O876" s="356"/>
      <c r="P876" s="370"/>
      <c r="R876" s="370"/>
      <c r="W876" s="361"/>
      <c r="AG876" s="395">
        <f t="shared" si="114"/>
        <v>0</v>
      </c>
      <c r="AI876" s="356"/>
    </row>
    <row r="877" spans="2:35" ht="15.75">
      <c r="G877" s="368" t="s">
        <v>438</v>
      </c>
      <c r="H877" s="357" t="s">
        <v>1841</v>
      </c>
      <c r="N877" s="356"/>
      <c r="O877" s="356"/>
      <c r="P877" s="370"/>
      <c r="R877" s="370"/>
      <c r="S877" s="35"/>
      <c r="T877" s="368" t="s">
        <v>433</v>
      </c>
      <c r="U877" s="357" t="s">
        <v>1842</v>
      </c>
      <c r="W877" s="361"/>
      <c r="AG877" s="395">
        <f t="shared" si="114"/>
        <v>0</v>
      </c>
      <c r="AI877" s="356"/>
    </row>
    <row r="878" spans="2:35" ht="15.75">
      <c r="H878" s="357" t="s">
        <v>1833</v>
      </c>
      <c r="N878" s="356"/>
      <c r="O878" s="356"/>
      <c r="P878" s="370"/>
      <c r="R878" s="370"/>
      <c r="S878" s="35"/>
      <c r="T878" s="358"/>
      <c r="U878" s="357" t="s">
        <v>1833</v>
      </c>
      <c r="W878" s="361"/>
      <c r="AG878" s="395">
        <f t="shared" si="114"/>
        <v>0</v>
      </c>
      <c r="AI878" s="356"/>
    </row>
    <row r="879" spans="2:35" ht="31.5">
      <c r="B879" s="440" t="s">
        <v>1843</v>
      </c>
      <c r="C879" s="370">
        <f>Z690</f>
        <v>9394.3075183500005</v>
      </c>
      <c r="F879" s="460">
        <v>3.6799999999999999E-2</v>
      </c>
      <c r="G879" s="368" t="s">
        <v>108</v>
      </c>
      <c r="H879" s="440" t="s">
        <v>1843</v>
      </c>
      <c r="I879" s="370">
        <f>Z690</f>
        <v>9394.3075183500005</v>
      </c>
      <c r="J879" s="356" t="s">
        <v>108</v>
      </c>
      <c r="K879" s="370">
        <f>F879*I879</f>
        <v>345.71051667528002</v>
      </c>
      <c r="N879" s="356"/>
      <c r="O879" s="356"/>
      <c r="P879" s="370"/>
      <c r="R879" s="370"/>
      <c r="S879" s="460">
        <v>5.4699999999999999E-2</v>
      </c>
      <c r="T879" s="368" t="s">
        <v>108</v>
      </c>
      <c r="U879" s="356" t="s">
        <v>1823</v>
      </c>
      <c r="V879" s="370">
        <f>I879</f>
        <v>9394.3075183500005</v>
      </c>
      <c r="W879" s="357" t="s">
        <v>108</v>
      </c>
      <c r="X879" s="370">
        <f>S879*V879</f>
        <v>513.868621253745</v>
      </c>
      <c r="Y879" s="370"/>
      <c r="AG879" s="395">
        <f t="shared" ref="AG879:AG951" si="122">AI879</f>
        <v>0</v>
      </c>
      <c r="AI879" s="356"/>
    </row>
    <row r="880" spans="2:35" ht="15.75">
      <c r="B880" s="356" t="s">
        <v>1825</v>
      </c>
      <c r="C880" s="370">
        <f>R1611</f>
        <v>95418.42571428571</v>
      </c>
      <c r="F880" s="370">
        <v>4.87</v>
      </c>
      <c r="G880" s="368" t="s">
        <v>213</v>
      </c>
      <c r="H880" s="356" t="s">
        <v>1825</v>
      </c>
      <c r="I880" s="370">
        <f>K1610</f>
        <v>95267.640000000014</v>
      </c>
      <c r="J880" s="356" t="s">
        <v>124</v>
      </c>
      <c r="K880" s="370">
        <f>F880*I880/1000</f>
        <v>463.95340680000004</v>
      </c>
      <c r="N880" s="356"/>
      <c r="O880" s="356"/>
      <c r="P880" s="370"/>
      <c r="R880" s="370"/>
      <c r="S880" s="513">
        <v>6.16</v>
      </c>
      <c r="T880" s="368" t="s">
        <v>213</v>
      </c>
      <c r="U880" s="356" t="s">
        <v>1825</v>
      </c>
      <c r="V880" s="370">
        <f t="shared" ref="V880:V888" si="123">I880</f>
        <v>95267.640000000014</v>
      </c>
      <c r="W880" s="357" t="s">
        <v>124</v>
      </c>
      <c r="X880" s="370">
        <f>S880*V880/1000</f>
        <v>586.84866240000019</v>
      </c>
      <c r="Y880" s="370"/>
      <c r="AG880" s="395">
        <f t="shared" si="122"/>
        <v>0</v>
      </c>
      <c r="AI880" s="356"/>
    </row>
    <row r="881" spans="6:35" ht="15.75">
      <c r="F881" s="370">
        <v>3</v>
      </c>
      <c r="G881" s="368" t="s">
        <v>151</v>
      </c>
      <c r="H881" s="356" t="s">
        <v>1827</v>
      </c>
      <c r="I881" s="507">
        <f>I863</f>
        <v>14.8</v>
      </c>
      <c r="J881" s="356" t="s">
        <v>151</v>
      </c>
      <c r="K881" s="370">
        <f t="shared" ref="K881:K888" si="124">F881*I881</f>
        <v>44.400000000000006</v>
      </c>
      <c r="N881" s="356"/>
      <c r="O881" s="356"/>
      <c r="P881" s="370"/>
      <c r="R881" s="370"/>
      <c r="S881" s="370">
        <v>3</v>
      </c>
      <c r="T881" s="368" t="s">
        <v>151</v>
      </c>
      <c r="U881" s="356" t="s">
        <v>1827</v>
      </c>
      <c r="V881" s="370">
        <f t="shared" si="123"/>
        <v>14.8</v>
      </c>
      <c r="W881" s="357" t="s">
        <v>151</v>
      </c>
      <c r="X881" s="370">
        <f t="shared" ref="X881:X888" si="125">S881*V881</f>
        <v>44.400000000000006</v>
      </c>
      <c r="Y881" s="370"/>
      <c r="AG881" s="395">
        <f t="shared" si="122"/>
        <v>0</v>
      </c>
      <c r="AI881" s="356"/>
    </row>
    <row r="882" spans="6:35" ht="15.75">
      <c r="F882" s="370">
        <v>12</v>
      </c>
      <c r="G882" s="368" t="s">
        <v>151</v>
      </c>
      <c r="H882" s="356" t="s">
        <v>1828</v>
      </c>
      <c r="I882" s="507">
        <f>I864</f>
        <v>2</v>
      </c>
      <c r="J882" s="356" t="s">
        <v>151</v>
      </c>
      <c r="K882" s="370">
        <f t="shared" si="124"/>
        <v>24</v>
      </c>
      <c r="N882" s="356"/>
      <c r="O882" s="356"/>
      <c r="P882" s="370"/>
      <c r="R882" s="370"/>
      <c r="S882" s="370">
        <v>12</v>
      </c>
      <c r="T882" s="368" t="s">
        <v>151</v>
      </c>
      <c r="U882" s="356" t="s">
        <v>1828</v>
      </c>
      <c r="V882" s="370">
        <f t="shared" si="123"/>
        <v>2</v>
      </c>
      <c r="W882" s="357" t="s">
        <v>151</v>
      </c>
      <c r="X882" s="370">
        <f t="shared" si="125"/>
        <v>24</v>
      </c>
      <c r="Y882" s="370"/>
      <c r="AG882" s="395">
        <f t="shared" si="122"/>
        <v>0</v>
      </c>
      <c r="AI882" s="356"/>
    </row>
    <row r="883" spans="6:35" ht="15.75">
      <c r="F883" s="370">
        <v>2</v>
      </c>
      <c r="G883" s="368" t="s">
        <v>151</v>
      </c>
      <c r="H883" s="356" t="s">
        <v>1829</v>
      </c>
      <c r="I883" s="507">
        <f>I865</f>
        <v>4.9000000000000004</v>
      </c>
      <c r="J883" s="356" t="s">
        <v>151</v>
      </c>
      <c r="K883" s="370">
        <f t="shared" si="124"/>
        <v>9.8000000000000007</v>
      </c>
      <c r="R883" s="370"/>
      <c r="S883" s="370">
        <v>2</v>
      </c>
      <c r="T883" s="368" t="s">
        <v>151</v>
      </c>
      <c r="U883" s="356" t="s">
        <v>1829</v>
      </c>
      <c r="V883" s="370">
        <f t="shared" si="123"/>
        <v>4.9000000000000004</v>
      </c>
      <c r="W883" s="357" t="s">
        <v>151</v>
      </c>
      <c r="X883" s="370">
        <f t="shared" si="125"/>
        <v>9.8000000000000007</v>
      </c>
      <c r="Y883" s="370"/>
      <c r="AG883" s="395">
        <f t="shared" si="122"/>
        <v>0</v>
      </c>
      <c r="AI883" s="356"/>
    </row>
    <row r="884" spans="6:35" ht="15.75">
      <c r="F884" s="370">
        <v>6</v>
      </c>
      <c r="G884" s="368" t="s">
        <v>151</v>
      </c>
      <c r="H884" s="356" t="s">
        <v>1831</v>
      </c>
      <c r="I884" s="507">
        <f>I866</f>
        <v>4.45</v>
      </c>
      <c r="J884" s="356" t="s">
        <v>151</v>
      </c>
      <c r="K884" s="370">
        <f t="shared" si="124"/>
        <v>26.700000000000003</v>
      </c>
      <c r="R884" s="363"/>
      <c r="S884" s="370">
        <v>6</v>
      </c>
      <c r="T884" s="368" t="s">
        <v>151</v>
      </c>
      <c r="U884" s="356" t="s">
        <v>1831</v>
      </c>
      <c r="V884" s="370">
        <f t="shared" si="123"/>
        <v>4.45</v>
      </c>
      <c r="W884" s="357" t="s">
        <v>151</v>
      </c>
      <c r="X884" s="370">
        <f t="shared" si="125"/>
        <v>26.700000000000003</v>
      </c>
      <c r="Y884" s="370"/>
      <c r="AG884" s="395">
        <f t="shared" si="122"/>
        <v>0</v>
      </c>
      <c r="AI884" s="356"/>
    </row>
    <row r="885" spans="6:35" ht="15.75">
      <c r="F885" s="370">
        <v>1</v>
      </c>
      <c r="G885" s="368" t="s">
        <v>151</v>
      </c>
      <c r="H885" s="356" t="s">
        <v>1834</v>
      </c>
      <c r="I885" s="370">
        <f>C10</f>
        <v>1198.8</v>
      </c>
      <c r="J885" s="356" t="s">
        <v>151</v>
      </c>
      <c r="K885" s="370">
        <f t="shared" si="124"/>
        <v>1198.8</v>
      </c>
      <c r="O885" s="357"/>
      <c r="R885" s="370"/>
      <c r="S885" s="370">
        <v>1</v>
      </c>
      <c r="T885" s="368" t="s">
        <v>151</v>
      </c>
      <c r="U885" s="356" t="s">
        <v>1834</v>
      </c>
      <c r="V885" s="370">
        <f t="shared" si="123"/>
        <v>1198.8</v>
      </c>
      <c r="W885" s="357" t="s">
        <v>151</v>
      </c>
      <c r="X885" s="370">
        <f t="shared" si="125"/>
        <v>1198.8</v>
      </c>
      <c r="Y885" s="370"/>
      <c r="AG885" s="395">
        <f t="shared" si="122"/>
        <v>0</v>
      </c>
      <c r="AI885" s="356"/>
    </row>
    <row r="886" spans="6:35" ht="15.75">
      <c r="F886" s="370">
        <v>1</v>
      </c>
      <c r="G886" s="368" t="s">
        <v>151</v>
      </c>
      <c r="H886" s="356" t="s">
        <v>1836</v>
      </c>
      <c r="I886" s="370">
        <f>C12</f>
        <v>781.19999999999993</v>
      </c>
      <c r="J886" s="356" t="s">
        <v>151</v>
      </c>
      <c r="K886" s="370">
        <f t="shared" si="124"/>
        <v>781.19999999999993</v>
      </c>
      <c r="R886" s="363"/>
      <c r="S886" s="370">
        <v>1</v>
      </c>
      <c r="T886" s="368" t="s">
        <v>151</v>
      </c>
      <c r="U886" s="356" t="s">
        <v>1836</v>
      </c>
      <c r="V886" s="370">
        <f t="shared" si="123"/>
        <v>781.19999999999993</v>
      </c>
      <c r="W886" s="357" t="s">
        <v>151</v>
      </c>
      <c r="X886" s="370">
        <f t="shared" si="125"/>
        <v>781.19999999999993</v>
      </c>
      <c r="Y886" s="370"/>
      <c r="AG886" s="395" t="str">
        <f t="shared" si="122"/>
        <v>|</v>
      </c>
      <c r="AI886" s="356" t="s">
        <v>1256</v>
      </c>
    </row>
    <row r="887" spans="6:35" ht="15.75">
      <c r="F887" s="370">
        <v>1</v>
      </c>
      <c r="G887" s="368" t="s">
        <v>151</v>
      </c>
      <c r="H887" s="356" t="s">
        <v>1837</v>
      </c>
      <c r="I887" s="515">
        <v>25</v>
      </c>
      <c r="J887" s="356" t="s">
        <v>151</v>
      </c>
      <c r="K887" s="370">
        <f t="shared" si="124"/>
        <v>25</v>
      </c>
      <c r="S887" s="370">
        <v>1</v>
      </c>
      <c r="T887" s="368" t="s">
        <v>151</v>
      </c>
      <c r="U887" s="356" t="s">
        <v>1837</v>
      </c>
      <c r="V887" s="370">
        <f t="shared" si="123"/>
        <v>25</v>
      </c>
      <c r="W887" s="357" t="s">
        <v>151</v>
      </c>
      <c r="X887" s="370">
        <f t="shared" si="125"/>
        <v>25</v>
      </c>
      <c r="Y887" s="370"/>
      <c r="AG887" s="395" t="str">
        <f t="shared" si="122"/>
        <v>|</v>
      </c>
      <c r="AI887" s="356" t="s">
        <v>1256</v>
      </c>
    </row>
    <row r="888" spans="6:35" ht="15.75">
      <c r="F888" s="370">
        <v>0.5</v>
      </c>
      <c r="G888" s="368" t="s">
        <v>151</v>
      </c>
      <c r="H888" s="356" t="s">
        <v>1838</v>
      </c>
      <c r="I888" s="370">
        <f>C13</f>
        <v>640.79999999999995</v>
      </c>
      <c r="J888" s="356" t="s">
        <v>151</v>
      </c>
      <c r="K888" s="370">
        <f t="shared" si="124"/>
        <v>320.39999999999998</v>
      </c>
      <c r="M888" s="357" t="s">
        <v>1844</v>
      </c>
      <c r="N888" s="356" t="s">
        <v>122</v>
      </c>
      <c r="O888" s="356" t="s">
        <v>1845</v>
      </c>
      <c r="S888" s="370">
        <v>0.5</v>
      </c>
      <c r="T888" s="368" t="s">
        <v>151</v>
      </c>
      <c r="U888" s="356" t="s">
        <v>1838</v>
      </c>
      <c r="V888" s="370">
        <f t="shared" si="123"/>
        <v>640.79999999999995</v>
      </c>
      <c r="W888" s="357" t="s">
        <v>151</v>
      </c>
      <c r="X888" s="370">
        <f t="shared" si="125"/>
        <v>320.39999999999998</v>
      </c>
      <c r="Y888" s="370"/>
      <c r="AG888" s="395" t="str">
        <f t="shared" si="122"/>
        <v>|</v>
      </c>
      <c r="AI888" s="356" t="s">
        <v>1256</v>
      </c>
    </row>
    <row r="889" spans="6:35" ht="15.75">
      <c r="G889" s="368" t="s">
        <v>128</v>
      </c>
      <c r="H889" s="356" t="s">
        <v>1839</v>
      </c>
      <c r="J889" s="356" t="s">
        <v>128</v>
      </c>
      <c r="K889" s="370">
        <v>1.98</v>
      </c>
      <c r="O889" s="356" t="s">
        <v>1846</v>
      </c>
      <c r="S889" s="35"/>
      <c r="T889" s="368" t="s">
        <v>128</v>
      </c>
      <c r="U889" s="356" t="s">
        <v>1839</v>
      </c>
      <c r="W889" s="357" t="s">
        <v>128</v>
      </c>
      <c r="X889" s="370">
        <v>0.27</v>
      </c>
      <c r="Y889" s="370"/>
      <c r="AG889" s="395" t="str">
        <f t="shared" si="122"/>
        <v>|</v>
      </c>
      <c r="AI889" s="356" t="s">
        <v>1256</v>
      </c>
    </row>
    <row r="890" spans="6:35" ht="15.75">
      <c r="K890" s="363" t="s">
        <v>117</v>
      </c>
      <c r="O890" s="363" t="s">
        <v>117</v>
      </c>
      <c r="P890" s="363" t="s">
        <v>117</v>
      </c>
      <c r="S890" s="35"/>
      <c r="T890" s="358"/>
      <c r="W890" s="361"/>
      <c r="X890" s="363" t="s">
        <v>117</v>
      </c>
      <c r="Y890" s="363"/>
      <c r="AG890" s="395" t="str">
        <f t="shared" si="122"/>
        <v>|</v>
      </c>
      <c r="AI890" s="356" t="s">
        <v>1256</v>
      </c>
    </row>
    <row r="891" spans="6:35" ht="15.75">
      <c r="H891" s="372" t="s">
        <v>1840</v>
      </c>
      <c r="K891" s="369">
        <f>SUM(K879:K889)</f>
        <v>3241.9439234752799</v>
      </c>
      <c r="L891" s="35">
        <f>K891-1729</f>
        <v>1512.9439234752799</v>
      </c>
      <c r="O891" s="356" t="s">
        <v>1847</v>
      </c>
      <c r="S891" s="35"/>
      <c r="T891" s="358"/>
      <c r="U891" s="372" t="s">
        <v>1840</v>
      </c>
      <c r="W891" s="361"/>
      <c r="X891" s="369">
        <f>SUM(X879:X889)</f>
        <v>3531.2872836537454</v>
      </c>
      <c r="Y891" s="369"/>
      <c r="AG891" s="395" t="str">
        <f t="shared" si="122"/>
        <v>|</v>
      </c>
      <c r="AI891" s="356" t="s">
        <v>1256</v>
      </c>
    </row>
    <row r="892" spans="6:35" ht="15.75">
      <c r="K892" s="363" t="s">
        <v>117</v>
      </c>
      <c r="M892" s="370">
        <v>0.5</v>
      </c>
      <c r="N892" s="357" t="s">
        <v>223</v>
      </c>
      <c r="O892" s="356" t="s">
        <v>1848</v>
      </c>
      <c r="P892" s="370">
        <f>C16</f>
        <v>1171.2</v>
      </c>
      <c r="Q892" s="357" t="s">
        <v>245</v>
      </c>
      <c r="R892" s="370">
        <f>(M892*P892)</f>
        <v>585.6</v>
      </c>
      <c r="W892" s="361"/>
      <c r="AG892" s="395" t="str">
        <f t="shared" si="122"/>
        <v>|</v>
      </c>
      <c r="AI892" s="356" t="s">
        <v>1256</v>
      </c>
    </row>
    <row r="893" spans="6:35" ht="15.75">
      <c r="F893" s="357"/>
      <c r="G893" s="368" t="s">
        <v>431</v>
      </c>
      <c r="H893" s="357" t="s">
        <v>1849</v>
      </c>
      <c r="K893" s="35">
        <f>K891-1800.2</f>
        <v>1441.7439234752799</v>
      </c>
      <c r="M893" s="370">
        <v>0.25</v>
      </c>
      <c r="N893" s="357" t="s">
        <v>223</v>
      </c>
      <c r="O893" s="356" t="s">
        <v>1850</v>
      </c>
      <c r="P893" s="370">
        <f>C12</f>
        <v>781.19999999999993</v>
      </c>
      <c r="Q893" s="357" t="s">
        <v>245</v>
      </c>
      <c r="R893" s="370">
        <f>(M893*P893)</f>
        <v>195.29999999999998</v>
      </c>
      <c r="S893" s="35"/>
      <c r="T893" s="368" t="s">
        <v>433</v>
      </c>
      <c r="U893" s="357" t="s">
        <v>1851</v>
      </c>
      <c r="W893" s="361"/>
      <c r="AG893" s="395" t="str">
        <f t="shared" si="122"/>
        <v>|</v>
      </c>
      <c r="AI893" s="356" t="s">
        <v>1256</v>
      </c>
    </row>
    <row r="894" spans="6:35" ht="15.75">
      <c r="H894" s="357" t="s">
        <v>1833</v>
      </c>
      <c r="R894" s="363" t="s">
        <v>117</v>
      </c>
      <c r="S894" s="35"/>
      <c r="T894" s="358"/>
      <c r="U894" s="357" t="s">
        <v>1833</v>
      </c>
      <c r="W894" s="361"/>
      <c r="AG894" s="395" t="str">
        <f t="shared" si="122"/>
        <v>|</v>
      </c>
      <c r="AI894" s="356" t="s">
        <v>1256</v>
      </c>
    </row>
    <row r="895" spans="6:35" ht="15.75">
      <c r="F895" s="460">
        <v>3.5299999999999998E-2</v>
      </c>
      <c r="G895" s="368" t="s">
        <v>108</v>
      </c>
      <c r="H895" s="356" t="s">
        <v>1823</v>
      </c>
      <c r="I895" s="370">
        <f t="shared" ref="I895:I900" si="126">I879</f>
        <v>9394.3075183500005</v>
      </c>
      <c r="J895" s="356" t="s">
        <v>108</v>
      </c>
      <c r="K895" s="370">
        <f>F895*I895</f>
        <v>331.61905539775501</v>
      </c>
      <c r="O895" s="357" t="s">
        <v>1852</v>
      </c>
      <c r="R895" s="370">
        <f>SUM(R892:R893)</f>
        <v>780.9</v>
      </c>
      <c r="S895" s="460">
        <v>5.91E-2</v>
      </c>
      <c r="T895" s="368" t="s">
        <v>108</v>
      </c>
      <c r="U895" s="356" t="s">
        <v>1823</v>
      </c>
      <c r="V895" s="370">
        <f>V879</f>
        <v>9394.3075183500005</v>
      </c>
      <c r="W895" s="357" t="s">
        <v>108</v>
      </c>
      <c r="X895" s="370">
        <f>S895*V895</f>
        <v>555.20357433448498</v>
      </c>
      <c r="Y895" s="370"/>
      <c r="AG895" s="395" t="str">
        <f t="shared" si="122"/>
        <v>|</v>
      </c>
      <c r="AI895" s="356" t="s">
        <v>1256</v>
      </c>
    </row>
    <row r="896" spans="6:35" ht="15.75">
      <c r="F896" s="370">
        <v>4.59</v>
      </c>
      <c r="G896" s="368" t="s">
        <v>213</v>
      </c>
      <c r="H896" s="356" t="s">
        <v>1825</v>
      </c>
      <c r="I896" s="370">
        <f t="shared" si="126"/>
        <v>95267.640000000014</v>
      </c>
      <c r="J896" s="356" t="s">
        <v>124</v>
      </c>
      <c r="K896" s="370">
        <f>F896*I896/1000</f>
        <v>437.27846760000006</v>
      </c>
      <c r="R896" s="363" t="s">
        <v>117</v>
      </c>
      <c r="S896" s="513">
        <v>6.58</v>
      </c>
      <c r="T896" s="368" t="s">
        <v>213</v>
      </c>
      <c r="U896" s="356" t="s">
        <v>1825</v>
      </c>
      <c r="V896" s="370">
        <f t="shared" ref="V896:V904" si="127">V880</f>
        <v>95267.640000000014</v>
      </c>
      <c r="W896" s="357" t="s">
        <v>124</v>
      </c>
      <c r="X896" s="370">
        <f>S896*V896/1000</f>
        <v>626.86107120000008</v>
      </c>
      <c r="Y896" s="370"/>
      <c r="AG896" s="395" t="str">
        <f t="shared" si="122"/>
        <v>|</v>
      </c>
      <c r="AI896" s="356" t="s">
        <v>1256</v>
      </c>
    </row>
    <row r="897" spans="6:35" ht="15.75">
      <c r="F897" s="370">
        <v>3</v>
      </c>
      <c r="G897" s="368" t="s">
        <v>151</v>
      </c>
      <c r="H897" s="356" t="s">
        <v>1827</v>
      </c>
      <c r="I897" s="507">
        <f t="shared" si="126"/>
        <v>14.8</v>
      </c>
      <c r="J897" s="356" t="s">
        <v>151</v>
      </c>
      <c r="K897" s="370">
        <f t="shared" ref="K897:K904" si="128">F897*I897</f>
        <v>44.400000000000006</v>
      </c>
      <c r="O897" s="357" t="s">
        <v>1853</v>
      </c>
      <c r="R897" s="370">
        <f>R895/0.0283</f>
        <v>27593.639575971731</v>
      </c>
      <c r="S897" s="370">
        <v>3</v>
      </c>
      <c r="T897" s="368" t="s">
        <v>151</v>
      </c>
      <c r="U897" s="356" t="s">
        <v>1827</v>
      </c>
      <c r="V897" s="370">
        <f t="shared" si="127"/>
        <v>14.8</v>
      </c>
      <c r="W897" s="357" t="s">
        <v>151</v>
      </c>
      <c r="X897" s="370">
        <f t="shared" ref="X897:X904" si="129">S897*V897</f>
        <v>44.400000000000006</v>
      </c>
      <c r="Y897" s="370"/>
      <c r="AG897" s="395" t="str">
        <f t="shared" si="122"/>
        <v>|</v>
      </c>
      <c r="AI897" s="356" t="s">
        <v>1256</v>
      </c>
    </row>
    <row r="898" spans="6:35" ht="15.75">
      <c r="F898" s="370">
        <v>12</v>
      </c>
      <c r="G898" s="368" t="s">
        <v>151</v>
      </c>
      <c r="H898" s="356" t="s">
        <v>1828</v>
      </c>
      <c r="I898" s="507">
        <f t="shared" si="126"/>
        <v>2</v>
      </c>
      <c r="J898" s="356" t="s">
        <v>151</v>
      </c>
      <c r="K898" s="370">
        <f t="shared" si="128"/>
        <v>24</v>
      </c>
      <c r="R898" s="363" t="s">
        <v>117</v>
      </c>
      <c r="S898" s="370">
        <v>12</v>
      </c>
      <c r="T898" s="368" t="s">
        <v>151</v>
      </c>
      <c r="U898" s="356" t="s">
        <v>1828</v>
      </c>
      <c r="V898" s="370">
        <f t="shared" si="127"/>
        <v>2</v>
      </c>
      <c r="W898" s="357" t="s">
        <v>151</v>
      </c>
      <c r="X898" s="370">
        <f t="shared" si="129"/>
        <v>24</v>
      </c>
      <c r="Y898" s="370"/>
      <c r="AG898" s="395" t="str">
        <f t="shared" si="122"/>
        <v>|</v>
      </c>
      <c r="AI898" s="356" t="s">
        <v>1256</v>
      </c>
    </row>
    <row r="899" spans="6:35" ht="15.75">
      <c r="F899" s="370">
        <v>2</v>
      </c>
      <c r="G899" s="368" t="s">
        <v>151</v>
      </c>
      <c r="H899" s="370" t="str">
        <f>H883</f>
        <v>TOWER BOLT RECEIVER</v>
      </c>
      <c r="I899" s="507">
        <f t="shared" si="126"/>
        <v>4.9000000000000004</v>
      </c>
      <c r="J899" s="356" t="s">
        <v>151</v>
      </c>
      <c r="K899" s="370">
        <f t="shared" si="128"/>
        <v>9.8000000000000007</v>
      </c>
      <c r="S899" s="370">
        <v>2</v>
      </c>
      <c r="T899" s="368" t="s">
        <v>151</v>
      </c>
      <c r="U899" s="356" t="s">
        <v>1829</v>
      </c>
      <c r="V899" s="370">
        <f t="shared" si="127"/>
        <v>4.9000000000000004</v>
      </c>
      <c r="W899" s="357" t="s">
        <v>151</v>
      </c>
      <c r="X899" s="370">
        <f t="shared" si="129"/>
        <v>9.8000000000000007</v>
      </c>
      <c r="Y899" s="370"/>
      <c r="AG899" s="395" t="str">
        <f t="shared" si="122"/>
        <v>|</v>
      </c>
      <c r="AI899" s="356" t="s">
        <v>1256</v>
      </c>
    </row>
    <row r="900" spans="6:35" ht="15.75">
      <c r="F900" s="370">
        <v>6</v>
      </c>
      <c r="G900" s="368" t="s">
        <v>151</v>
      </c>
      <c r="H900" s="356" t="s">
        <v>1831</v>
      </c>
      <c r="I900" s="507">
        <f t="shared" si="126"/>
        <v>4.45</v>
      </c>
      <c r="J900" s="356" t="s">
        <v>151</v>
      </c>
      <c r="K900" s="370">
        <f t="shared" si="128"/>
        <v>26.700000000000003</v>
      </c>
      <c r="S900" s="370">
        <v>6</v>
      </c>
      <c r="T900" s="368" t="s">
        <v>151</v>
      </c>
      <c r="U900" s="356" t="s">
        <v>1831</v>
      </c>
      <c r="V900" s="370">
        <f t="shared" si="127"/>
        <v>4.45</v>
      </c>
      <c r="W900" s="357" t="s">
        <v>151</v>
      </c>
      <c r="X900" s="370">
        <f t="shared" si="129"/>
        <v>26.700000000000003</v>
      </c>
      <c r="Y900" s="370"/>
      <c r="AG900" s="395" t="str">
        <f t="shared" si="122"/>
        <v>|</v>
      </c>
      <c r="AI900" s="356" t="s">
        <v>1256</v>
      </c>
    </row>
    <row r="901" spans="6:35" ht="15.75">
      <c r="F901" s="370">
        <v>1</v>
      </c>
      <c r="G901" s="368" t="s">
        <v>151</v>
      </c>
      <c r="H901" s="356" t="s">
        <v>1834</v>
      </c>
      <c r="I901" s="370">
        <f>C10</f>
        <v>1198.8</v>
      </c>
      <c r="J901" s="356" t="s">
        <v>151</v>
      </c>
      <c r="K901" s="370">
        <f t="shared" si="128"/>
        <v>1198.8</v>
      </c>
      <c r="S901" s="370">
        <v>1</v>
      </c>
      <c r="T901" s="368" t="s">
        <v>151</v>
      </c>
      <c r="U901" s="356" t="s">
        <v>1834</v>
      </c>
      <c r="V901" s="370">
        <f t="shared" si="127"/>
        <v>1198.8</v>
      </c>
      <c r="W901" s="357" t="s">
        <v>151</v>
      </c>
      <c r="X901" s="370">
        <f t="shared" si="129"/>
        <v>1198.8</v>
      </c>
      <c r="Y901" s="370"/>
      <c r="AG901" s="395" t="str">
        <f t="shared" si="122"/>
        <v>|</v>
      </c>
      <c r="AI901" s="356" t="s">
        <v>1256</v>
      </c>
    </row>
    <row r="902" spans="6:35" ht="15.75">
      <c r="F902" s="370">
        <v>1</v>
      </c>
      <c r="G902" s="368" t="s">
        <v>151</v>
      </c>
      <c r="H902" s="356" t="s">
        <v>1836</v>
      </c>
      <c r="I902" s="370">
        <f>C12</f>
        <v>781.19999999999993</v>
      </c>
      <c r="J902" s="356" t="s">
        <v>151</v>
      </c>
      <c r="K902" s="370">
        <f t="shared" si="128"/>
        <v>781.19999999999993</v>
      </c>
      <c r="S902" s="370">
        <v>1</v>
      </c>
      <c r="T902" s="368" t="s">
        <v>151</v>
      </c>
      <c r="U902" s="356" t="s">
        <v>1836</v>
      </c>
      <c r="V902" s="370">
        <f t="shared" si="127"/>
        <v>781.19999999999993</v>
      </c>
      <c r="W902" s="357" t="s">
        <v>151</v>
      </c>
      <c r="X902" s="370">
        <f t="shared" si="129"/>
        <v>781.19999999999993</v>
      </c>
      <c r="Y902" s="370"/>
      <c r="AG902" s="395" t="str">
        <f t="shared" si="122"/>
        <v>|</v>
      </c>
      <c r="AI902" s="356" t="s">
        <v>1256</v>
      </c>
    </row>
    <row r="903" spans="6:35" ht="15.75">
      <c r="F903" s="370">
        <v>1</v>
      </c>
      <c r="G903" s="368" t="s">
        <v>151</v>
      </c>
      <c r="H903" s="370" t="str">
        <f>H887</f>
        <v>MOULDING CHARGES</v>
      </c>
      <c r="I903" s="459">
        <v>25</v>
      </c>
      <c r="J903" s="356" t="s">
        <v>151</v>
      </c>
      <c r="K903" s="370">
        <f t="shared" si="128"/>
        <v>25</v>
      </c>
      <c r="S903" s="370">
        <v>1</v>
      </c>
      <c r="T903" s="368" t="s">
        <v>151</v>
      </c>
      <c r="U903" s="356" t="s">
        <v>1837</v>
      </c>
      <c r="V903" s="370">
        <f t="shared" si="127"/>
        <v>25</v>
      </c>
      <c r="W903" s="357" t="s">
        <v>151</v>
      </c>
      <c r="X903" s="370">
        <f t="shared" si="129"/>
        <v>25</v>
      </c>
      <c r="Y903" s="370"/>
      <c r="AG903" s="395">
        <f t="shared" si="122"/>
        <v>0</v>
      </c>
    </row>
    <row r="904" spans="6:35" ht="15.75">
      <c r="F904" s="370">
        <v>0.5</v>
      </c>
      <c r="G904" s="368" t="s">
        <v>151</v>
      </c>
      <c r="H904" s="356" t="s">
        <v>1838</v>
      </c>
      <c r="I904" s="370">
        <f>C13</f>
        <v>640.79999999999995</v>
      </c>
      <c r="J904" s="356" t="s">
        <v>151</v>
      </c>
      <c r="K904" s="370">
        <f t="shared" si="128"/>
        <v>320.39999999999998</v>
      </c>
      <c r="M904" s="370"/>
      <c r="N904" s="356"/>
      <c r="O904" s="356"/>
      <c r="P904" s="370"/>
      <c r="R904" s="370"/>
      <c r="S904" s="370">
        <v>0.5</v>
      </c>
      <c r="T904" s="368" t="s">
        <v>151</v>
      </c>
      <c r="U904" s="356" t="s">
        <v>1838</v>
      </c>
      <c r="V904" s="370">
        <f t="shared" si="127"/>
        <v>640.79999999999995</v>
      </c>
      <c r="W904" s="357" t="s">
        <v>151</v>
      </c>
      <c r="X904" s="370">
        <f t="shared" si="129"/>
        <v>320.39999999999998</v>
      </c>
      <c r="Y904" s="370"/>
      <c r="AG904" s="395">
        <f t="shared" si="122"/>
        <v>0</v>
      </c>
    </row>
    <row r="905" spans="6:35" ht="15.75">
      <c r="G905" s="368" t="s">
        <v>128</v>
      </c>
      <c r="H905" s="356" t="s">
        <v>1839</v>
      </c>
      <c r="J905" s="356" t="s">
        <v>128</v>
      </c>
      <c r="K905" s="370">
        <v>1.39</v>
      </c>
      <c r="M905" s="461"/>
      <c r="N905" s="356"/>
      <c r="O905" s="356"/>
      <c r="P905" s="370"/>
      <c r="R905" s="370"/>
      <c r="S905" s="35"/>
      <c r="T905" s="368" t="s">
        <v>128</v>
      </c>
      <c r="U905" s="356" t="s">
        <v>1839</v>
      </c>
      <c r="W905" s="357" t="s">
        <v>128</v>
      </c>
      <c r="X905" s="370">
        <v>0.21</v>
      </c>
      <c r="Y905" s="370"/>
      <c r="AG905" s="395">
        <f t="shared" si="122"/>
        <v>0</v>
      </c>
    </row>
    <row r="906" spans="6:35" ht="15.75">
      <c r="K906" s="363" t="s">
        <v>117</v>
      </c>
      <c r="M906" s="370"/>
      <c r="N906" s="356"/>
      <c r="O906" s="356"/>
      <c r="P906" s="370"/>
      <c r="R906" s="370"/>
      <c r="S906" s="35"/>
      <c r="T906" s="358"/>
      <c r="W906" s="361"/>
      <c r="X906" s="363" t="s">
        <v>117</v>
      </c>
      <c r="Y906" s="363"/>
      <c r="AG906" s="395">
        <f t="shared" si="122"/>
        <v>0</v>
      </c>
    </row>
    <row r="907" spans="6:35" ht="15.75">
      <c r="H907" s="372" t="s">
        <v>1840</v>
      </c>
      <c r="K907" s="369">
        <f>SUM(K895:K905)</f>
        <v>3200.5875229977546</v>
      </c>
      <c r="R907" s="370"/>
      <c r="S907" s="35"/>
      <c r="T907" s="358"/>
      <c r="U907" s="372" t="s">
        <v>1840</v>
      </c>
      <c r="W907" s="361"/>
      <c r="X907" s="369">
        <f>SUM(X895:X905)</f>
        <v>3612.5746455344847</v>
      </c>
      <c r="Y907" s="369"/>
      <c r="AG907" s="395">
        <f t="shared" si="122"/>
        <v>0</v>
      </c>
    </row>
    <row r="908" spans="6:35" ht="15.75">
      <c r="K908" s="363" t="s">
        <v>117</v>
      </c>
      <c r="W908" s="361"/>
      <c r="AG908" s="395">
        <f t="shared" si="122"/>
        <v>0</v>
      </c>
    </row>
    <row r="909" spans="6:35" ht="15.75">
      <c r="R909" s="363"/>
      <c r="W909" s="361"/>
      <c r="AG909" s="395">
        <f t="shared" si="122"/>
        <v>0</v>
      </c>
    </row>
    <row r="910" spans="6:35" ht="90">
      <c r="F910" s="516">
        <v>21.3</v>
      </c>
      <c r="G910" s="368" t="s">
        <v>122</v>
      </c>
      <c r="H910" s="517" t="s">
        <v>1854</v>
      </c>
      <c r="O910" s="357"/>
      <c r="R910" s="370"/>
      <c r="W910" s="361"/>
      <c r="AG910" s="395">
        <f t="shared" si="122"/>
        <v>0</v>
      </c>
    </row>
    <row r="911" spans="6:35" ht="15.75">
      <c r="H911" s="356" t="s">
        <v>1855</v>
      </c>
      <c r="W911" s="361"/>
      <c r="AG911" s="395">
        <f t="shared" si="122"/>
        <v>0</v>
      </c>
    </row>
    <row r="912" spans="6:35" ht="15.75">
      <c r="H912" s="363" t="s">
        <v>117</v>
      </c>
      <c r="J912" s="360" t="s">
        <v>1856</v>
      </c>
      <c r="W912" s="361"/>
      <c r="AG912" s="395">
        <f t="shared" si="122"/>
        <v>0</v>
      </c>
    </row>
    <row r="913" spans="6:35" ht="15.75">
      <c r="W913" s="361"/>
      <c r="AG913" s="395">
        <f t="shared" si="122"/>
        <v>0</v>
      </c>
    </row>
    <row r="914" spans="6:35" ht="15.75">
      <c r="H914" s="450" t="s">
        <v>1857</v>
      </c>
      <c r="J914" s="356" t="s">
        <v>107</v>
      </c>
      <c r="K914" s="390">
        <v>2135</v>
      </c>
      <c r="W914" s="361"/>
      <c r="AG914" s="395">
        <f t="shared" si="122"/>
        <v>0</v>
      </c>
    </row>
    <row r="915" spans="6:35" ht="15.75">
      <c r="F915" s="356" t="s">
        <v>114</v>
      </c>
      <c r="W915" s="361"/>
      <c r="AG915" s="395">
        <f t="shared" si="122"/>
        <v>0</v>
      </c>
    </row>
    <row r="916" spans="6:35" ht="15.75">
      <c r="H916" s="357" t="s">
        <v>1858</v>
      </c>
      <c r="K916" s="363" t="s">
        <v>156</v>
      </c>
      <c r="W916" s="361"/>
      <c r="AG916" s="395">
        <f t="shared" si="122"/>
        <v>0</v>
      </c>
    </row>
    <row r="917" spans="6:35" ht="15.75">
      <c r="H917" s="357" t="s">
        <v>1859</v>
      </c>
      <c r="W917" s="361"/>
      <c r="AG917" s="395">
        <f t="shared" si="122"/>
        <v>0</v>
      </c>
    </row>
    <row r="918" spans="6:35" ht="15.75">
      <c r="F918" s="492">
        <v>21.2</v>
      </c>
      <c r="H918" s="411" t="s">
        <v>1860</v>
      </c>
      <c r="W918" s="361"/>
      <c r="AG918" s="395">
        <f t="shared" si="122"/>
        <v>0</v>
      </c>
    </row>
    <row r="919" spans="6:35" ht="15.75">
      <c r="F919" s="492"/>
      <c r="H919" s="363" t="s">
        <v>117</v>
      </c>
      <c r="W919" s="361"/>
      <c r="AG919" s="395" t="str">
        <f t="shared" si="122"/>
        <v>|</v>
      </c>
      <c r="AI919" s="356" t="s">
        <v>1256</v>
      </c>
    </row>
    <row r="920" spans="6:35" ht="15.75">
      <c r="G920" s="368" t="s">
        <v>1200</v>
      </c>
      <c r="H920" s="356" t="s">
        <v>1861</v>
      </c>
      <c r="K920" s="356" t="s">
        <v>114</v>
      </c>
      <c r="W920" s="361"/>
      <c r="AG920" s="395" t="str">
        <f t="shared" si="122"/>
        <v>|</v>
      </c>
      <c r="AI920" s="356" t="s">
        <v>1256</v>
      </c>
    </row>
    <row r="921" spans="6:35" ht="15.75">
      <c r="H921" s="363" t="s">
        <v>117</v>
      </c>
      <c r="K921" s="356" t="s">
        <v>114</v>
      </c>
      <c r="W921" s="361"/>
      <c r="AG921" s="395" t="str">
        <f t="shared" si="122"/>
        <v>|</v>
      </c>
      <c r="AI921" s="356" t="s">
        <v>1256</v>
      </c>
    </row>
    <row r="922" spans="6:35" ht="15.75">
      <c r="F922" s="370">
        <v>1</v>
      </c>
      <c r="G922" s="368" t="s">
        <v>108</v>
      </c>
      <c r="H922" s="356" t="s">
        <v>1862</v>
      </c>
      <c r="I922" s="370">
        <f>C30</f>
        <v>16428</v>
      </c>
      <c r="J922" s="356" t="s">
        <v>108</v>
      </c>
      <c r="K922" s="370">
        <f>(F922*I922)</f>
        <v>16428</v>
      </c>
      <c r="W922" s="361"/>
      <c r="AG922" s="395" t="str">
        <f t="shared" si="122"/>
        <v>|</v>
      </c>
      <c r="AI922" s="356" t="s">
        <v>1256</v>
      </c>
    </row>
    <row r="923" spans="6:35" ht="15.75">
      <c r="F923" s="370">
        <v>1</v>
      </c>
      <c r="G923" s="368" t="s">
        <v>108</v>
      </c>
      <c r="H923" s="356" t="s">
        <v>1861</v>
      </c>
      <c r="I923" s="370">
        <f>C88</f>
        <v>111965.44</v>
      </c>
      <c r="J923" s="356" t="s">
        <v>108</v>
      </c>
      <c r="K923" s="370">
        <f>(F923*I923)</f>
        <v>111965.44</v>
      </c>
      <c r="W923" s="361"/>
      <c r="AG923" s="395" t="str">
        <f t="shared" si="122"/>
        <v>|</v>
      </c>
      <c r="AI923" s="356" t="s">
        <v>1256</v>
      </c>
    </row>
    <row r="924" spans="6:35" ht="15.75">
      <c r="K924" s="363" t="s">
        <v>156</v>
      </c>
      <c r="W924" s="361"/>
      <c r="AG924" s="395">
        <f t="shared" si="122"/>
        <v>0</v>
      </c>
    </row>
    <row r="925" spans="6:35" ht="15.75">
      <c r="H925" s="356" t="s">
        <v>1863</v>
      </c>
      <c r="K925" s="369">
        <f>SUM(K922:K923)</f>
        <v>128393.44</v>
      </c>
      <c r="W925" s="361"/>
      <c r="AG925" s="395" t="str">
        <f t="shared" si="122"/>
        <v>|</v>
      </c>
      <c r="AI925" s="356" t="s">
        <v>1256</v>
      </c>
    </row>
    <row r="926" spans="6:35" ht="15.75">
      <c r="K926" s="363" t="s">
        <v>156</v>
      </c>
      <c r="W926" s="361"/>
      <c r="AG926" s="395" t="str">
        <f t="shared" si="122"/>
        <v>|</v>
      </c>
      <c r="AI926" s="356" t="s">
        <v>1256</v>
      </c>
    </row>
    <row r="927" spans="6:35" ht="15.75">
      <c r="G927" s="368" t="s">
        <v>5</v>
      </c>
      <c r="H927" s="356" t="s">
        <v>1864</v>
      </c>
      <c r="K927" s="356" t="s">
        <v>114</v>
      </c>
      <c r="W927" s="361"/>
      <c r="AG927" s="395" t="str">
        <f t="shared" si="122"/>
        <v>|</v>
      </c>
      <c r="AI927" s="356" t="s">
        <v>1256</v>
      </c>
    </row>
    <row r="928" spans="6:35" ht="15.75">
      <c r="H928" s="363" t="s">
        <v>117</v>
      </c>
      <c r="M928" s="357" t="s">
        <v>1865</v>
      </c>
      <c r="N928" s="368" t="s">
        <v>122</v>
      </c>
      <c r="O928" s="356" t="s">
        <v>1866</v>
      </c>
      <c r="Q928" s="360"/>
      <c r="W928" s="361"/>
      <c r="AG928" s="395">
        <f t="shared" si="122"/>
        <v>0</v>
      </c>
      <c r="AI928" s="356"/>
    </row>
    <row r="929" spans="6:35" ht="15.75">
      <c r="F929" s="370">
        <v>1</v>
      </c>
      <c r="G929" s="368" t="s">
        <v>108</v>
      </c>
      <c r="H929" s="356" t="s">
        <v>1862</v>
      </c>
      <c r="I929" s="370">
        <f>C30</f>
        <v>16428</v>
      </c>
      <c r="J929" s="356" t="s">
        <v>108</v>
      </c>
      <c r="K929" s="370">
        <f>(F929*I929)</f>
        <v>16428</v>
      </c>
      <c r="N929" s="358"/>
      <c r="O929" s="356" t="s">
        <v>1867</v>
      </c>
      <c r="Q929" s="360"/>
      <c r="W929" s="361"/>
      <c r="AG929" s="395" t="str">
        <f t="shared" si="122"/>
        <v>|</v>
      </c>
      <c r="AI929" s="356" t="s">
        <v>1256</v>
      </c>
    </row>
    <row r="930" spans="6:35" ht="15.75">
      <c r="F930" s="370">
        <v>1</v>
      </c>
      <c r="G930" s="368" t="s">
        <v>108</v>
      </c>
      <c r="H930" s="356" t="s">
        <v>1861</v>
      </c>
      <c r="I930" s="370">
        <f>C89</f>
        <v>99765.440000000002</v>
      </c>
      <c r="J930" s="356" t="s">
        <v>108</v>
      </c>
      <c r="K930" s="370">
        <f>(F930*I930)</f>
        <v>99765.440000000002</v>
      </c>
      <c r="N930" s="358"/>
      <c r="O930" s="356" t="s">
        <v>1868</v>
      </c>
      <c r="Q930" s="360"/>
      <c r="W930" s="361"/>
      <c r="AG930" s="395" t="str">
        <f t="shared" si="122"/>
        <v>|</v>
      </c>
      <c r="AI930" s="356" t="s">
        <v>1256</v>
      </c>
    </row>
    <row r="931" spans="6:35" ht="15.75">
      <c r="K931" s="363" t="s">
        <v>156</v>
      </c>
      <c r="N931" s="358"/>
      <c r="O931" s="363" t="s">
        <v>117</v>
      </c>
      <c r="Q931" s="360"/>
      <c r="W931" s="361"/>
      <c r="AG931" s="395" t="str">
        <f t="shared" si="122"/>
        <v>|</v>
      </c>
      <c r="AI931" s="356" t="s">
        <v>1256</v>
      </c>
    </row>
    <row r="932" spans="6:35" ht="15.75">
      <c r="H932" s="356" t="s">
        <v>1869</v>
      </c>
      <c r="K932" s="369">
        <f>SUM(K929:K930)</f>
        <v>116193.44</v>
      </c>
      <c r="N932" s="358"/>
      <c r="O932" s="356" t="s">
        <v>1870</v>
      </c>
      <c r="Q932" s="360"/>
      <c r="W932" s="361"/>
      <c r="AG932" s="395" t="str">
        <f t="shared" si="122"/>
        <v>|</v>
      </c>
      <c r="AI932" s="356" t="s">
        <v>1256</v>
      </c>
    </row>
    <row r="933" spans="6:35" ht="15.75">
      <c r="K933" s="363" t="s">
        <v>156</v>
      </c>
      <c r="N933" s="358"/>
      <c r="O933" s="356" t="s">
        <v>1871</v>
      </c>
      <c r="Q933" s="360"/>
      <c r="W933" s="361"/>
      <c r="AG933" s="395" t="str">
        <f t="shared" si="122"/>
        <v>|</v>
      </c>
      <c r="AI933" s="356" t="s">
        <v>1256</v>
      </c>
    </row>
    <row r="934" spans="6:35" ht="15.75">
      <c r="N934" s="358"/>
      <c r="Q934" s="356" t="s">
        <v>117</v>
      </c>
      <c r="W934" s="361"/>
      <c r="AG934" s="395" t="str">
        <f t="shared" si="122"/>
        <v>|</v>
      </c>
      <c r="AI934" s="356" t="s">
        <v>1256</v>
      </c>
    </row>
    <row r="935" spans="6:35" ht="15.75">
      <c r="F935" s="357" t="s">
        <v>1865</v>
      </c>
      <c r="G935" s="368" t="s">
        <v>122</v>
      </c>
      <c r="H935" s="356" t="s">
        <v>1872</v>
      </c>
      <c r="N935" s="358"/>
      <c r="O935" s="356" t="s">
        <v>1873</v>
      </c>
      <c r="Q935" s="360"/>
      <c r="W935" s="361"/>
      <c r="AG935" s="395" t="str">
        <f t="shared" si="122"/>
        <v>|</v>
      </c>
      <c r="AI935" s="356" t="s">
        <v>1256</v>
      </c>
    </row>
    <row r="936" spans="6:35" ht="15.75">
      <c r="H936" s="356" t="s">
        <v>1867</v>
      </c>
      <c r="N936" s="358"/>
      <c r="O936" s="356" t="s">
        <v>1874</v>
      </c>
      <c r="Q936" s="360"/>
      <c r="R936" s="460">
        <v>2.4299999999999999E-2</v>
      </c>
      <c r="W936" s="361"/>
      <c r="AG936" s="395" t="str">
        <f t="shared" si="122"/>
        <v>|</v>
      </c>
      <c r="AI936" s="356" t="s">
        <v>1256</v>
      </c>
    </row>
    <row r="937" spans="6:35" ht="15.75">
      <c r="H937" s="356" t="s">
        <v>1868</v>
      </c>
      <c r="N937" s="358"/>
      <c r="Q937" s="356" t="s">
        <v>114</v>
      </c>
      <c r="R937" s="363" t="s">
        <v>117</v>
      </c>
      <c r="W937" s="361"/>
      <c r="AG937" s="395" t="str">
        <f t="shared" si="122"/>
        <v>|</v>
      </c>
      <c r="AI937" s="356" t="s">
        <v>1256</v>
      </c>
    </row>
    <row r="938" spans="6:35" ht="15.75">
      <c r="H938" s="363" t="s">
        <v>117</v>
      </c>
      <c r="N938" s="358"/>
      <c r="O938" s="356" t="s">
        <v>1875</v>
      </c>
      <c r="Q938" s="518" t="s">
        <v>114</v>
      </c>
      <c r="R938" s="460">
        <v>1.47E-2</v>
      </c>
      <c r="W938" s="361"/>
      <c r="AG938" s="395" t="str">
        <f t="shared" si="122"/>
        <v>|</v>
      </c>
      <c r="AI938" s="356" t="s">
        <v>1256</v>
      </c>
    </row>
    <row r="939" spans="6:35" ht="15.75">
      <c r="H939" s="356" t="s">
        <v>1870</v>
      </c>
      <c r="N939" s="358"/>
      <c r="O939" s="356" t="s">
        <v>1876</v>
      </c>
      <c r="Q939" s="356" t="s">
        <v>114</v>
      </c>
      <c r="R939" s="460">
        <v>4.5999999999999999E-3</v>
      </c>
      <c r="W939" s="361"/>
      <c r="AG939" s="395" t="str">
        <f t="shared" si="122"/>
        <v>|</v>
      </c>
      <c r="AI939" s="356" t="s">
        <v>1256</v>
      </c>
    </row>
    <row r="940" spans="6:35" ht="15.75">
      <c r="H940" s="356" t="s">
        <v>1871</v>
      </c>
      <c r="N940" s="358"/>
      <c r="Q940" s="360"/>
      <c r="R940" s="363" t="s">
        <v>117</v>
      </c>
      <c r="W940" s="361"/>
      <c r="AG940" s="395" t="str">
        <f t="shared" si="122"/>
        <v>|</v>
      </c>
      <c r="AI940" s="356" t="s">
        <v>1256</v>
      </c>
    </row>
    <row r="941" spans="6:35" ht="15.75">
      <c r="J941" s="356" t="s">
        <v>117</v>
      </c>
      <c r="N941" s="358"/>
      <c r="Q941" s="360"/>
      <c r="R941" s="460">
        <v>1.9300000000000001E-2</v>
      </c>
      <c r="W941" s="361"/>
      <c r="AG941" s="395" t="str">
        <f t="shared" si="122"/>
        <v>|</v>
      </c>
      <c r="AI941" s="356" t="s">
        <v>1256</v>
      </c>
    </row>
    <row r="942" spans="6:35" ht="15.75">
      <c r="H942" s="356" t="s">
        <v>1873</v>
      </c>
      <c r="N942" s="358"/>
      <c r="Q942" s="360"/>
      <c r="R942" s="363" t="s">
        <v>117</v>
      </c>
      <c r="W942" s="361"/>
      <c r="AG942" s="395" t="str">
        <f t="shared" si="122"/>
        <v>|</v>
      </c>
      <c r="AI942" s="356" t="s">
        <v>1256</v>
      </c>
    </row>
    <row r="943" spans="6:35" ht="15.75">
      <c r="H943" s="356" t="s">
        <v>1874</v>
      </c>
      <c r="K943" s="460">
        <v>2.4299999999999999E-2</v>
      </c>
      <c r="N943" s="358"/>
      <c r="Q943" s="360"/>
      <c r="W943" s="361"/>
      <c r="AG943" s="395" t="str">
        <f t="shared" si="122"/>
        <v>|</v>
      </c>
      <c r="AI943" s="356" t="s">
        <v>1256</v>
      </c>
    </row>
    <row r="944" spans="6:35" ht="15.75">
      <c r="J944" s="356" t="s">
        <v>114</v>
      </c>
      <c r="K944" s="363" t="s">
        <v>117</v>
      </c>
      <c r="N944" s="358"/>
      <c r="Q944" s="360"/>
      <c r="W944" s="361"/>
      <c r="AG944" s="395" t="str">
        <f t="shared" si="122"/>
        <v>|</v>
      </c>
      <c r="AI944" s="356" t="s">
        <v>1256</v>
      </c>
    </row>
    <row r="945" spans="6:35" ht="15.75">
      <c r="H945" s="356" t="s">
        <v>1875</v>
      </c>
      <c r="J945" s="518" t="s">
        <v>114</v>
      </c>
      <c r="K945" s="460">
        <v>1.47E-2</v>
      </c>
      <c r="M945" s="460">
        <v>1.14E-2</v>
      </c>
      <c r="N945" s="368" t="s">
        <v>108</v>
      </c>
      <c r="O945" s="356" t="s">
        <v>1877</v>
      </c>
      <c r="P945" s="370">
        <f>C86</f>
        <v>34665.439999999995</v>
      </c>
      <c r="Q945" s="356" t="s">
        <v>108</v>
      </c>
      <c r="R945" s="370">
        <f>(M945*P945)</f>
        <v>395.18601599999994</v>
      </c>
      <c r="W945" s="361"/>
      <c r="AG945" s="395" t="str">
        <f t="shared" si="122"/>
        <v>|</v>
      </c>
      <c r="AI945" s="356" t="s">
        <v>1256</v>
      </c>
    </row>
    <row r="946" spans="6:35" ht="15.75">
      <c r="H946" s="356" t="s">
        <v>1876</v>
      </c>
      <c r="J946" s="356" t="s">
        <v>114</v>
      </c>
      <c r="K946" s="460">
        <v>4.5999999999999999E-3</v>
      </c>
      <c r="M946" s="460">
        <v>2.4299999999999999E-2</v>
      </c>
      <c r="N946" s="368" t="s">
        <v>108</v>
      </c>
      <c r="O946" s="356" t="s">
        <v>1878</v>
      </c>
      <c r="P946" s="370">
        <f>P945</f>
        <v>34665.439999999995</v>
      </c>
      <c r="Q946" s="356" t="s">
        <v>108</v>
      </c>
      <c r="R946" s="370">
        <f>(M946*P946)</f>
        <v>842.37019199999986</v>
      </c>
      <c r="W946" s="361"/>
      <c r="AG946" s="395" t="str">
        <f t="shared" si="122"/>
        <v>|</v>
      </c>
      <c r="AI946" s="356" t="s">
        <v>1256</v>
      </c>
    </row>
    <row r="947" spans="6:35" ht="15.75">
      <c r="K947" s="363" t="s">
        <v>117</v>
      </c>
      <c r="M947" s="460">
        <v>1.9300000000000001E-2</v>
      </c>
      <c r="N947" s="368" t="s">
        <v>108</v>
      </c>
      <c r="O947" s="356" t="s">
        <v>1879</v>
      </c>
      <c r="P947" s="370">
        <f>C87</f>
        <v>39765.439999999995</v>
      </c>
      <c r="Q947" s="356" t="s">
        <v>108</v>
      </c>
      <c r="R947" s="370">
        <f>(M947*P947)</f>
        <v>767.47299199999998</v>
      </c>
      <c r="W947" s="361"/>
      <c r="AG947" s="395" t="str">
        <f t="shared" si="122"/>
        <v>|</v>
      </c>
      <c r="AI947" s="356" t="s">
        <v>1256</v>
      </c>
    </row>
    <row r="948" spans="6:35" ht="15.75">
      <c r="K948" s="460">
        <v>1.9300000000000001E-2</v>
      </c>
      <c r="M948" s="461"/>
      <c r="N948" s="358"/>
      <c r="O948" s="356"/>
      <c r="P948" s="356" t="s">
        <v>114</v>
      </c>
      <c r="Q948" s="360"/>
      <c r="R948" s="356" t="s">
        <v>114</v>
      </c>
      <c r="W948" s="361"/>
      <c r="AG948" s="395">
        <f t="shared" si="122"/>
        <v>0</v>
      </c>
    </row>
    <row r="949" spans="6:35" ht="15.75">
      <c r="K949" s="363" t="s">
        <v>117</v>
      </c>
      <c r="M949" s="461">
        <v>1.823</v>
      </c>
      <c r="N949" s="368" t="s">
        <v>107</v>
      </c>
      <c r="O949" s="356" t="s">
        <v>1880</v>
      </c>
      <c r="P949" s="370">
        <f>I956</f>
        <v>1844.3999999999999</v>
      </c>
      <c r="Q949" s="356" t="s">
        <v>107</v>
      </c>
      <c r="R949" s="370">
        <f t="shared" ref="R949:R955" si="130">(M949*P949)</f>
        <v>3362.3411999999998</v>
      </c>
      <c r="W949" s="361"/>
      <c r="AG949" s="395">
        <f t="shared" si="122"/>
        <v>0</v>
      </c>
    </row>
    <row r="950" spans="6:35" ht="15.75">
      <c r="M950" s="370">
        <v>1</v>
      </c>
      <c r="N950" s="368" t="s">
        <v>223</v>
      </c>
      <c r="O950" s="356" t="s">
        <v>1881</v>
      </c>
      <c r="P950" s="370">
        <f t="shared" ref="P950:P955" si="131">I957</f>
        <v>57.65</v>
      </c>
      <c r="Q950" s="356" t="s">
        <v>151</v>
      </c>
      <c r="R950" s="370">
        <f t="shared" si="130"/>
        <v>57.65</v>
      </c>
      <c r="W950" s="361"/>
      <c r="AG950" s="395">
        <f t="shared" si="122"/>
        <v>0</v>
      </c>
    </row>
    <row r="951" spans="6:35" ht="15.75">
      <c r="M951" s="370">
        <v>3</v>
      </c>
      <c r="N951" s="368" t="s">
        <v>151</v>
      </c>
      <c r="O951" s="356" t="s">
        <v>1882</v>
      </c>
      <c r="P951" s="370">
        <f t="shared" si="131"/>
        <v>89.6</v>
      </c>
      <c r="Q951" s="356" t="s">
        <v>151</v>
      </c>
      <c r="R951" s="370">
        <f t="shared" si="130"/>
        <v>268.79999999999995</v>
      </c>
      <c r="W951" s="361"/>
      <c r="AG951" s="395">
        <f t="shared" si="122"/>
        <v>0</v>
      </c>
    </row>
    <row r="952" spans="6:35" ht="15.75">
      <c r="F952" s="460">
        <v>1.14E-2</v>
      </c>
      <c r="G952" s="368" t="s">
        <v>108</v>
      </c>
      <c r="H952" s="356" t="s">
        <v>1883</v>
      </c>
      <c r="I952" s="370">
        <f>C88</f>
        <v>111965.44</v>
      </c>
      <c r="J952" s="356" t="s">
        <v>108</v>
      </c>
      <c r="K952" s="370">
        <f>(F952*I952)</f>
        <v>1276.4060160000001</v>
      </c>
      <c r="M952" s="370">
        <v>2</v>
      </c>
      <c r="N952" s="368" t="s">
        <v>151</v>
      </c>
      <c r="O952" s="356" t="s">
        <v>1884</v>
      </c>
      <c r="P952" s="370">
        <f t="shared" si="131"/>
        <v>64.8</v>
      </c>
      <c r="Q952" s="356" t="s">
        <v>151</v>
      </c>
      <c r="R952" s="370">
        <f t="shared" si="130"/>
        <v>129.6</v>
      </c>
      <c r="W952" s="361"/>
      <c r="AG952" s="395">
        <f t="shared" ref="AG952:AG1015" si="132">AI952</f>
        <v>0</v>
      </c>
    </row>
    <row r="953" spans="6:35" ht="15.75">
      <c r="F953" s="460">
        <v>2.4299999999999999E-2</v>
      </c>
      <c r="G953" s="368" t="s">
        <v>108</v>
      </c>
      <c r="H953" s="356" t="s">
        <v>1885</v>
      </c>
      <c r="I953" s="370">
        <f>C89</f>
        <v>99765.440000000002</v>
      </c>
      <c r="J953" s="356" t="s">
        <v>108</v>
      </c>
      <c r="K953" s="370">
        <f>(F953*I953)</f>
        <v>2424.3001920000002</v>
      </c>
      <c r="M953" s="370">
        <v>1</v>
      </c>
      <c r="N953" s="368" t="s">
        <v>151</v>
      </c>
      <c r="O953" s="356" t="s">
        <v>1886</v>
      </c>
      <c r="P953" s="370">
        <f t="shared" si="131"/>
        <v>181</v>
      </c>
      <c r="Q953" s="356" t="s">
        <v>151</v>
      </c>
      <c r="R953" s="370">
        <f t="shared" si="130"/>
        <v>181</v>
      </c>
      <c r="W953" s="361"/>
      <c r="AG953" s="395">
        <f t="shared" si="132"/>
        <v>0</v>
      </c>
    </row>
    <row r="954" spans="6:35" ht="15.75">
      <c r="F954" s="460">
        <v>1.9300000000000001E-2</v>
      </c>
      <c r="G954" s="368" t="s">
        <v>108</v>
      </c>
      <c r="H954" s="356" t="s">
        <v>1887</v>
      </c>
      <c r="I954" s="370">
        <f>C92</f>
        <v>95365.440000000002</v>
      </c>
      <c r="J954" s="356" t="s">
        <v>108</v>
      </c>
      <c r="K954" s="370">
        <f>(F954*I954)</f>
        <v>1840.5529920000001</v>
      </c>
      <c r="M954" s="370">
        <v>1</v>
      </c>
      <c r="N954" s="368" t="s">
        <v>151</v>
      </c>
      <c r="O954" s="356" t="s">
        <v>1888</v>
      </c>
      <c r="P954" s="370">
        <f t="shared" si="131"/>
        <v>7.3</v>
      </c>
      <c r="Q954" s="356" t="s">
        <v>151</v>
      </c>
      <c r="R954" s="370">
        <f t="shared" si="130"/>
        <v>7.3</v>
      </c>
      <c r="W954" s="361"/>
      <c r="AG954" s="395">
        <f t="shared" si="132"/>
        <v>0</v>
      </c>
    </row>
    <row r="955" spans="6:35" ht="15.75">
      <c r="F955" s="461"/>
      <c r="H955" s="356" t="s">
        <v>1889</v>
      </c>
      <c r="I955" s="356" t="s">
        <v>114</v>
      </c>
      <c r="K955" s="356" t="s">
        <v>114</v>
      </c>
      <c r="M955" s="370">
        <v>1</v>
      </c>
      <c r="N955" s="368" t="s">
        <v>151</v>
      </c>
      <c r="O955" s="356" t="s">
        <v>995</v>
      </c>
      <c r="P955" s="370">
        <f t="shared" si="131"/>
        <v>49.55</v>
      </c>
      <c r="Q955" s="356" t="s">
        <v>151</v>
      </c>
      <c r="R955" s="370">
        <f t="shared" si="130"/>
        <v>49.55</v>
      </c>
      <c r="W955" s="361"/>
      <c r="AG955" s="395">
        <f t="shared" si="132"/>
        <v>0</v>
      </c>
    </row>
    <row r="956" spans="6:35" ht="15.75">
      <c r="F956" s="461">
        <v>1.823</v>
      </c>
      <c r="G956" s="368" t="s">
        <v>107</v>
      </c>
      <c r="H956" s="356" t="s">
        <v>1880</v>
      </c>
      <c r="I956" s="370">
        <f>C31</f>
        <v>1844.3999999999999</v>
      </c>
      <c r="J956" s="356" t="s">
        <v>107</v>
      </c>
      <c r="K956" s="370">
        <f t="shared" ref="K956:K963" si="133">(F956*I956)</f>
        <v>3362.3411999999998</v>
      </c>
      <c r="N956" s="358"/>
      <c r="Q956" s="360"/>
      <c r="R956" s="363" t="s">
        <v>117</v>
      </c>
      <c r="W956" s="361"/>
      <c r="AG956" s="395">
        <f t="shared" si="132"/>
        <v>0</v>
      </c>
    </row>
    <row r="957" spans="6:35" ht="15.75">
      <c r="F957" s="370">
        <v>1</v>
      </c>
      <c r="G957" s="368" t="s">
        <v>223</v>
      </c>
      <c r="H957" s="356" t="s">
        <v>1890</v>
      </c>
      <c r="I957" s="370">
        <f>C600</f>
        <v>57.65</v>
      </c>
      <c r="J957" s="356" t="s">
        <v>151</v>
      </c>
      <c r="K957" s="370">
        <f t="shared" si="133"/>
        <v>57.65</v>
      </c>
      <c r="N957" s="358"/>
      <c r="O957" s="356" t="s">
        <v>1891</v>
      </c>
      <c r="Q957" s="360"/>
      <c r="R957" s="370">
        <f>SUM(R945:R955)</f>
        <v>6061.2704000000003</v>
      </c>
      <c r="W957" s="361"/>
      <c r="AG957" s="395">
        <f t="shared" si="132"/>
        <v>0</v>
      </c>
    </row>
    <row r="958" spans="6:35" ht="15.75">
      <c r="F958" s="370">
        <v>3</v>
      </c>
      <c r="G958" s="368" t="s">
        <v>151</v>
      </c>
      <c r="H958" s="356" t="s">
        <v>1892</v>
      </c>
      <c r="I958" s="370">
        <f>C281</f>
        <v>89.6</v>
      </c>
      <c r="J958" s="356" t="s">
        <v>151</v>
      </c>
      <c r="K958" s="370">
        <f t="shared" si="133"/>
        <v>268.79999999999995</v>
      </c>
      <c r="N958" s="358"/>
      <c r="Q958" s="360"/>
      <c r="R958" s="363" t="s">
        <v>117</v>
      </c>
      <c r="W958" s="361"/>
      <c r="AG958" s="395">
        <f t="shared" si="132"/>
        <v>0</v>
      </c>
    </row>
    <row r="959" spans="6:35" ht="15.75">
      <c r="F959" s="370">
        <v>2</v>
      </c>
      <c r="G959" s="368" t="s">
        <v>151</v>
      </c>
      <c r="H959" s="356" t="s">
        <v>1893</v>
      </c>
      <c r="I959" s="370">
        <f>C286</f>
        <v>64.8</v>
      </c>
      <c r="J959" s="356" t="s">
        <v>151</v>
      </c>
      <c r="K959" s="370">
        <f t="shared" si="133"/>
        <v>129.6</v>
      </c>
      <c r="N959" s="358"/>
      <c r="O959" s="372" t="s">
        <v>177</v>
      </c>
      <c r="Q959" s="360"/>
      <c r="R959" s="369">
        <f>R957/M949</f>
        <v>3324.8877674163468</v>
      </c>
      <c r="W959" s="361"/>
      <c r="AG959" s="395">
        <f t="shared" si="132"/>
        <v>0</v>
      </c>
    </row>
    <row r="960" spans="6:35" ht="15.75">
      <c r="F960" s="370">
        <v>1</v>
      </c>
      <c r="G960" s="368" t="s">
        <v>151</v>
      </c>
      <c r="H960" s="356" t="s">
        <v>1894</v>
      </c>
      <c r="I960" s="370">
        <f>C288</f>
        <v>181</v>
      </c>
      <c r="J960" s="356" t="s">
        <v>151</v>
      </c>
      <c r="K960" s="370">
        <f t="shared" si="133"/>
        <v>181</v>
      </c>
      <c r="M960" s="356" t="s">
        <v>114</v>
      </c>
      <c r="N960" s="358"/>
      <c r="Q960" s="360"/>
      <c r="W960" s="361"/>
      <c r="AG960" s="395">
        <f t="shared" si="132"/>
        <v>0</v>
      </c>
    </row>
    <row r="961" spans="6:35" ht="15.75">
      <c r="F961" s="370">
        <v>1</v>
      </c>
      <c r="G961" s="368" t="s">
        <v>151</v>
      </c>
      <c r="H961" s="356" t="s">
        <v>1888</v>
      </c>
      <c r="I961" s="370">
        <f>C290</f>
        <v>7.3</v>
      </c>
      <c r="J961" s="356" t="s">
        <v>151</v>
      </c>
      <c r="K961" s="370">
        <f t="shared" si="133"/>
        <v>7.3</v>
      </c>
      <c r="N961" s="358"/>
      <c r="Q961" s="360"/>
      <c r="R961" s="363" t="s">
        <v>156</v>
      </c>
      <c r="W961" s="361"/>
      <c r="AG961" s="395" t="str">
        <f t="shared" si="132"/>
        <v>|</v>
      </c>
      <c r="AI961" s="356" t="s">
        <v>1256</v>
      </c>
    </row>
    <row r="962" spans="6:35" ht="15.75">
      <c r="F962" s="370">
        <v>1</v>
      </c>
      <c r="G962" s="368" t="s">
        <v>151</v>
      </c>
      <c r="H962" s="356" t="s">
        <v>1895</v>
      </c>
      <c r="I962" s="370">
        <f>D600</f>
        <v>49.55</v>
      </c>
      <c r="J962" s="356" t="s">
        <v>151</v>
      </c>
      <c r="K962" s="370">
        <f t="shared" si="133"/>
        <v>49.55</v>
      </c>
      <c r="W962" s="361"/>
      <c r="AG962" s="395" t="str">
        <f t="shared" si="132"/>
        <v>|</v>
      </c>
      <c r="AI962" s="356" t="s">
        <v>1256</v>
      </c>
    </row>
    <row r="963" spans="6:35" ht="15.75">
      <c r="F963" s="370">
        <v>64</v>
      </c>
      <c r="G963" s="368" t="s">
        <v>1896</v>
      </c>
      <c r="H963" s="450" t="s">
        <v>1897</v>
      </c>
      <c r="I963" s="448">
        <v>2.41</v>
      </c>
      <c r="J963" s="360" t="s">
        <v>1898</v>
      </c>
      <c r="K963" s="370">
        <f t="shared" si="133"/>
        <v>154.24</v>
      </c>
      <c r="W963" s="361"/>
      <c r="AG963" s="395" t="str">
        <f t="shared" si="132"/>
        <v>|</v>
      </c>
      <c r="AI963" s="356" t="s">
        <v>1256</v>
      </c>
    </row>
    <row r="964" spans="6:35" ht="15.75">
      <c r="H964" s="356" t="s">
        <v>1891</v>
      </c>
      <c r="K964" s="370">
        <f>SUM(K952:K963)</f>
        <v>9751.740399999997</v>
      </c>
      <c r="W964" s="361"/>
      <c r="AG964" s="395" t="str">
        <f t="shared" si="132"/>
        <v>|</v>
      </c>
      <c r="AI964" s="356" t="s">
        <v>1256</v>
      </c>
    </row>
    <row r="965" spans="6:35" ht="15.75">
      <c r="K965" s="363" t="s">
        <v>117</v>
      </c>
      <c r="W965" s="361"/>
      <c r="AG965" s="395" t="str">
        <f t="shared" si="132"/>
        <v>|</v>
      </c>
      <c r="AI965" s="356" t="s">
        <v>1256</v>
      </c>
    </row>
    <row r="966" spans="6:35" ht="15.75">
      <c r="H966" s="372" t="s">
        <v>177</v>
      </c>
      <c r="K966" s="369">
        <f>K964/F956</f>
        <v>5349.2816236972012</v>
      </c>
      <c r="W966" s="361"/>
      <c r="AG966" s="395" t="str">
        <f t="shared" si="132"/>
        <v>|</v>
      </c>
      <c r="AI966" s="356" t="s">
        <v>1256</v>
      </c>
    </row>
    <row r="967" spans="6:35" ht="15.75">
      <c r="F967" s="356" t="s">
        <v>114</v>
      </c>
      <c r="W967" s="361"/>
      <c r="AG967" s="395" t="str">
        <f t="shared" si="132"/>
        <v>|</v>
      </c>
      <c r="AI967" s="356" t="s">
        <v>1256</v>
      </c>
    </row>
    <row r="968" spans="6:35" ht="15.75">
      <c r="K968" s="363" t="s">
        <v>156</v>
      </c>
      <c r="W968" s="361"/>
      <c r="AG968" s="395" t="str">
        <f t="shared" si="132"/>
        <v>|</v>
      </c>
      <c r="AI968" s="356" t="s">
        <v>1256</v>
      </c>
    </row>
    <row r="969" spans="6:35" ht="15.75">
      <c r="W969" s="361"/>
      <c r="AG969" s="395" t="str">
        <f t="shared" si="132"/>
        <v>|</v>
      </c>
      <c r="AI969" s="356" t="s">
        <v>1256</v>
      </c>
    </row>
    <row r="970" spans="6:35" ht="15.75">
      <c r="W970" s="361"/>
      <c r="AG970" s="395" t="str">
        <f t="shared" si="132"/>
        <v>|</v>
      </c>
      <c r="AI970" s="356" t="s">
        <v>1256</v>
      </c>
    </row>
    <row r="971" spans="6:35" ht="15.75">
      <c r="F971" s="357" t="s">
        <v>1899</v>
      </c>
      <c r="G971" s="368" t="s">
        <v>122</v>
      </c>
      <c r="H971" s="356" t="s">
        <v>1872</v>
      </c>
      <c r="W971" s="361"/>
      <c r="AG971" s="395" t="str">
        <f t="shared" si="132"/>
        <v>|</v>
      </c>
      <c r="AI971" s="356" t="s">
        <v>1256</v>
      </c>
    </row>
    <row r="972" spans="6:35" ht="15.75">
      <c r="H972" s="356" t="s">
        <v>1867</v>
      </c>
      <c r="W972" s="361"/>
      <c r="AG972" s="395" t="str">
        <f t="shared" si="132"/>
        <v>|</v>
      </c>
      <c r="AI972" s="356" t="s">
        <v>1256</v>
      </c>
    </row>
    <row r="973" spans="6:35" ht="15.75">
      <c r="H973" s="356" t="s">
        <v>1900</v>
      </c>
      <c r="W973" s="361"/>
      <c r="AG973" s="395" t="str">
        <f t="shared" si="132"/>
        <v>|</v>
      </c>
      <c r="AI973" s="356" t="s">
        <v>1256</v>
      </c>
    </row>
    <row r="974" spans="6:35" ht="15.75">
      <c r="H974" s="363" t="s">
        <v>117</v>
      </c>
      <c r="W974" s="361"/>
      <c r="AG974" s="395" t="str">
        <f t="shared" si="132"/>
        <v>|</v>
      </c>
      <c r="AI974" s="356" t="s">
        <v>1256</v>
      </c>
    </row>
    <row r="975" spans="6:35" ht="15.75">
      <c r="W975" s="361"/>
      <c r="AG975" s="395" t="str">
        <f t="shared" si="132"/>
        <v>|</v>
      </c>
      <c r="AI975" s="356" t="s">
        <v>1256</v>
      </c>
    </row>
    <row r="976" spans="6:35" ht="15.75">
      <c r="H976" s="356" t="s">
        <v>1901</v>
      </c>
      <c r="W976" s="361"/>
      <c r="AG976" s="395">
        <f t="shared" si="132"/>
        <v>0</v>
      </c>
    </row>
    <row r="977" spans="6:35" ht="15.75">
      <c r="H977" s="356" t="s">
        <v>1902</v>
      </c>
      <c r="W977" s="361"/>
      <c r="AG977" s="395" t="str">
        <f t="shared" si="132"/>
        <v>|</v>
      </c>
      <c r="AI977" s="356" t="s">
        <v>1256</v>
      </c>
    </row>
    <row r="978" spans="6:35" ht="15.75">
      <c r="J978" s="356" t="s">
        <v>117</v>
      </c>
      <c r="W978" s="361"/>
      <c r="AG978" s="395">
        <f t="shared" si="132"/>
        <v>0</v>
      </c>
    </row>
    <row r="979" spans="6:35" ht="15.75">
      <c r="H979" s="356" t="s">
        <v>1903</v>
      </c>
      <c r="W979" s="361"/>
      <c r="AG979" s="395">
        <f t="shared" si="132"/>
        <v>0</v>
      </c>
    </row>
    <row r="980" spans="6:35" ht="15.75">
      <c r="H980" s="356" t="s">
        <v>1904</v>
      </c>
      <c r="K980" s="460">
        <v>2.1999999999999999E-2</v>
      </c>
      <c r="W980" s="361"/>
      <c r="AG980" s="395" t="str">
        <f t="shared" si="132"/>
        <v>|</v>
      </c>
      <c r="AI980" s="356" t="s">
        <v>1256</v>
      </c>
    </row>
    <row r="981" spans="6:35" ht="15.75">
      <c r="J981" s="356" t="s">
        <v>114</v>
      </c>
      <c r="K981" s="363" t="s">
        <v>117</v>
      </c>
      <c r="W981" s="361"/>
      <c r="AG981" s="395" t="str">
        <f t="shared" si="132"/>
        <v>|</v>
      </c>
      <c r="AI981" s="356" t="s">
        <v>1256</v>
      </c>
    </row>
    <row r="982" spans="6:35" ht="15.75">
      <c r="H982" s="356" t="s">
        <v>1905</v>
      </c>
      <c r="J982" s="518" t="s">
        <v>114</v>
      </c>
      <c r="K982" s="460">
        <v>1.3100000000000001E-2</v>
      </c>
      <c r="W982" s="361"/>
      <c r="AG982" s="395" t="str">
        <f t="shared" si="132"/>
        <v>|</v>
      </c>
      <c r="AI982" s="356" t="s">
        <v>1256</v>
      </c>
    </row>
    <row r="983" spans="6:35" ht="15.75">
      <c r="H983" s="356" t="s">
        <v>1906</v>
      </c>
      <c r="J983" s="356" t="s">
        <v>114</v>
      </c>
      <c r="K983" s="460">
        <v>3.3999999999999998E-3</v>
      </c>
      <c r="W983" s="361"/>
      <c r="AG983" s="395" t="str">
        <f t="shared" si="132"/>
        <v>|</v>
      </c>
      <c r="AI983" s="356" t="s">
        <v>1256</v>
      </c>
    </row>
    <row r="984" spans="6:35" ht="15.75">
      <c r="K984" s="363" t="s">
        <v>117</v>
      </c>
      <c r="W984" s="361"/>
      <c r="AG984" s="395">
        <f t="shared" si="132"/>
        <v>0</v>
      </c>
    </row>
    <row r="985" spans="6:35" ht="15.75">
      <c r="K985" s="460">
        <v>1.6500000000000001E-2</v>
      </c>
      <c r="W985" s="361"/>
      <c r="AG985" s="395">
        <f t="shared" si="132"/>
        <v>0</v>
      </c>
    </row>
    <row r="986" spans="6:35" ht="15.75">
      <c r="K986" s="363" t="s">
        <v>117</v>
      </c>
      <c r="O986" s="35" t="s">
        <v>1907</v>
      </c>
      <c r="W986" s="361"/>
      <c r="AG986" s="395">
        <f t="shared" si="132"/>
        <v>0</v>
      </c>
    </row>
    <row r="987" spans="6:35" ht="15.75">
      <c r="F987" s="460">
        <v>1.15E-2</v>
      </c>
      <c r="G987" s="368" t="s">
        <v>108</v>
      </c>
      <c r="H987" s="356" t="s">
        <v>1883</v>
      </c>
      <c r="I987" s="370">
        <f>C88</f>
        <v>111965.44</v>
      </c>
      <c r="J987" s="356" t="s">
        <v>108</v>
      </c>
      <c r="K987" s="370">
        <f>(F987*I987)</f>
        <v>1287.60256</v>
      </c>
      <c r="M987" s="357" t="s">
        <v>1908</v>
      </c>
      <c r="N987" s="368"/>
      <c r="O987" s="356" t="s">
        <v>1909</v>
      </c>
      <c r="Q987" s="360"/>
      <c r="R987" s="356" t="s">
        <v>114</v>
      </c>
      <c r="W987" s="361"/>
      <c r="AG987" s="395">
        <f t="shared" si="132"/>
        <v>0</v>
      </c>
    </row>
    <row r="988" spans="6:35" ht="15.75">
      <c r="F988" s="460">
        <v>2.1999999999999999E-2</v>
      </c>
      <c r="G988" s="368" t="s">
        <v>108</v>
      </c>
      <c r="H988" s="356" t="s">
        <v>1885</v>
      </c>
      <c r="I988" s="370">
        <f>C89</f>
        <v>99765.440000000002</v>
      </c>
      <c r="J988" s="356" t="s">
        <v>108</v>
      </c>
      <c r="K988" s="370">
        <f>(F988*I988)</f>
        <v>2194.83968</v>
      </c>
      <c r="N988" s="358"/>
      <c r="O988" s="363" t="s">
        <v>117</v>
      </c>
      <c r="Q988" s="360"/>
      <c r="W988" s="361"/>
      <c r="AG988" s="395">
        <f t="shared" si="132"/>
        <v>0</v>
      </c>
    </row>
    <row r="989" spans="6:35" ht="15.75">
      <c r="F989" s="460">
        <v>1.6500000000000001E-2</v>
      </c>
      <c r="G989" s="368" t="s">
        <v>108</v>
      </c>
      <c r="H989" s="356" t="s">
        <v>1887</v>
      </c>
      <c r="I989" s="370">
        <f>C92</f>
        <v>95365.440000000002</v>
      </c>
      <c r="J989" s="356" t="s">
        <v>108</v>
      </c>
      <c r="K989" s="370">
        <f>(F989*I989)</f>
        <v>1573.5297600000001</v>
      </c>
      <c r="L989" s="35" t="s">
        <v>1910</v>
      </c>
      <c r="M989" s="519">
        <v>1.153E-2</v>
      </c>
      <c r="N989" s="520" t="s">
        <v>108</v>
      </c>
      <c r="O989" s="521" t="s">
        <v>986</v>
      </c>
      <c r="P989" s="522">
        <f t="shared" ref="P989:P999" si="134">I1055</f>
        <v>111965.44</v>
      </c>
      <c r="Q989" s="521" t="s">
        <v>108</v>
      </c>
      <c r="R989" s="522">
        <f t="shared" ref="R989:R999" si="135">(M989*P989)</f>
        <v>1290.9615232000001</v>
      </c>
      <c r="W989" s="361"/>
      <c r="AG989" s="395">
        <f t="shared" si="132"/>
        <v>0</v>
      </c>
    </row>
    <row r="990" spans="6:35" ht="15.75">
      <c r="F990" s="460"/>
      <c r="H990" s="356" t="s">
        <v>1889</v>
      </c>
      <c r="I990" s="356" t="s">
        <v>114</v>
      </c>
      <c r="K990" s="356" t="s">
        <v>114</v>
      </c>
      <c r="M990" s="523">
        <v>1.013E-2</v>
      </c>
      <c r="N990" s="368" t="s">
        <v>108</v>
      </c>
      <c r="O990" s="356" t="s">
        <v>987</v>
      </c>
      <c r="P990" s="522">
        <f t="shared" si="134"/>
        <v>99765.440000000002</v>
      </c>
      <c r="Q990" s="356" t="s">
        <v>108</v>
      </c>
      <c r="R990" s="370">
        <f t="shared" si="135"/>
        <v>1010.6239072000001</v>
      </c>
      <c r="W990" s="361"/>
      <c r="AG990" s="395">
        <f t="shared" si="132"/>
        <v>0</v>
      </c>
    </row>
    <row r="991" spans="6:35" ht="15.75">
      <c r="F991" s="460">
        <v>1.64</v>
      </c>
      <c r="G991" s="368" t="s">
        <v>107</v>
      </c>
      <c r="H991" s="356" t="s">
        <v>1880</v>
      </c>
      <c r="I991" s="370">
        <f>C31</f>
        <v>1844.3999999999999</v>
      </c>
      <c r="J991" s="356" t="s">
        <v>107</v>
      </c>
      <c r="K991" s="370">
        <f t="shared" ref="K991:K998" si="136">(F991*I991)</f>
        <v>3024.8159999999998</v>
      </c>
      <c r="M991" s="523">
        <v>0.77780000000000005</v>
      </c>
      <c r="N991" s="368" t="s">
        <v>107</v>
      </c>
      <c r="O991" s="356" t="s">
        <v>988</v>
      </c>
      <c r="P991" s="522">
        <f t="shared" si="134"/>
        <v>387.4</v>
      </c>
      <c r="Q991" s="356" t="s">
        <v>107</v>
      </c>
      <c r="R991" s="370">
        <f t="shared" si="135"/>
        <v>301.31972000000002</v>
      </c>
      <c r="W991" s="361"/>
      <c r="AG991" s="395">
        <f t="shared" si="132"/>
        <v>0</v>
      </c>
    </row>
    <row r="992" spans="6:35" ht="15.75">
      <c r="F992" s="370">
        <v>1</v>
      </c>
      <c r="G992" s="368" t="s">
        <v>223</v>
      </c>
      <c r="H992" s="356" t="s">
        <v>1911</v>
      </c>
      <c r="I992" s="370">
        <f>C600</f>
        <v>57.65</v>
      </c>
      <c r="J992" s="356" t="s">
        <v>151</v>
      </c>
      <c r="K992" s="370">
        <f t="shared" si="136"/>
        <v>57.65</v>
      </c>
      <c r="M992" s="523">
        <v>1.23</v>
      </c>
      <c r="N992" s="368" t="s">
        <v>107</v>
      </c>
      <c r="O992" s="356" t="s">
        <v>989</v>
      </c>
      <c r="P992" s="522">
        <f t="shared" si="134"/>
        <v>1537.2</v>
      </c>
      <c r="Q992" s="356" t="s">
        <v>107</v>
      </c>
      <c r="R992" s="370">
        <f t="shared" si="135"/>
        <v>1890.7560000000001</v>
      </c>
      <c r="W992" s="361"/>
      <c r="AG992" s="395">
        <f t="shared" si="132"/>
        <v>0</v>
      </c>
    </row>
    <row r="993" spans="6:35" ht="15.75">
      <c r="F993" s="370">
        <v>3</v>
      </c>
      <c r="G993" s="368" t="s">
        <v>151</v>
      </c>
      <c r="H993" s="356" t="str">
        <f t="shared" ref="H993:H998" si="137">H958</f>
        <v xml:space="preserve">  5"BUTT HINGS (p-40)</v>
      </c>
      <c r="I993" s="370">
        <f>C281</f>
        <v>89.6</v>
      </c>
      <c r="J993" s="356" t="s">
        <v>151</v>
      </c>
      <c r="K993" s="370">
        <f t="shared" si="136"/>
        <v>268.79999999999995</v>
      </c>
      <c r="M993" s="370">
        <v>2</v>
      </c>
      <c r="N993" s="368" t="s">
        <v>151</v>
      </c>
      <c r="O993" s="356" t="s">
        <v>990</v>
      </c>
      <c r="P993" s="522">
        <f t="shared" si="134"/>
        <v>64.8</v>
      </c>
      <c r="Q993" s="356" t="s">
        <v>151</v>
      </c>
      <c r="R993" s="370">
        <f t="shared" si="135"/>
        <v>129.6</v>
      </c>
      <c r="W993" s="361"/>
      <c r="AG993" s="395">
        <f t="shared" si="132"/>
        <v>0</v>
      </c>
    </row>
    <row r="994" spans="6:35" ht="15.75">
      <c r="F994" s="370">
        <v>2</v>
      </c>
      <c r="G994" s="368" t="s">
        <v>151</v>
      </c>
      <c r="H994" s="356" t="str">
        <f t="shared" si="137"/>
        <v xml:space="preserve"> 6"X1/2"TOWER BOLT (p-40)</v>
      </c>
      <c r="I994" s="370">
        <f>C286</f>
        <v>64.8</v>
      </c>
      <c r="J994" s="356" t="s">
        <v>151</v>
      </c>
      <c r="K994" s="370">
        <f t="shared" si="136"/>
        <v>129.6</v>
      </c>
      <c r="M994" s="370">
        <v>3</v>
      </c>
      <c r="N994" s="368" t="s">
        <v>151</v>
      </c>
      <c r="O994" s="356" t="s">
        <v>1912</v>
      </c>
      <c r="P994" s="522">
        <f t="shared" si="134"/>
        <v>89.6</v>
      </c>
      <c r="Q994" s="356" t="s">
        <v>151</v>
      </c>
      <c r="R994" s="370">
        <f t="shared" si="135"/>
        <v>268.79999999999995</v>
      </c>
      <c r="W994" s="361"/>
      <c r="AG994" s="395">
        <f t="shared" si="132"/>
        <v>0</v>
      </c>
    </row>
    <row r="995" spans="6:35" ht="15.75">
      <c r="F995" s="370">
        <v>1</v>
      </c>
      <c r="G995" s="368" t="s">
        <v>151</v>
      </c>
      <c r="H995" s="356" t="str">
        <f t="shared" si="137"/>
        <v>10"X5/8"ALDROP (p-41)</v>
      </c>
      <c r="I995" s="370">
        <f>C288</f>
        <v>181</v>
      </c>
      <c r="J995" s="356" t="s">
        <v>151</v>
      </c>
      <c r="K995" s="370">
        <f t="shared" si="136"/>
        <v>181</v>
      </c>
      <c r="M995" s="370">
        <v>1</v>
      </c>
      <c r="N995" s="368" t="s">
        <v>151</v>
      </c>
      <c r="O995" s="356" t="s">
        <v>992</v>
      </c>
      <c r="P995" s="522">
        <f t="shared" si="134"/>
        <v>181</v>
      </c>
      <c r="Q995" s="356" t="s">
        <v>151</v>
      </c>
      <c r="R995" s="370">
        <f t="shared" si="135"/>
        <v>181</v>
      </c>
      <c r="W995" s="361"/>
      <c r="AG995" s="395">
        <f t="shared" si="132"/>
        <v>0</v>
      </c>
    </row>
    <row r="996" spans="6:35" ht="15.75">
      <c r="F996" s="370">
        <v>1</v>
      </c>
      <c r="G996" s="368" t="s">
        <v>151</v>
      </c>
      <c r="H996" s="356" t="str">
        <f t="shared" si="137"/>
        <v>NYLONBUSH</v>
      </c>
      <c r="I996" s="370">
        <f>C290</f>
        <v>7.3</v>
      </c>
      <c r="J996" s="356" t="s">
        <v>151</v>
      </c>
      <c r="K996" s="370">
        <f t="shared" si="136"/>
        <v>7.3</v>
      </c>
      <c r="M996" s="370">
        <v>1</v>
      </c>
      <c r="N996" s="368" t="s">
        <v>151</v>
      </c>
      <c r="O996" s="356" t="s">
        <v>993</v>
      </c>
      <c r="P996" s="522">
        <f t="shared" si="134"/>
        <v>7.3</v>
      </c>
      <c r="Q996" s="356" t="s">
        <v>151</v>
      </c>
      <c r="R996" s="370">
        <f t="shared" si="135"/>
        <v>7.3</v>
      </c>
      <c r="W996" s="361"/>
      <c r="AG996" s="395" t="str">
        <f t="shared" si="132"/>
        <v>|</v>
      </c>
      <c r="AI996" s="356" t="s">
        <v>1256</v>
      </c>
    </row>
    <row r="997" spans="6:35" ht="15.75">
      <c r="F997" s="370">
        <v>1</v>
      </c>
      <c r="G997" s="368" t="s">
        <v>151</v>
      </c>
      <c r="H997" s="356" t="str">
        <f t="shared" si="137"/>
        <v>DOOR STOPPER (p-41)</v>
      </c>
      <c r="I997" s="370">
        <f>D600</f>
        <v>49.55</v>
      </c>
      <c r="J997" s="356" t="s">
        <v>151</v>
      </c>
      <c r="K997" s="370">
        <f t="shared" si="136"/>
        <v>49.55</v>
      </c>
      <c r="M997" s="370">
        <v>1</v>
      </c>
      <c r="N997" s="368" t="s">
        <v>151</v>
      </c>
      <c r="O997" s="356" t="s">
        <v>1913</v>
      </c>
      <c r="P997" s="522">
        <f t="shared" si="134"/>
        <v>57.65</v>
      </c>
      <c r="Q997" s="356" t="s">
        <v>151</v>
      </c>
      <c r="R997" s="370">
        <f t="shared" si="135"/>
        <v>57.65</v>
      </c>
      <c r="W997" s="361"/>
      <c r="AG997" s="395" t="str">
        <f t="shared" si="132"/>
        <v>|</v>
      </c>
      <c r="AI997" s="356" t="s">
        <v>1256</v>
      </c>
    </row>
    <row r="998" spans="6:35" ht="15.75">
      <c r="F998" s="370">
        <v>10</v>
      </c>
      <c r="G998" s="368" t="s">
        <v>1896</v>
      </c>
      <c r="H998" s="356" t="str">
        <f t="shared" si="137"/>
        <v>Brass screw    M-0634</v>
      </c>
      <c r="I998" s="370">
        <f>I963</f>
        <v>2.41</v>
      </c>
      <c r="J998" s="356" t="s">
        <v>151</v>
      </c>
      <c r="K998" s="370">
        <f t="shared" si="136"/>
        <v>24.1</v>
      </c>
      <c r="M998" s="370">
        <v>1</v>
      </c>
      <c r="N998" s="368" t="s">
        <v>151</v>
      </c>
      <c r="O998" s="356" t="s">
        <v>995</v>
      </c>
      <c r="P998" s="522">
        <f t="shared" si="134"/>
        <v>49.55</v>
      </c>
      <c r="Q998" s="356" t="s">
        <v>151</v>
      </c>
      <c r="R998" s="370">
        <f t="shared" si="135"/>
        <v>49.55</v>
      </c>
      <c r="W998" s="361"/>
      <c r="AG998" s="395" t="str">
        <f t="shared" si="132"/>
        <v>|</v>
      </c>
      <c r="AI998" s="356" t="s">
        <v>1256</v>
      </c>
    </row>
    <row r="999" spans="6:35" ht="15.75">
      <c r="K999" s="363" t="s">
        <v>117</v>
      </c>
      <c r="M999" s="370">
        <v>58</v>
      </c>
      <c r="N999" s="358"/>
      <c r="O999" s="356" t="s">
        <v>1914</v>
      </c>
      <c r="P999" s="522">
        <f t="shared" si="134"/>
        <v>2.41</v>
      </c>
      <c r="Q999" s="360"/>
      <c r="R999" s="370">
        <f t="shared" si="135"/>
        <v>139.78</v>
      </c>
      <c r="W999" s="361"/>
      <c r="AG999" s="395" t="str">
        <f t="shared" si="132"/>
        <v>|</v>
      </c>
      <c r="AI999" s="356" t="s">
        <v>1256</v>
      </c>
    </row>
    <row r="1000" spans="6:35" ht="15.75">
      <c r="H1000" s="356" t="s">
        <v>1915</v>
      </c>
      <c r="K1000" s="370">
        <f>SUM(K987:K998)</f>
        <v>8798.7879999999986</v>
      </c>
      <c r="N1000" s="358"/>
      <c r="O1000" s="357" t="s">
        <v>996</v>
      </c>
      <c r="Q1000" s="360"/>
      <c r="R1000" s="370">
        <f>SUM(R989:R999)</f>
        <v>5327.3411504000005</v>
      </c>
      <c r="W1000" s="361"/>
      <c r="AG1000" s="395" t="str">
        <f t="shared" si="132"/>
        <v>|</v>
      </c>
      <c r="AI1000" s="356" t="s">
        <v>1256</v>
      </c>
    </row>
    <row r="1001" spans="6:35" ht="15.75">
      <c r="K1001" s="363" t="s">
        <v>117</v>
      </c>
      <c r="N1001" s="368" t="s">
        <v>114</v>
      </c>
      <c r="Q1001" s="360"/>
      <c r="R1001" s="363" t="s">
        <v>117</v>
      </c>
      <c r="W1001" s="361"/>
      <c r="AG1001" s="395" t="str">
        <f t="shared" si="132"/>
        <v>|</v>
      </c>
      <c r="AI1001" s="356" t="s">
        <v>1256</v>
      </c>
    </row>
    <row r="1002" spans="6:35" ht="15.75">
      <c r="H1002" s="372" t="s">
        <v>1916</v>
      </c>
      <c r="K1002" s="369">
        <f>K1000/F991</f>
        <v>5365.1146341463409</v>
      </c>
      <c r="N1002" s="358"/>
      <c r="O1002" s="372" t="s">
        <v>177</v>
      </c>
      <c r="Q1002" s="360"/>
      <c r="R1002" s="369">
        <f>R1000/M992</f>
        <v>4331.1716669918706</v>
      </c>
      <c r="W1002" s="361"/>
      <c r="AG1002" s="395" t="str">
        <f t="shared" si="132"/>
        <v>|</v>
      </c>
      <c r="AI1002" s="356" t="s">
        <v>1256</v>
      </c>
    </row>
    <row r="1003" spans="6:35" ht="15.75">
      <c r="K1003" s="363" t="s">
        <v>156</v>
      </c>
      <c r="N1003" s="358"/>
      <c r="Q1003" s="360"/>
      <c r="R1003" s="363" t="s">
        <v>156</v>
      </c>
      <c r="W1003" s="361"/>
      <c r="AG1003" s="395" t="str">
        <f t="shared" si="132"/>
        <v>|::</v>
      </c>
      <c r="AI1003" s="356" t="s">
        <v>1001</v>
      </c>
    </row>
    <row r="1004" spans="6:35" ht="15.75">
      <c r="F1004" s="357" t="s">
        <v>1917</v>
      </c>
      <c r="G1004" s="368" t="s">
        <v>122</v>
      </c>
      <c r="H1004" s="356" t="s">
        <v>1872</v>
      </c>
      <c r="W1004" s="361"/>
      <c r="AG1004" s="395">
        <f t="shared" si="132"/>
        <v>0</v>
      </c>
    </row>
    <row r="1005" spans="6:35" ht="15.75">
      <c r="H1005" s="356" t="s">
        <v>1867</v>
      </c>
      <c r="W1005" s="361"/>
      <c r="AG1005" s="395">
        <f t="shared" si="132"/>
        <v>0</v>
      </c>
    </row>
    <row r="1006" spans="6:35" ht="15.75">
      <c r="H1006" s="356" t="s">
        <v>1918</v>
      </c>
      <c r="W1006" s="361"/>
      <c r="AG1006" s="395" t="str">
        <f t="shared" si="132"/>
        <v>|</v>
      </c>
      <c r="AI1006" s="356" t="s">
        <v>1256</v>
      </c>
    </row>
    <row r="1007" spans="6:35" ht="15.75">
      <c r="H1007" s="363" t="s">
        <v>117</v>
      </c>
      <c r="W1007" s="361"/>
      <c r="AG1007" s="395"/>
      <c r="AI1007" s="356"/>
    </row>
    <row r="1008" spans="6:35" ht="15.75">
      <c r="H1008" s="356" t="s">
        <v>1919</v>
      </c>
      <c r="W1008" s="361"/>
      <c r="AG1008" s="395" t="str">
        <f t="shared" si="132"/>
        <v>|</v>
      </c>
      <c r="AI1008" s="356" t="s">
        <v>1256</v>
      </c>
    </row>
    <row r="1009" spans="6:35" ht="15.75">
      <c r="H1009" s="356" t="s">
        <v>1871</v>
      </c>
      <c r="W1009" s="361"/>
      <c r="AG1009" s="395" t="str">
        <f t="shared" si="132"/>
        <v>|</v>
      </c>
      <c r="AI1009" s="356" t="s">
        <v>1256</v>
      </c>
    </row>
    <row r="1010" spans="6:35" ht="15.75">
      <c r="J1010" s="356" t="s">
        <v>117</v>
      </c>
      <c r="W1010" s="361"/>
      <c r="AG1010" s="395" t="str">
        <f t="shared" si="132"/>
        <v>|</v>
      </c>
      <c r="AI1010" s="356" t="s">
        <v>1256</v>
      </c>
    </row>
    <row r="1011" spans="6:35" ht="15.75">
      <c r="H1011" s="356" t="s">
        <v>1920</v>
      </c>
      <c r="W1011" s="361"/>
      <c r="AG1011" s="395" t="str">
        <f t="shared" si="132"/>
        <v>|</v>
      </c>
      <c r="AI1011" s="356" t="s">
        <v>1256</v>
      </c>
    </row>
    <row r="1012" spans="6:35" ht="15.75">
      <c r="H1012" s="356" t="s">
        <v>1921</v>
      </c>
      <c r="K1012" s="460">
        <v>1.1900000000000001E-2</v>
      </c>
      <c r="W1012" s="361"/>
      <c r="AG1012" s="395" t="str">
        <f t="shared" si="132"/>
        <v>|</v>
      </c>
      <c r="AI1012" s="356" t="s">
        <v>1256</v>
      </c>
    </row>
    <row r="1013" spans="6:35" ht="15.75">
      <c r="J1013" s="356" t="s">
        <v>114</v>
      </c>
      <c r="K1013" s="363" t="s">
        <v>117</v>
      </c>
      <c r="W1013" s="361"/>
      <c r="AG1013" s="395">
        <f t="shared" si="132"/>
        <v>0</v>
      </c>
    </row>
    <row r="1014" spans="6:35" ht="15.75">
      <c r="H1014" s="356" t="s">
        <v>1922</v>
      </c>
      <c r="J1014" s="518" t="s">
        <v>114</v>
      </c>
      <c r="K1014" s="460">
        <v>1.18E-2</v>
      </c>
      <c r="W1014" s="361"/>
      <c r="AG1014" s="395">
        <f t="shared" si="132"/>
        <v>0</v>
      </c>
    </row>
    <row r="1015" spans="6:35" ht="15.75">
      <c r="H1015" s="356" t="s">
        <v>620</v>
      </c>
      <c r="J1015" s="356" t="s">
        <v>114</v>
      </c>
      <c r="K1015" s="524" t="s">
        <v>117</v>
      </c>
      <c r="W1015" s="361"/>
      <c r="AG1015" s="395">
        <f t="shared" si="132"/>
        <v>0</v>
      </c>
    </row>
    <row r="1016" spans="6:35" ht="15.75">
      <c r="W1016" s="361"/>
      <c r="AG1016" s="395">
        <f t="shared" ref="AG1016:AG1036" si="138">AI1016</f>
        <v>0</v>
      </c>
    </row>
    <row r="1017" spans="6:35" ht="15.75">
      <c r="F1017" s="460">
        <v>1.14E-2</v>
      </c>
      <c r="G1017" s="368" t="s">
        <v>108</v>
      </c>
      <c r="H1017" s="356" t="s">
        <v>1883</v>
      </c>
      <c r="I1017" s="370">
        <f>C88</f>
        <v>111965.44</v>
      </c>
      <c r="J1017" s="356" t="s">
        <v>108</v>
      </c>
      <c r="K1017" s="370">
        <f>(F1017*I1017)</f>
        <v>1276.4060160000001</v>
      </c>
      <c r="W1017" s="361"/>
      <c r="AG1017" s="395">
        <f t="shared" si="138"/>
        <v>0</v>
      </c>
    </row>
    <row r="1018" spans="6:35" ht="15.75">
      <c r="F1018" s="460">
        <v>1.1900000000000001E-2</v>
      </c>
      <c r="G1018" s="368" t="s">
        <v>108</v>
      </c>
      <c r="H1018" s="356" t="s">
        <v>1885</v>
      </c>
      <c r="I1018" s="370">
        <f>C89</f>
        <v>99765.440000000002</v>
      </c>
      <c r="J1018" s="356" t="s">
        <v>108</v>
      </c>
      <c r="K1018" s="370">
        <f>(F1018*I1018)</f>
        <v>1187.208736</v>
      </c>
      <c r="W1018" s="361"/>
      <c r="AG1018" s="395">
        <f t="shared" si="138"/>
        <v>0</v>
      </c>
    </row>
    <row r="1019" spans="6:35" ht="15.75">
      <c r="F1019" s="460">
        <v>1.18E-2</v>
      </c>
      <c r="G1019" s="368" t="s">
        <v>108</v>
      </c>
      <c r="H1019" s="356" t="s">
        <v>1887</v>
      </c>
      <c r="I1019" s="370">
        <f>C92</f>
        <v>95365.440000000002</v>
      </c>
      <c r="J1019" s="356" t="s">
        <v>108</v>
      </c>
      <c r="K1019" s="370">
        <f>(F1019*I1019)</f>
        <v>1125.3121920000001</v>
      </c>
      <c r="W1019" s="361"/>
      <c r="AG1019" s="395">
        <f t="shared" si="138"/>
        <v>0</v>
      </c>
    </row>
    <row r="1020" spans="6:35" ht="15.75">
      <c r="F1020" s="460"/>
      <c r="H1020" s="356" t="s">
        <v>1889</v>
      </c>
      <c r="I1020" s="356" t="s">
        <v>114</v>
      </c>
      <c r="K1020" s="356" t="s">
        <v>114</v>
      </c>
      <c r="W1020" s="361"/>
      <c r="AG1020" s="395">
        <f t="shared" si="138"/>
        <v>0</v>
      </c>
    </row>
    <row r="1021" spans="6:35" ht="15.75">
      <c r="F1021" s="460">
        <v>1.2150000000000001</v>
      </c>
      <c r="G1021" s="368" t="s">
        <v>107</v>
      </c>
      <c r="H1021" s="356" t="s">
        <v>1880</v>
      </c>
      <c r="I1021" s="370">
        <f>C31</f>
        <v>1844.3999999999999</v>
      </c>
      <c r="J1021" s="356" t="s">
        <v>107</v>
      </c>
      <c r="K1021" s="370">
        <f t="shared" ref="K1021:K1028" si="139">(F1021*I1021)</f>
        <v>2240.9459999999999</v>
      </c>
      <c r="W1021" s="361"/>
      <c r="AG1021" s="395">
        <f t="shared" si="138"/>
        <v>0</v>
      </c>
    </row>
    <row r="1022" spans="6:35" ht="15.75">
      <c r="F1022" s="370">
        <v>1</v>
      </c>
      <c r="G1022" s="368" t="s">
        <v>223</v>
      </c>
      <c r="H1022" s="356" t="s">
        <v>1911</v>
      </c>
      <c r="I1022" s="370">
        <f>C600</f>
        <v>57.65</v>
      </c>
      <c r="J1022" s="356" t="s">
        <v>151</v>
      </c>
      <c r="K1022" s="370">
        <f t="shared" si="139"/>
        <v>57.65</v>
      </c>
      <c r="W1022" s="361"/>
      <c r="AG1022" s="395">
        <f t="shared" si="138"/>
        <v>0</v>
      </c>
    </row>
    <row r="1023" spans="6:35" ht="15.75">
      <c r="F1023" s="370">
        <v>3</v>
      </c>
      <c r="G1023" s="368" t="s">
        <v>151</v>
      </c>
      <c r="H1023" s="356" t="str">
        <f t="shared" ref="H1023:H1028" si="140">H993</f>
        <v xml:space="preserve">  5"BUTT HINGS (p-40)</v>
      </c>
      <c r="I1023" s="370">
        <f>C281</f>
        <v>89.6</v>
      </c>
      <c r="J1023" s="356" t="s">
        <v>151</v>
      </c>
      <c r="K1023" s="370">
        <f t="shared" si="139"/>
        <v>268.79999999999995</v>
      </c>
      <c r="W1023" s="361"/>
      <c r="AG1023" s="395">
        <f t="shared" si="138"/>
        <v>0</v>
      </c>
    </row>
    <row r="1024" spans="6:35" ht="15.75">
      <c r="F1024" s="370">
        <v>2</v>
      </c>
      <c r="G1024" s="368" t="s">
        <v>151</v>
      </c>
      <c r="H1024" s="356" t="str">
        <f t="shared" si="140"/>
        <v xml:space="preserve"> 6"X1/2"TOWER BOLT (p-40)</v>
      </c>
      <c r="I1024" s="370">
        <f>C286</f>
        <v>64.8</v>
      </c>
      <c r="J1024" s="356" t="s">
        <v>151</v>
      </c>
      <c r="K1024" s="370">
        <f t="shared" si="139"/>
        <v>129.6</v>
      </c>
      <c r="W1024" s="361"/>
      <c r="AG1024" s="395">
        <f t="shared" si="138"/>
        <v>0</v>
      </c>
    </row>
    <row r="1025" spans="6:33" ht="15.75">
      <c r="F1025" s="370">
        <v>1</v>
      </c>
      <c r="G1025" s="368" t="s">
        <v>151</v>
      </c>
      <c r="H1025" s="356" t="str">
        <f t="shared" si="140"/>
        <v>10"X5/8"ALDROP (p-41)</v>
      </c>
      <c r="I1025" s="370">
        <f>C288</f>
        <v>181</v>
      </c>
      <c r="J1025" s="356" t="s">
        <v>151</v>
      </c>
      <c r="K1025" s="370">
        <f t="shared" si="139"/>
        <v>181</v>
      </c>
      <c r="W1025" s="361"/>
      <c r="AG1025" s="395">
        <f t="shared" si="138"/>
        <v>0</v>
      </c>
    </row>
    <row r="1026" spans="6:33" ht="15.75">
      <c r="F1026" s="370">
        <v>1</v>
      </c>
      <c r="G1026" s="368" t="s">
        <v>151</v>
      </c>
      <c r="H1026" s="356" t="str">
        <f t="shared" si="140"/>
        <v>NYLONBUSH</v>
      </c>
      <c r="I1026" s="370">
        <f>C290</f>
        <v>7.3</v>
      </c>
      <c r="J1026" s="356" t="s">
        <v>151</v>
      </c>
      <c r="K1026" s="370">
        <f t="shared" si="139"/>
        <v>7.3</v>
      </c>
      <c r="W1026" s="361"/>
      <c r="AG1026" s="395">
        <f t="shared" si="138"/>
        <v>0</v>
      </c>
    </row>
    <row r="1027" spans="6:33" ht="15.75">
      <c r="F1027" s="370">
        <v>1</v>
      </c>
      <c r="G1027" s="368" t="s">
        <v>151</v>
      </c>
      <c r="H1027" s="356" t="str">
        <f t="shared" si="140"/>
        <v>DOOR STOPPER (p-41)</v>
      </c>
      <c r="I1027" s="370">
        <f>D600</f>
        <v>49.55</v>
      </c>
      <c r="J1027" s="356" t="s">
        <v>151</v>
      </c>
      <c r="K1027" s="370">
        <f t="shared" si="139"/>
        <v>49.55</v>
      </c>
      <c r="W1027" s="361"/>
      <c r="AG1027" s="395">
        <f t="shared" si="138"/>
        <v>0</v>
      </c>
    </row>
    <row r="1028" spans="6:33" ht="15.75">
      <c r="F1028" s="370">
        <v>10</v>
      </c>
      <c r="G1028" s="368" t="s">
        <v>1896</v>
      </c>
      <c r="H1028" s="356" t="str">
        <f t="shared" si="140"/>
        <v>Brass screw    M-0634</v>
      </c>
      <c r="I1028" s="370">
        <f>I998</f>
        <v>2.41</v>
      </c>
      <c r="J1028" s="356" t="s">
        <v>151</v>
      </c>
      <c r="K1028" s="370">
        <f t="shared" si="139"/>
        <v>24.1</v>
      </c>
      <c r="M1028" s="357" t="s">
        <v>1923</v>
      </c>
      <c r="N1028" s="368" t="s">
        <v>122</v>
      </c>
      <c r="O1028" s="356" t="s">
        <v>1924</v>
      </c>
      <c r="Q1028" s="360"/>
      <c r="W1028" s="361"/>
      <c r="AG1028" s="395">
        <f t="shared" si="138"/>
        <v>0</v>
      </c>
    </row>
    <row r="1029" spans="6:33" ht="15.75">
      <c r="K1029" s="363" t="s">
        <v>117</v>
      </c>
      <c r="N1029" s="358"/>
      <c r="O1029" s="356" t="s">
        <v>1925</v>
      </c>
      <c r="Q1029" s="360"/>
      <c r="W1029" s="361"/>
      <c r="AG1029" s="395">
        <f t="shared" si="138"/>
        <v>0</v>
      </c>
    </row>
    <row r="1030" spans="6:33" ht="15.75">
      <c r="H1030" s="356" t="s">
        <v>1926</v>
      </c>
      <c r="K1030" s="370">
        <f>SUM(K1017:K1028)</f>
        <v>6547.8729440000016</v>
      </c>
      <c r="N1030" s="358"/>
      <c r="O1030" s="356" t="s">
        <v>1927</v>
      </c>
      <c r="Q1030" s="360"/>
      <c r="W1030" s="361"/>
      <c r="AG1030" s="395">
        <f t="shared" si="138"/>
        <v>0</v>
      </c>
    </row>
    <row r="1031" spans="6:33" ht="15.75">
      <c r="K1031" s="363" t="s">
        <v>117</v>
      </c>
      <c r="N1031" s="358"/>
      <c r="O1031" s="356" t="s">
        <v>1928</v>
      </c>
      <c r="Q1031" s="360"/>
      <c r="W1031" s="361"/>
      <c r="AG1031" s="395">
        <f t="shared" si="138"/>
        <v>0</v>
      </c>
    </row>
    <row r="1032" spans="6:33" ht="15.75">
      <c r="H1032" s="372" t="s">
        <v>177</v>
      </c>
      <c r="K1032" s="369">
        <f>K1030/F1021</f>
        <v>5389.1958386831284</v>
      </c>
      <c r="N1032" s="358"/>
      <c r="O1032" s="356" t="s">
        <v>1929</v>
      </c>
      <c r="Q1032" s="360"/>
      <c r="W1032" s="361"/>
      <c r="AG1032" s="395">
        <f t="shared" si="138"/>
        <v>0</v>
      </c>
    </row>
    <row r="1033" spans="6:33" ht="15.75">
      <c r="K1033" s="363" t="s">
        <v>156</v>
      </c>
      <c r="N1033" s="358"/>
      <c r="O1033" s="356" t="s">
        <v>1930</v>
      </c>
      <c r="Q1033" s="360"/>
      <c r="W1033" s="361"/>
      <c r="AG1033" s="395">
        <f t="shared" si="138"/>
        <v>0</v>
      </c>
    </row>
    <row r="1034" spans="6:33" ht="19.5">
      <c r="H1034" s="525" t="s">
        <v>1931</v>
      </c>
      <c r="I1034" s="526"/>
      <c r="J1034" s="527"/>
      <c r="K1034" s="525">
        <f>K914</f>
        <v>2135</v>
      </c>
      <c r="N1034" s="358"/>
      <c r="O1034" s="363" t="s">
        <v>117</v>
      </c>
      <c r="Q1034" s="360"/>
      <c r="W1034" s="361"/>
      <c r="AG1034" s="395">
        <f t="shared" si="138"/>
        <v>0</v>
      </c>
    </row>
    <row r="1035" spans="6:33" ht="15.75">
      <c r="F1035" s="357" t="s">
        <v>1923</v>
      </c>
      <c r="G1035" s="368" t="s">
        <v>122</v>
      </c>
      <c r="H1035" s="356" t="s">
        <v>1924</v>
      </c>
      <c r="N1035" s="358"/>
      <c r="O1035" s="356" t="s">
        <v>1901</v>
      </c>
      <c r="Q1035" s="360"/>
      <c r="W1035" s="361"/>
      <c r="AG1035" s="395">
        <f t="shared" si="138"/>
        <v>0</v>
      </c>
    </row>
    <row r="1036" spans="6:33" ht="15.75">
      <c r="H1036" s="356" t="s">
        <v>1925</v>
      </c>
      <c r="N1036" s="358"/>
      <c r="O1036" s="356" t="s">
        <v>1932</v>
      </c>
      <c r="Q1036" s="360"/>
      <c r="W1036" s="361"/>
      <c r="AG1036" s="395">
        <f t="shared" si="138"/>
        <v>0</v>
      </c>
    </row>
    <row r="1037" spans="6:33" ht="15.75">
      <c r="H1037" s="356" t="s">
        <v>1927</v>
      </c>
      <c r="N1037" s="358"/>
      <c r="Q1037" s="356" t="s">
        <v>117</v>
      </c>
      <c r="W1037" s="361"/>
      <c r="AG1037" s="395"/>
    </row>
    <row r="1038" spans="6:33" ht="15.75">
      <c r="H1038" s="356" t="s">
        <v>1928</v>
      </c>
      <c r="N1038" s="358"/>
      <c r="O1038" s="356" t="s">
        <v>1933</v>
      </c>
      <c r="Q1038" s="360"/>
      <c r="W1038" s="361"/>
      <c r="AG1038" s="395">
        <f t="shared" ref="AG1038:AG1043" si="141">AI1038</f>
        <v>0</v>
      </c>
    </row>
    <row r="1039" spans="6:33" ht="15.75">
      <c r="H1039" s="356" t="s">
        <v>1929</v>
      </c>
      <c r="N1039" s="358"/>
      <c r="O1039" s="356" t="s">
        <v>114</v>
      </c>
      <c r="P1039" s="356" t="s">
        <v>114</v>
      </c>
      <c r="Q1039" s="360"/>
      <c r="R1039" s="518" t="s">
        <v>114</v>
      </c>
      <c r="W1039" s="361"/>
      <c r="AG1039" s="395">
        <f t="shared" si="141"/>
        <v>0</v>
      </c>
    </row>
    <row r="1040" spans="6:33" ht="15.75">
      <c r="H1040" s="356" t="s">
        <v>1930</v>
      </c>
      <c r="N1040" s="358"/>
      <c r="Q1040" s="356" t="s">
        <v>114</v>
      </c>
      <c r="R1040" s="356" t="s">
        <v>114</v>
      </c>
      <c r="W1040" s="361"/>
      <c r="AG1040" s="395">
        <f t="shared" si="141"/>
        <v>0</v>
      </c>
    </row>
    <row r="1041" spans="6:35" ht="15.75">
      <c r="H1041" s="363" t="s">
        <v>117</v>
      </c>
      <c r="N1041" s="358"/>
      <c r="O1041" s="356" t="s">
        <v>1934</v>
      </c>
      <c r="Q1041" s="518" t="s">
        <v>114</v>
      </c>
      <c r="R1041" s="518" t="s">
        <v>114</v>
      </c>
      <c r="W1041" s="361"/>
      <c r="AG1041" s="395">
        <f t="shared" si="141"/>
        <v>0</v>
      </c>
    </row>
    <row r="1042" spans="6:35" ht="15.75">
      <c r="H1042" s="356" t="s">
        <v>1901</v>
      </c>
      <c r="N1042" s="358"/>
      <c r="O1042" s="356" t="s">
        <v>1935</v>
      </c>
      <c r="Q1042" s="360"/>
      <c r="R1042" s="518" t="s">
        <v>1936</v>
      </c>
      <c r="W1042" s="361"/>
      <c r="AG1042" s="395">
        <f t="shared" si="141"/>
        <v>0</v>
      </c>
    </row>
    <row r="1043" spans="6:35" ht="15.75">
      <c r="H1043" s="356" t="s">
        <v>1932</v>
      </c>
      <c r="N1043" s="358"/>
      <c r="Q1043" s="360"/>
      <c r="R1043" s="356" t="s">
        <v>114</v>
      </c>
      <c r="W1043" s="361"/>
      <c r="AG1043" s="395">
        <f t="shared" si="141"/>
        <v>0</v>
      </c>
    </row>
    <row r="1044" spans="6:35" ht="15.75">
      <c r="J1044" s="356" t="s">
        <v>117</v>
      </c>
      <c r="N1044" s="358"/>
      <c r="Q1044" s="360"/>
      <c r="R1044" s="518" t="s">
        <v>114</v>
      </c>
      <c r="W1044" s="361"/>
      <c r="AD1044" s="357" t="s">
        <v>1923</v>
      </c>
      <c r="AE1044" s="368" t="s">
        <v>122</v>
      </c>
      <c r="AF1044" s="356" t="s">
        <v>1937</v>
      </c>
      <c r="AH1044" s="360"/>
    </row>
    <row r="1045" spans="6:35" ht="15">
      <c r="H1045" s="356" t="s">
        <v>1933</v>
      </c>
      <c r="N1045" s="358"/>
      <c r="Q1045" s="360"/>
      <c r="R1045" s="356" t="s">
        <v>114</v>
      </c>
      <c r="W1045" s="361"/>
      <c r="AE1045" s="358"/>
      <c r="AF1045" s="356" t="s">
        <v>1925</v>
      </c>
      <c r="AH1045" s="360"/>
    </row>
    <row r="1046" spans="6:35" ht="15">
      <c r="H1046" s="356" t="s">
        <v>114</v>
      </c>
      <c r="I1046" s="356" t="s">
        <v>114</v>
      </c>
      <c r="K1046" s="518" t="s">
        <v>114</v>
      </c>
      <c r="M1046" s="357" t="s">
        <v>1908</v>
      </c>
      <c r="N1046" s="368"/>
      <c r="O1046" s="356" t="s">
        <v>1938</v>
      </c>
      <c r="Q1046" s="360"/>
      <c r="R1046" s="356" t="s">
        <v>114</v>
      </c>
      <c r="W1046" s="361"/>
      <c r="AE1046" s="358"/>
      <c r="AF1046" s="356" t="s">
        <v>1927</v>
      </c>
      <c r="AH1046" s="360"/>
    </row>
    <row r="1047" spans="6:35" ht="15">
      <c r="J1047" s="356" t="s">
        <v>114</v>
      </c>
      <c r="K1047" s="356" t="s">
        <v>114</v>
      </c>
      <c r="N1047" s="358"/>
      <c r="O1047" s="363" t="s">
        <v>117</v>
      </c>
      <c r="Q1047" s="360"/>
      <c r="W1047" s="361"/>
      <c r="AE1047" s="358"/>
      <c r="AF1047" s="356" t="s">
        <v>1928</v>
      </c>
      <c r="AH1047" s="360"/>
    </row>
    <row r="1048" spans="6:35" s="528" customFormat="1" ht="15.75">
      <c r="F1048" s="35"/>
      <c r="G1048" s="358"/>
      <c r="H1048" s="356" t="s">
        <v>1934</v>
      </c>
      <c r="I1048" s="35"/>
      <c r="J1048" s="518" t="s">
        <v>114</v>
      </c>
      <c r="K1048" s="518" t="s">
        <v>114</v>
      </c>
      <c r="M1048" s="519">
        <v>1.153E-2</v>
      </c>
      <c r="N1048" s="520" t="s">
        <v>108</v>
      </c>
      <c r="O1048" s="521" t="s">
        <v>1939</v>
      </c>
      <c r="P1048" s="522">
        <f>C86</f>
        <v>34665.439999999995</v>
      </c>
      <c r="Q1048" s="521" t="s">
        <v>108</v>
      </c>
      <c r="R1048" s="522">
        <f t="shared" ref="R1048:R1057" si="142">(M1048*P1048)</f>
        <v>399.69252319999998</v>
      </c>
      <c r="S1048" s="529"/>
      <c r="W1048" s="530"/>
      <c r="AD1048" s="35"/>
      <c r="AE1048" s="358"/>
      <c r="AF1048" s="356" t="s">
        <v>1929</v>
      </c>
      <c r="AG1048" s="35"/>
      <c r="AH1048" s="360"/>
      <c r="AI1048" s="35"/>
    </row>
    <row r="1049" spans="6:35" ht="15.75">
      <c r="H1049" s="356" t="s">
        <v>1935</v>
      </c>
      <c r="K1049" s="518" t="s">
        <v>1936</v>
      </c>
      <c r="M1049" s="523">
        <v>1.35E-2</v>
      </c>
      <c r="N1049" s="368" t="s">
        <v>108</v>
      </c>
      <c r="O1049" s="356" t="s">
        <v>1939</v>
      </c>
      <c r="P1049" s="370">
        <f>P1048</f>
        <v>34665.439999999995</v>
      </c>
      <c r="Q1049" s="356" t="s">
        <v>108</v>
      </c>
      <c r="R1049" s="370">
        <f t="shared" si="142"/>
        <v>467.98343999999992</v>
      </c>
      <c r="S1049" s="407"/>
      <c r="W1049" s="361"/>
      <c r="AE1049" s="358"/>
      <c r="AF1049" s="356" t="s">
        <v>1940</v>
      </c>
      <c r="AH1049" s="360"/>
    </row>
    <row r="1050" spans="6:35" ht="15">
      <c r="K1050" s="356" t="s">
        <v>114</v>
      </c>
      <c r="M1050" s="523">
        <v>1.016</v>
      </c>
      <c r="N1050" s="368" t="s">
        <v>107</v>
      </c>
      <c r="O1050" s="356" t="s">
        <v>988</v>
      </c>
      <c r="P1050" s="370">
        <f>I1057</f>
        <v>387.4</v>
      </c>
      <c r="Q1050" s="356" t="s">
        <v>107</v>
      </c>
      <c r="R1050" s="370">
        <f t="shared" si="142"/>
        <v>393.59839999999997</v>
      </c>
      <c r="S1050" s="407"/>
      <c r="W1050" s="361"/>
      <c r="AE1050" s="358"/>
      <c r="AF1050" s="363" t="s">
        <v>117</v>
      </c>
      <c r="AH1050" s="360"/>
    </row>
    <row r="1051" spans="6:35" ht="15">
      <c r="K1051" s="518" t="s">
        <v>114</v>
      </c>
      <c r="M1051" s="523">
        <v>1.64</v>
      </c>
      <c r="N1051" s="368" t="s">
        <v>107</v>
      </c>
      <c r="O1051" s="356" t="s">
        <v>989</v>
      </c>
      <c r="P1051" s="370">
        <f t="shared" ref="P1051:P1056" si="143">I1058</f>
        <v>1537.2</v>
      </c>
      <c r="Q1051" s="356" t="s">
        <v>107</v>
      </c>
      <c r="R1051" s="370">
        <f t="shared" si="142"/>
        <v>2521.0079999999998</v>
      </c>
      <c r="S1051" s="407"/>
      <c r="W1051" s="361"/>
      <c r="AE1051" s="358"/>
      <c r="AF1051" s="356" t="s">
        <v>1941</v>
      </c>
      <c r="AH1051" s="360"/>
    </row>
    <row r="1052" spans="6:35" ht="15">
      <c r="K1052" s="356" t="s">
        <v>114</v>
      </c>
      <c r="M1052" s="370">
        <v>2</v>
      </c>
      <c r="N1052" s="368" t="s">
        <v>151</v>
      </c>
      <c r="O1052" s="356" t="s">
        <v>990</v>
      </c>
      <c r="P1052" s="370">
        <f t="shared" si="143"/>
        <v>64.8</v>
      </c>
      <c r="Q1052" s="356" t="s">
        <v>151</v>
      </c>
      <c r="R1052" s="370">
        <f t="shared" si="142"/>
        <v>129.6</v>
      </c>
      <c r="S1052" s="407"/>
      <c r="W1052" s="361"/>
      <c r="AE1052" s="358"/>
      <c r="AF1052" s="356" t="s">
        <v>1942</v>
      </c>
      <c r="AH1052" s="360"/>
    </row>
    <row r="1053" spans="6:35" ht="15">
      <c r="F1053" s="357" t="s">
        <v>1908</v>
      </c>
      <c r="G1053" s="368"/>
      <c r="H1053" s="356" t="s">
        <v>1938</v>
      </c>
      <c r="K1053" s="356" t="s">
        <v>114</v>
      </c>
      <c r="M1053" s="370">
        <v>3</v>
      </c>
      <c r="N1053" s="368" t="s">
        <v>151</v>
      </c>
      <c r="O1053" s="356" t="s">
        <v>1912</v>
      </c>
      <c r="P1053" s="370">
        <f t="shared" si="143"/>
        <v>89.6</v>
      </c>
      <c r="Q1053" s="356" t="s">
        <v>151</v>
      </c>
      <c r="R1053" s="370">
        <f t="shared" si="142"/>
        <v>268.79999999999995</v>
      </c>
      <c r="S1053" s="407"/>
      <c r="W1053" s="361"/>
      <c r="AE1053" s="358"/>
      <c r="AH1053" s="356" t="s">
        <v>117</v>
      </c>
    </row>
    <row r="1054" spans="6:35" ht="15">
      <c r="H1054" s="363" t="s">
        <v>117</v>
      </c>
      <c r="M1054" s="370">
        <v>1</v>
      </c>
      <c r="N1054" s="368" t="s">
        <v>151</v>
      </c>
      <c r="O1054" s="356" t="s">
        <v>992</v>
      </c>
      <c r="P1054" s="370">
        <f t="shared" si="143"/>
        <v>181</v>
      </c>
      <c r="Q1054" s="356" t="s">
        <v>151</v>
      </c>
      <c r="R1054" s="370">
        <f t="shared" si="142"/>
        <v>181</v>
      </c>
      <c r="S1054" s="407"/>
      <c r="W1054" s="361"/>
      <c r="AE1054" s="358"/>
      <c r="AF1054" s="356" t="s">
        <v>1943</v>
      </c>
      <c r="AH1054" s="360"/>
    </row>
    <row r="1055" spans="6:35" ht="15.75">
      <c r="F1055" s="519">
        <v>1.153E-2</v>
      </c>
      <c r="G1055" s="520" t="s">
        <v>108</v>
      </c>
      <c r="H1055" s="521" t="s">
        <v>986</v>
      </c>
      <c r="I1055" s="522">
        <f>C88</f>
        <v>111965.44</v>
      </c>
      <c r="J1055" s="521" t="s">
        <v>108</v>
      </c>
      <c r="K1055" s="522">
        <f t="shared" ref="K1055:K1065" si="144">(F1055*I1055)</f>
        <v>1290.9615232000001</v>
      </c>
      <c r="M1055" s="370">
        <v>1</v>
      </c>
      <c r="N1055" s="368" t="s">
        <v>151</v>
      </c>
      <c r="O1055" s="356" t="s">
        <v>993</v>
      </c>
      <c r="P1055" s="370">
        <f t="shared" si="143"/>
        <v>7.3</v>
      </c>
      <c r="Q1055" s="356" t="s">
        <v>151</v>
      </c>
      <c r="R1055" s="370">
        <f t="shared" si="142"/>
        <v>7.3</v>
      </c>
      <c r="S1055" s="407"/>
      <c r="W1055" s="361"/>
      <c r="AE1055" s="358"/>
      <c r="AF1055" s="356" t="s">
        <v>114</v>
      </c>
      <c r="AG1055" s="356" t="s">
        <v>114</v>
      </c>
      <c r="AH1055" s="360"/>
      <c r="AI1055" s="518" t="s">
        <v>114</v>
      </c>
    </row>
    <row r="1056" spans="6:35" ht="15">
      <c r="F1056" s="523">
        <v>1.35E-2</v>
      </c>
      <c r="G1056" s="368" t="s">
        <v>108</v>
      </c>
      <c r="H1056" s="356" t="s">
        <v>987</v>
      </c>
      <c r="I1056" s="370">
        <f>C89</f>
        <v>99765.440000000002</v>
      </c>
      <c r="J1056" s="356" t="s">
        <v>108</v>
      </c>
      <c r="K1056" s="370">
        <f t="shared" si="144"/>
        <v>1346.8334400000001</v>
      </c>
      <c r="M1056" s="370">
        <v>1</v>
      </c>
      <c r="N1056" s="368" t="s">
        <v>151</v>
      </c>
      <c r="O1056" s="356" t="s">
        <v>1944</v>
      </c>
      <c r="P1056" s="370">
        <f t="shared" si="143"/>
        <v>57.65</v>
      </c>
      <c r="Q1056" s="356" t="s">
        <v>151</v>
      </c>
      <c r="R1056" s="370">
        <f t="shared" si="142"/>
        <v>57.65</v>
      </c>
      <c r="S1056" s="407"/>
      <c r="W1056" s="361"/>
      <c r="AE1056" s="358"/>
      <c r="AH1056" s="356" t="s">
        <v>114</v>
      </c>
      <c r="AI1056" s="356" t="s">
        <v>114</v>
      </c>
    </row>
    <row r="1057" spans="6:35" ht="15">
      <c r="F1057" s="523">
        <v>1.016</v>
      </c>
      <c r="G1057" s="368" t="s">
        <v>107</v>
      </c>
      <c r="H1057" s="356" t="s">
        <v>988</v>
      </c>
      <c r="I1057" s="370">
        <f>C785</f>
        <v>387.4</v>
      </c>
      <c r="J1057" s="356" t="s">
        <v>107</v>
      </c>
      <c r="K1057" s="370">
        <f t="shared" si="144"/>
        <v>393.59839999999997</v>
      </c>
      <c r="M1057" s="370">
        <v>1</v>
      </c>
      <c r="N1057" s="368" t="s">
        <v>151</v>
      </c>
      <c r="O1057" s="356" t="s">
        <v>995</v>
      </c>
      <c r="P1057" s="370">
        <f>P955</f>
        <v>49.55</v>
      </c>
      <c r="Q1057" s="356" t="s">
        <v>151</v>
      </c>
      <c r="R1057" s="370">
        <f t="shared" si="142"/>
        <v>49.55</v>
      </c>
      <c r="S1057" s="407"/>
      <c r="W1057" s="361"/>
      <c r="AE1057" s="358"/>
      <c r="AF1057" s="356" t="s">
        <v>1945</v>
      </c>
      <c r="AH1057" s="518" t="s">
        <v>114</v>
      </c>
      <c r="AI1057" s="518" t="s">
        <v>114</v>
      </c>
    </row>
    <row r="1058" spans="6:35" ht="15">
      <c r="F1058" s="523">
        <v>1.64</v>
      </c>
      <c r="G1058" s="368" t="s">
        <v>107</v>
      </c>
      <c r="H1058" s="356" t="s">
        <v>989</v>
      </c>
      <c r="I1058" s="370">
        <f>D30</f>
        <v>1537.2</v>
      </c>
      <c r="J1058" s="356" t="s">
        <v>107</v>
      </c>
      <c r="K1058" s="370">
        <f t="shared" si="144"/>
        <v>2521.0079999999998</v>
      </c>
      <c r="N1058" s="358"/>
      <c r="Q1058" s="360"/>
      <c r="R1058" s="363" t="s">
        <v>117</v>
      </c>
      <c r="S1058" s="531"/>
      <c r="W1058" s="361"/>
      <c r="AE1058" s="358"/>
      <c r="AF1058" s="356" t="s">
        <v>1946</v>
      </c>
      <c r="AH1058" s="360"/>
      <c r="AI1058" s="518" t="s">
        <v>1947</v>
      </c>
    </row>
    <row r="1059" spans="6:35" ht="15">
      <c r="F1059" s="370">
        <v>2</v>
      </c>
      <c r="G1059" s="368" t="s">
        <v>151</v>
      </c>
      <c r="H1059" s="356" t="str">
        <f>H1024</f>
        <v xml:space="preserve"> 6"X1/2"TOWER BOLT (p-40)</v>
      </c>
      <c r="I1059" s="370">
        <f>C286</f>
        <v>64.8</v>
      </c>
      <c r="J1059" s="356" t="s">
        <v>151</v>
      </c>
      <c r="K1059" s="370">
        <f t="shared" si="144"/>
        <v>129.6</v>
      </c>
      <c r="N1059" s="358"/>
      <c r="O1059" s="357" t="s">
        <v>1948</v>
      </c>
      <c r="Q1059" s="360"/>
      <c r="R1059" s="370">
        <f>SUM(R1048:R1057)</f>
        <v>4476.1823631999996</v>
      </c>
      <c r="S1059" s="407"/>
      <c r="W1059" s="361"/>
      <c r="AE1059" s="358"/>
      <c r="AH1059" s="360"/>
      <c r="AI1059" s="356" t="s">
        <v>114</v>
      </c>
    </row>
    <row r="1060" spans="6:35" ht="15">
      <c r="F1060" s="370">
        <v>3</v>
      </c>
      <c r="G1060" s="368" t="s">
        <v>151</v>
      </c>
      <c r="H1060" s="356" t="s">
        <v>1912</v>
      </c>
      <c r="I1060" s="370">
        <f>C281</f>
        <v>89.6</v>
      </c>
      <c r="J1060" s="356" t="s">
        <v>151</v>
      </c>
      <c r="K1060" s="370">
        <f t="shared" si="144"/>
        <v>268.79999999999995</v>
      </c>
      <c r="N1060" s="368" t="s">
        <v>114</v>
      </c>
      <c r="Q1060" s="360"/>
      <c r="R1060" s="363" t="s">
        <v>117</v>
      </c>
      <c r="S1060" s="531"/>
      <c r="W1060" s="361"/>
      <c r="AE1060" s="358"/>
      <c r="AH1060" s="360"/>
      <c r="AI1060" s="518" t="s">
        <v>114</v>
      </c>
    </row>
    <row r="1061" spans="6:35" ht="15.75">
      <c r="F1061" s="370">
        <v>1</v>
      </c>
      <c r="G1061" s="368" t="s">
        <v>151</v>
      </c>
      <c r="H1061" s="356" t="s">
        <v>992</v>
      </c>
      <c r="I1061" s="370">
        <f>C288</f>
        <v>181</v>
      </c>
      <c r="J1061" s="356" t="s">
        <v>151</v>
      </c>
      <c r="K1061" s="370">
        <f t="shared" si="144"/>
        <v>181</v>
      </c>
      <c r="N1061" s="358"/>
      <c r="O1061" s="372" t="s">
        <v>177</v>
      </c>
      <c r="Q1061" s="360"/>
      <c r="R1061" s="369">
        <f>R1059/M1051</f>
        <v>2729.3794897560974</v>
      </c>
      <c r="S1061" s="407"/>
      <c r="W1061" s="361"/>
      <c r="AE1061" s="358"/>
      <c r="AH1061" s="360"/>
      <c r="AI1061" s="356" t="s">
        <v>114</v>
      </c>
    </row>
    <row r="1062" spans="6:35" ht="15">
      <c r="F1062" s="370">
        <v>1</v>
      </c>
      <c r="G1062" s="368" t="s">
        <v>151</v>
      </c>
      <c r="H1062" s="356" t="s">
        <v>993</v>
      </c>
      <c r="I1062" s="370">
        <f>C290</f>
        <v>7.3</v>
      </c>
      <c r="J1062" s="356" t="s">
        <v>151</v>
      </c>
      <c r="K1062" s="370">
        <f t="shared" si="144"/>
        <v>7.3</v>
      </c>
      <c r="N1062" s="358"/>
      <c r="Q1062" s="360"/>
      <c r="R1062" s="363" t="s">
        <v>156</v>
      </c>
      <c r="S1062" s="531" t="s">
        <v>156</v>
      </c>
      <c r="W1062" s="361"/>
      <c r="AD1062" s="357" t="s">
        <v>1908</v>
      </c>
      <c r="AE1062" s="368"/>
      <c r="AF1062" s="356" t="s">
        <v>1949</v>
      </c>
      <c r="AH1062" s="360"/>
      <c r="AI1062" s="356" t="s">
        <v>114</v>
      </c>
    </row>
    <row r="1063" spans="6:35" ht="15">
      <c r="F1063" s="370">
        <v>1</v>
      </c>
      <c r="G1063" s="368" t="s">
        <v>151</v>
      </c>
      <c r="H1063" s="356" t="s">
        <v>1913</v>
      </c>
      <c r="I1063" s="370">
        <f>C600</f>
        <v>57.65</v>
      </c>
      <c r="J1063" s="356" t="s">
        <v>151</v>
      </c>
      <c r="K1063" s="370">
        <f t="shared" si="144"/>
        <v>57.65</v>
      </c>
      <c r="M1063" s="357"/>
      <c r="N1063" s="368"/>
      <c r="O1063" s="356"/>
      <c r="Q1063" s="360"/>
      <c r="R1063" s="356" t="s">
        <v>114</v>
      </c>
      <c r="W1063" s="361"/>
      <c r="AE1063" s="358"/>
      <c r="AF1063" s="363" t="s">
        <v>117</v>
      </c>
      <c r="AH1063" s="360"/>
    </row>
    <row r="1064" spans="6:35" ht="15.75">
      <c r="F1064" s="370">
        <v>1</v>
      </c>
      <c r="G1064" s="368" t="s">
        <v>151</v>
      </c>
      <c r="H1064" s="356" t="s">
        <v>995</v>
      </c>
      <c r="I1064" s="370">
        <f>D600</f>
        <v>49.55</v>
      </c>
      <c r="J1064" s="356" t="s">
        <v>151</v>
      </c>
      <c r="K1064" s="370">
        <f t="shared" si="144"/>
        <v>49.55</v>
      </c>
      <c r="M1064" s="357" t="s">
        <v>1908</v>
      </c>
      <c r="N1064" s="368"/>
      <c r="O1064" s="356" t="s">
        <v>1950</v>
      </c>
      <c r="Q1064" s="360"/>
      <c r="R1064" s="356" t="s">
        <v>114</v>
      </c>
      <c r="W1064" s="361"/>
      <c r="AD1064" s="519">
        <v>2.3060000000000001E-2</v>
      </c>
      <c r="AE1064" s="520" t="s">
        <v>108</v>
      </c>
      <c r="AF1064" s="521" t="s">
        <v>986</v>
      </c>
      <c r="AG1064" s="522">
        <f>I1055</f>
        <v>111965.44</v>
      </c>
      <c r="AH1064" s="521" t="s">
        <v>108</v>
      </c>
      <c r="AI1064" s="522">
        <f t="shared" ref="AI1064:AI1074" si="145">(AD1064*AG1064)</f>
        <v>2581.9230464000002</v>
      </c>
    </row>
    <row r="1065" spans="6:35" ht="15.75">
      <c r="F1065" s="370">
        <v>58</v>
      </c>
      <c r="G1065" s="368" t="s">
        <v>1896</v>
      </c>
      <c r="H1065" s="356" t="s">
        <v>1951</v>
      </c>
      <c r="I1065" s="35">
        <f>I1028</f>
        <v>2.41</v>
      </c>
      <c r="J1065" s="356" t="s">
        <v>151</v>
      </c>
      <c r="K1065" s="370">
        <f t="shared" si="144"/>
        <v>139.78</v>
      </c>
      <c r="N1065" s="358"/>
      <c r="O1065" s="363" t="s">
        <v>117</v>
      </c>
      <c r="Q1065" s="360"/>
      <c r="W1065" s="361"/>
      <c r="AD1065" s="523">
        <v>1.856E-2</v>
      </c>
      <c r="AE1065" s="368" t="s">
        <v>108</v>
      </c>
      <c r="AF1065" s="356" t="s">
        <v>987</v>
      </c>
      <c r="AG1065" s="522">
        <f t="shared" ref="AG1065:AG1073" si="146">I1056</f>
        <v>99765.440000000002</v>
      </c>
      <c r="AH1065" s="356" t="s">
        <v>108</v>
      </c>
      <c r="AI1065" s="370">
        <f t="shared" si="145"/>
        <v>1851.6465664</v>
      </c>
    </row>
    <row r="1066" spans="6:35" ht="15.75">
      <c r="H1066" s="357" t="s">
        <v>1948</v>
      </c>
      <c r="K1066" s="370">
        <f>SUM(K1055:K1065)</f>
        <v>6386.0813631999999</v>
      </c>
      <c r="M1066" s="519">
        <v>1.153E-2</v>
      </c>
      <c r="N1066" s="520" t="s">
        <v>108</v>
      </c>
      <c r="O1066" s="521" t="s">
        <v>986</v>
      </c>
      <c r="P1066" s="522">
        <f>I1055</f>
        <v>111965.44</v>
      </c>
      <c r="Q1066" s="521" t="s">
        <v>108</v>
      </c>
      <c r="R1066" s="522">
        <f t="shared" ref="R1066:R1076" si="147">(M1066*P1066)</f>
        <v>1290.9615232000001</v>
      </c>
      <c r="W1066" s="361"/>
      <c r="AD1066" s="523">
        <v>1.4</v>
      </c>
      <c r="AE1066" s="368" t="s">
        <v>107</v>
      </c>
      <c r="AF1066" s="356" t="s">
        <v>988</v>
      </c>
      <c r="AG1066" s="522">
        <f t="shared" si="146"/>
        <v>387.4</v>
      </c>
      <c r="AH1066" s="356" t="s">
        <v>107</v>
      </c>
      <c r="AI1066" s="370">
        <f t="shared" si="145"/>
        <v>542.3599999999999</v>
      </c>
    </row>
    <row r="1067" spans="6:35" ht="15.75">
      <c r="G1067" s="368" t="s">
        <v>114</v>
      </c>
      <c r="K1067" s="363" t="s">
        <v>117</v>
      </c>
      <c r="M1067" s="523">
        <v>1.52E-2</v>
      </c>
      <c r="N1067" s="368" t="s">
        <v>108</v>
      </c>
      <c r="O1067" s="356" t="s">
        <v>987</v>
      </c>
      <c r="P1067" s="522">
        <f t="shared" ref="P1067:P1075" si="148">I1056</f>
        <v>99765.440000000002</v>
      </c>
      <c r="Q1067" s="356" t="s">
        <v>108</v>
      </c>
      <c r="R1067" s="370">
        <f t="shared" si="147"/>
        <v>1516.4346880000001</v>
      </c>
      <c r="W1067" s="361"/>
      <c r="AD1067" s="523">
        <v>2.2549999999999999</v>
      </c>
      <c r="AE1067" s="368" t="s">
        <v>107</v>
      </c>
      <c r="AF1067" s="356" t="s">
        <v>989</v>
      </c>
      <c r="AG1067" s="522">
        <f t="shared" si="146"/>
        <v>1537.2</v>
      </c>
      <c r="AH1067" s="356" t="s">
        <v>107</v>
      </c>
      <c r="AI1067" s="370">
        <f t="shared" si="145"/>
        <v>3466.386</v>
      </c>
    </row>
    <row r="1068" spans="6:35" ht="15.75">
      <c r="H1068" s="372" t="s">
        <v>177</v>
      </c>
      <c r="K1068" s="369">
        <f>K1066/F1058</f>
        <v>3893.9520507317075</v>
      </c>
      <c r="M1068" s="523">
        <v>1.26</v>
      </c>
      <c r="N1068" s="368" t="s">
        <v>107</v>
      </c>
      <c r="O1068" s="356" t="s">
        <v>988</v>
      </c>
      <c r="P1068" s="522">
        <f t="shared" si="148"/>
        <v>387.4</v>
      </c>
      <c r="Q1068" s="356" t="s">
        <v>107</v>
      </c>
      <c r="R1068" s="370">
        <f t="shared" si="147"/>
        <v>488.12399999999997</v>
      </c>
      <c r="W1068" s="361"/>
      <c r="AD1068" s="370">
        <v>4</v>
      </c>
      <c r="AE1068" s="368" t="s">
        <v>151</v>
      </c>
      <c r="AF1068" s="356" t="s">
        <v>990</v>
      </c>
      <c r="AG1068" s="522">
        <f t="shared" si="146"/>
        <v>64.8</v>
      </c>
      <c r="AH1068" s="356" t="s">
        <v>151</v>
      </c>
      <c r="AI1068" s="370">
        <f t="shared" si="145"/>
        <v>259.2</v>
      </c>
    </row>
    <row r="1069" spans="6:35" ht="15.75">
      <c r="K1069" s="363" t="s">
        <v>156</v>
      </c>
      <c r="M1069" s="523">
        <v>1.845</v>
      </c>
      <c r="N1069" s="368" t="s">
        <v>107</v>
      </c>
      <c r="O1069" s="356" t="s">
        <v>989</v>
      </c>
      <c r="P1069" s="522">
        <f t="shared" si="148"/>
        <v>1537.2</v>
      </c>
      <c r="Q1069" s="356" t="s">
        <v>107</v>
      </c>
      <c r="R1069" s="370">
        <f t="shared" si="147"/>
        <v>2836.134</v>
      </c>
      <c r="W1069" s="361"/>
      <c r="AD1069" s="370">
        <v>6</v>
      </c>
      <c r="AE1069" s="368" t="s">
        <v>151</v>
      </c>
      <c r="AF1069" s="356" t="s">
        <v>1912</v>
      </c>
      <c r="AG1069" s="522">
        <f t="shared" si="146"/>
        <v>89.6</v>
      </c>
      <c r="AH1069" s="356" t="s">
        <v>151</v>
      </c>
      <c r="AI1069" s="370">
        <f t="shared" si="145"/>
        <v>537.59999999999991</v>
      </c>
    </row>
    <row r="1070" spans="6:35" ht="15.75">
      <c r="F1070" s="357" t="s">
        <v>1952</v>
      </c>
      <c r="H1070" s="356" t="s">
        <v>1953</v>
      </c>
      <c r="M1070" s="370">
        <v>2</v>
      </c>
      <c r="N1070" s="368" t="s">
        <v>151</v>
      </c>
      <c r="O1070" s="356" t="s">
        <v>990</v>
      </c>
      <c r="P1070" s="522">
        <f t="shared" si="148"/>
        <v>64.8</v>
      </c>
      <c r="Q1070" s="356" t="s">
        <v>151</v>
      </c>
      <c r="R1070" s="370">
        <f t="shared" si="147"/>
        <v>129.6</v>
      </c>
      <c r="W1070" s="361"/>
      <c r="AD1070" s="370">
        <v>1</v>
      </c>
      <c r="AE1070" s="368" t="s">
        <v>151</v>
      </c>
      <c r="AF1070" s="356" t="s">
        <v>992</v>
      </c>
      <c r="AG1070" s="522">
        <f t="shared" si="146"/>
        <v>181</v>
      </c>
      <c r="AH1070" s="356" t="s">
        <v>151</v>
      </c>
      <c r="AI1070" s="370">
        <f t="shared" si="145"/>
        <v>181</v>
      </c>
    </row>
    <row r="1071" spans="6:35" ht="15.75">
      <c r="H1071" s="356" t="s">
        <v>1954</v>
      </c>
      <c r="M1071" s="370">
        <v>3</v>
      </c>
      <c r="N1071" s="368" t="s">
        <v>151</v>
      </c>
      <c r="O1071" s="356" t="s">
        <v>1912</v>
      </c>
      <c r="P1071" s="522">
        <f t="shared" si="148"/>
        <v>89.6</v>
      </c>
      <c r="Q1071" s="356" t="s">
        <v>151</v>
      </c>
      <c r="R1071" s="370">
        <f t="shared" si="147"/>
        <v>268.79999999999995</v>
      </c>
      <c r="W1071" s="361"/>
      <c r="AD1071" s="370">
        <v>2</v>
      </c>
      <c r="AE1071" s="368" t="s">
        <v>151</v>
      </c>
      <c r="AF1071" s="356" t="s">
        <v>993</v>
      </c>
      <c r="AG1071" s="522">
        <f t="shared" si="146"/>
        <v>7.3</v>
      </c>
      <c r="AH1071" s="356" t="s">
        <v>151</v>
      </c>
      <c r="AI1071" s="370">
        <f t="shared" si="145"/>
        <v>14.6</v>
      </c>
    </row>
    <row r="1072" spans="6:35" ht="15.75">
      <c r="H1072" s="363" t="s">
        <v>117</v>
      </c>
      <c r="M1072" s="370">
        <v>1</v>
      </c>
      <c r="N1072" s="368" t="s">
        <v>151</v>
      </c>
      <c r="O1072" s="356" t="s">
        <v>992</v>
      </c>
      <c r="P1072" s="522">
        <f t="shared" si="148"/>
        <v>181</v>
      </c>
      <c r="Q1072" s="356" t="s">
        <v>151</v>
      </c>
      <c r="R1072" s="370">
        <f t="shared" si="147"/>
        <v>181</v>
      </c>
      <c r="W1072" s="361"/>
      <c r="AD1072" s="370">
        <v>2</v>
      </c>
      <c r="AE1072" s="368" t="s">
        <v>151</v>
      </c>
      <c r="AF1072" s="356" t="s">
        <v>1913</v>
      </c>
      <c r="AG1072" s="522">
        <f t="shared" si="146"/>
        <v>57.65</v>
      </c>
      <c r="AH1072" s="356" t="s">
        <v>151</v>
      </c>
      <c r="AI1072" s="370">
        <f t="shared" si="145"/>
        <v>115.3</v>
      </c>
    </row>
    <row r="1073" spans="6:35" ht="15.75">
      <c r="F1073" s="523">
        <v>6.6499999999999997E-3</v>
      </c>
      <c r="G1073" s="368" t="s">
        <v>405</v>
      </c>
      <c r="H1073" s="356" t="s">
        <v>1955</v>
      </c>
      <c r="I1073" s="370">
        <f>C89</f>
        <v>99765.440000000002</v>
      </c>
      <c r="J1073" s="356" t="s">
        <v>108</v>
      </c>
      <c r="K1073" s="370">
        <f t="shared" ref="K1073:K1080" si="149">(F1073*I1073)</f>
        <v>663.44017599999995</v>
      </c>
      <c r="M1073" s="370">
        <v>1</v>
      </c>
      <c r="N1073" s="368" t="s">
        <v>151</v>
      </c>
      <c r="O1073" s="356" t="s">
        <v>993</v>
      </c>
      <c r="P1073" s="522">
        <f t="shared" si="148"/>
        <v>7.3</v>
      </c>
      <c r="Q1073" s="356" t="s">
        <v>151</v>
      </c>
      <c r="R1073" s="370">
        <f t="shared" si="147"/>
        <v>7.3</v>
      </c>
      <c r="W1073" s="361"/>
      <c r="AD1073" s="370">
        <v>2</v>
      </c>
      <c r="AE1073" s="368" t="s">
        <v>151</v>
      </c>
      <c r="AF1073" s="356" t="s">
        <v>995</v>
      </c>
      <c r="AG1073" s="522">
        <f t="shared" si="146"/>
        <v>49.55</v>
      </c>
      <c r="AH1073" s="356" t="s">
        <v>151</v>
      </c>
      <c r="AI1073" s="370">
        <f t="shared" si="145"/>
        <v>99.1</v>
      </c>
    </row>
    <row r="1074" spans="6:35" ht="15.75">
      <c r="F1074" s="523">
        <v>0.32346000000000003</v>
      </c>
      <c r="G1074" s="368" t="s">
        <v>107</v>
      </c>
      <c r="H1074" s="356" t="s">
        <v>1956</v>
      </c>
      <c r="I1074" s="464">
        <v>208.8</v>
      </c>
      <c r="J1074" s="356" t="s">
        <v>108</v>
      </c>
      <c r="K1074" s="370">
        <f t="shared" si="149"/>
        <v>67.538448000000002</v>
      </c>
      <c r="M1074" s="370">
        <v>1</v>
      </c>
      <c r="N1074" s="368" t="s">
        <v>151</v>
      </c>
      <c r="O1074" s="356" t="s">
        <v>1913</v>
      </c>
      <c r="P1074" s="522">
        <f t="shared" si="148"/>
        <v>57.65</v>
      </c>
      <c r="Q1074" s="356" t="s">
        <v>151</v>
      </c>
      <c r="R1074" s="370">
        <f t="shared" si="147"/>
        <v>57.65</v>
      </c>
      <c r="W1074" s="361"/>
      <c r="AD1074" s="370">
        <v>118</v>
      </c>
      <c r="AE1074" s="368" t="s">
        <v>151</v>
      </c>
      <c r="AF1074" s="356" t="s">
        <v>1951</v>
      </c>
      <c r="AG1074" s="522">
        <f>I1065</f>
        <v>2.41</v>
      </c>
      <c r="AH1074" s="360"/>
      <c r="AI1074" s="370">
        <f t="shared" si="145"/>
        <v>284.38</v>
      </c>
    </row>
    <row r="1075" spans="6:35" ht="15.75">
      <c r="F1075" s="523">
        <v>0.47660000000000002</v>
      </c>
      <c r="G1075" s="368" t="s">
        <v>107</v>
      </c>
      <c r="H1075" s="356" t="s">
        <v>989</v>
      </c>
      <c r="I1075" s="370">
        <f>D31</f>
        <v>1723.2</v>
      </c>
      <c r="J1075" s="356" t="s">
        <v>107</v>
      </c>
      <c r="K1075" s="370">
        <f t="shared" si="149"/>
        <v>821.27712000000008</v>
      </c>
      <c r="M1075" s="370">
        <v>1</v>
      </c>
      <c r="N1075" s="368" t="s">
        <v>151</v>
      </c>
      <c r="O1075" s="356" t="s">
        <v>995</v>
      </c>
      <c r="P1075" s="522">
        <f t="shared" si="148"/>
        <v>49.55</v>
      </c>
      <c r="Q1075" s="356" t="s">
        <v>151</v>
      </c>
      <c r="R1075" s="370">
        <f t="shared" si="147"/>
        <v>49.55</v>
      </c>
      <c r="W1075" s="361"/>
      <c r="AE1075" s="358"/>
      <c r="AF1075" s="357" t="s">
        <v>1957</v>
      </c>
      <c r="AH1075" s="360"/>
      <c r="AI1075" s="370">
        <f>SUM(AI1064:AI1074)</f>
        <v>9933.4956127999994</v>
      </c>
    </row>
    <row r="1076" spans="6:35" ht="15.75">
      <c r="F1076" s="370">
        <v>3</v>
      </c>
      <c r="G1076" s="368" t="s">
        <v>151</v>
      </c>
      <c r="H1076" s="356" t="s">
        <v>1958</v>
      </c>
      <c r="I1076" s="370">
        <f>C284</f>
        <v>49.35</v>
      </c>
      <c r="J1076" s="356" t="s">
        <v>151</v>
      </c>
      <c r="K1076" s="370">
        <f t="shared" si="149"/>
        <v>148.05000000000001</v>
      </c>
      <c r="M1076" s="370">
        <v>58</v>
      </c>
      <c r="N1076" s="358"/>
      <c r="O1076" s="356" t="s">
        <v>1914</v>
      </c>
      <c r="P1076" s="522">
        <f>I1080</f>
        <v>2.41</v>
      </c>
      <c r="Q1076" s="360"/>
      <c r="R1076" s="370">
        <f t="shared" si="147"/>
        <v>139.78</v>
      </c>
      <c r="W1076" s="361"/>
      <c r="AE1076" s="368" t="s">
        <v>114</v>
      </c>
      <c r="AH1076" s="360"/>
      <c r="AI1076" s="363" t="s">
        <v>117</v>
      </c>
    </row>
    <row r="1077" spans="6:35" ht="15.75">
      <c r="F1077" s="370">
        <v>2</v>
      </c>
      <c r="G1077" s="368" t="s">
        <v>151</v>
      </c>
      <c r="H1077" s="356" t="s">
        <v>1959</v>
      </c>
      <c r="I1077" s="370">
        <f>C287</f>
        <v>39.700000000000003</v>
      </c>
      <c r="J1077" s="356" t="s">
        <v>151</v>
      </c>
      <c r="K1077" s="370">
        <f t="shared" si="149"/>
        <v>79.400000000000006</v>
      </c>
      <c r="N1077" s="358"/>
      <c r="O1077" s="357" t="s">
        <v>1960</v>
      </c>
      <c r="Q1077" s="360"/>
      <c r="R1077" s="370">
        <f>SUM(R1066:R1076)</f>
        <v>6965.3342112</v>
      </c>
      <c r="W1077" s="361"/>
      <c r="AE1077" s="358"/>
      <c r="AF1077" s="372" t="s">
        <v>177</v>
      </c>
      <c r="AH1077" s="360"/>
      <c r="AI1077" s="369">
        <f>AI1075/AD1067</f>
        <v>4405.0978327272724</v>
      </c>
    </row>
    <row r="1078" spans="6:35" ht="15.75">
      <c r="F1078" s="370">
        <v>1</v>
      </c>
      <c r="G1078" s="368" t="s">
        <v>151</v>
      </c>
      <c r="H1078" s="356" t="s">
        <v>1961</v>
      </c>
      <c r="I1078" s="507">
        <f>I1062</f>
        <v>7.3</v>
      </c>
      <c r="J1078" s="356" t="s">
        <v>151</v>
      </c>
      <c r="K1078" s="370">
        <f t="shared" si="149"/>
        <v>7.3</v>
      </c>
      <c r="N1078" s="368" t="s">
        <v>114</v>
      </c>
      <c r="Q1078" s="360"/>
      <c r="R1078" s="363" t="s">
        <v>117</v>
      </c>
      <c r="W1078" s="361"/>
      <c r="AE1078" s="358"/>
      <c r="AH1078" s="360"/>
      <c r="AI1078" s="363" t="s">
        <v>156</v>
      </c>
    </row>
    <row r="1079" spans="6:35" ht="15.75">
      <c r="F1079" s="370">
        <v>1</v>
      </c>
      <c r="G1079" s="368" t="s">
        <v>151</v>
      </c>
      <c r="H1079" s="356" t="s">
        <v>1962</v>
      </c>
      <c r="I1079" s="370">
        <f>C294</f>
        <v>8.9</v>
      </c>
      <c r="J1079" s="356" t="s">
        <v>151</v>
      </c>
      <c r="K1079" s="370">
        <f t="shared" si="149"/>
        <v>8.9</v>
      </c>
      <c r="N1079" s="358"/>
      <c r="O1079" s="372" t="s">
        <v>177</v>
      </c>
      <c r="Q1079" s="360"/>
      <c r="R1079" s="369">
        <f>R1077/M1069</f>
        <v>3775.2488949593499</v>
      </c>
      <c r="W1079" s="361"/>
      <c r="AG1079" s="395"/>
    </row>
    <row r="1080" spans="6:35" ht="15.75">
      <c r="F1080" s="370">
        <v>24</v>
      </c>
      <c r="H1080" s="356" t="s">
        <v>1951</v>
      </c>
      <c r="I1080" s="35">
        <f>I1065</f>
        <v>2.41</v>
      </c>
      <c r="J1080" s="356" t="s">
        <v>151</v>
      </c>
      <c r="K1080" s="370">
        <f t="shared" si="149"/>
        <v>57.84</v>
      </c>
      <c r="N1080" s="358"/>
      <c r="Q1080" s="360"/>
      <c r="R1080" s="363" t="s">
        <v>156</v>
      </c>
      <c r="W1080" s="361"/>
      <c r="AG1080" s="395"/>
    </row>
    <row r="1081" spans="6:35" ht="15.75">
      <c r="H1081" s="357" t="s">
        <v>1963</v>
      </c>
      <c r="K1081" s="370">
        <f>SUM(K1073:K1080)</f>
        <v>1853.7457440000001</v>
      </c>
      <c r="W1081" s="361"/>
      <c r="AG1081" s="395"/>
    </row>
    <row r="1082" spans="6:35" ht="15.75">
      <c r="K1082" s="363" t="s">
        <v>117</v>
      </c>
      <c r="W1082" s="361"/>
      <c r="AG1082" s="395"/>
    </row>
    <row r="1083" spans="6:35" ht="15.75">
      <c r="H1083" s="372" t="s">
        <v>177</v>
      </c>
      <c r="I1083" s="356" t="s">
        <v>114</v>
      </c>
      <c r="K1083" s="369">
        <f>K1081/F1075</f>
        <v>3889.5210742761224</v>
      </c>
      <c r="W1083" s="361"/>
      <c r="AG1083" s="395"/>
    </row>
    <row r="1084" spans="6:35" ht="15.75">
      <c r="K1084" s="363" t="s">
        <v>156</v>
      </c>
      <c r="W1084" s="361"/>
      <c r="AG1084" s="395"/>
    </row>
    <row r="1085" spans="6:35" ht="15.75">
      <c r="F1085" s="357" t="s">
        <v>1964</v>
      </c>
      <c r="G1085" s="368" t="s">
        <v>122</v>
      </c>
      <c r="H1085" s="356" t="s">
        <v>1953</v>
      </c>
      <c r="W1085" s="361"/>
      <c r="AG1085" s="395"/>
    </row>
    <row r="1086" spans="6:35" ht="15.75">
      <c r="H1086" s="356" t="s">
        <v>1965</v>
      </c>
      <c r="N1086" s="356" t="s">
        <v>1872</v>
      </c>
      <c r="W1086" s="361"/>
      <c r="AG1086" s="395"/>
    </row>
    <row r="1087" spans="6:35" ht="15.75">
      <c r="H1087" s="363" t="s">
        <v>117</v>
      </c>
      <c r="N1087" s="356" t="s">
        <v>1867</v>
      </c>
      <c r="W1087" s="361"/>
      <c r="AG1087" s="395"/>
    </row>
    <row r="1088" spans="6:35" ht="15.75">
      <c r="F1088" s="523">
        <v>5.4000000000000003E-3</v>
      </c>
      <c r="G1088" s="368" t="s">
        <v>405</v>
      </c>
      <c r="H1088" s="356" t="s">
        <v>1955</v>
      </c>
      <c r="I1088" s="370">
        <f>C89</f>
        <v>99765.440000000002</v>
      </c>
      <c r="J1088" s="356" t="s">
        <v>108</v>
      </c>
      <c r="K1088" s="370">
        <f t="shared" ref="K1088:K1095" si="150">(F1088*I1088)</f>
        <v>538.73337600000002</v>
      </c>
      <c r="N1088" s="356" t="s">
        <v>1966</v>
      </c>
      <c r="W1088" s="361"/>
      <c r="AG1088" s="395"/>
    </row>
    <row r="1089" spans="6:33" ht="15.75">
      <c r="F1089" s="523">
        <v>0.23871000000000001</v>
      </c>
      <c r="G1089" s="368" t="s">
        <v>107</v>
      </c>
      <c r="H1089" s="450" t="str">
        <f>H1074</f>
        <v>frosted glass 4mmthick</v>
      </c>
      <c r="I1089" s="507">
        <f>I1074</f>
        <v>208.8</v>
      </c>
      <c r="J1089" s="356" t="s">
        <v>108</v>
      </c>
      <c r="K1089" s="370">
        <f t="shared" si="150"/>
        <v>49.842648000000004</v>
      </c>
      <c r="W1089" s="361"/>
      <c r="AG1089" s="395"/>
    </row>
    <row r="1090" spans="6:33" ht="15.75">
      <c r="F1090" s="523">
        <v>0.36199999999999999</v>
      </c>
      <c r="G1090" s="368" t="s">
        <v>107</v>
      </c>
      <c r="H1090" s="356" t="s">
        <v>989</v>
      </c>
      <c r="I1090" s="370">
        <f>D31</f>
        <v>1723.2</v>
      </c>
      <c r="J1090" s="356" t="s">
        <v>107</v>
      </c>
      <c r="K1090" s="370">
        <f t="shared" si="150"/>
        <v>623.79840000000002</v>
      </c>
      <c r="W1090" s="361"/>
      <c r="AG1090" s="395"/>
    </row>
    <row r="1091" spans="6:33" ht="15.75">
      <c r="F1091" s="370">
        <v>3</v>
      </c>
      <c r="G1091" s="368" t="s">
        <v>151</v>
      </c>
      <c r="H1091" s="356" t="s">
        <v>1958</v>
      </c>
      <c r="I1091" s="370">
        <f>C284</f>
        <v>49.35</v>
      </c>
      <c r="J1091" s="356" t="s">
        <v>151</v>
      </c>
      <c r="K1091" s="370">
        <f t="shared" si="150"/>
        <v>148.05000000000001</v>
      </c>
      <c r="M1091" s="460">
        <v>2.2800000000000001E-2</v>
      </c>
      <c r="N1091" s="368" t="s">
        <v>108</v>
      </c>
      <c r="O1091" s="356" t="s">
        <v>1883</v>
      </c>
      <c r="P1091" s="370">
        <f>I1055</f>
        <v>111965.44</v>
      </c>
      <c r="Q1091" s="356" t="s">
        <v>108</v>
      </c>
      <c r="R1091" s="370">
        <f>P1091*M1091</f>
        <v>2552.8120320000003</v>
      </c>
      <c r="W1091" s="361"/>
      <c r="AG1091" s="395"/>
    </row>
    <row r="1092" spans="6:33" ht="15.75">
      <c r="F1092" s="370">
        <v>2</v>
      </c>
      <c r="G1092" s="368" t="s">
        <v>151</v>
      </c>
      <c r="H1092" s="356" t="s">
        <v>1959</v>
      </c>
      <c r="I1092" s="370">
        <f>C287</f>
        <v>39.700000000000003</v>
      </c>
      <c r="J1092" s="356" t="s">
        <v>151</v>
      </c>
      <c r="K1092" s="370">
        <f t="shared" si="150"/>
        <v>79.400000000000006</v>
      </c>
      <c r="M1092" s="460">
        <v>4.2999999999999997E-2</v>
      </c>
      <c r="N1092" s="368" t="s">
        <v>108</v>
      </c>
      <c r="O1092" s="356" t="s">
        <v>1885</v>
      </c>
      <c r="P1092" s="370">
        <f>I1056</f>
        <v>99765.440000000002</v>
      </c>
      <c r="Q1092" s="356" t="s">
        <v>108</v>
      </c>
      <c r="R1092" s="370">
        <f t="shared" ref="R1092:R1102" si="151">P1092*M1092</f>
        <v>4289.91392</v>
      </c>
      <c r="W1092" s="361"/>
      <c r="AG1092" s="395"/>
    </row>
    <row r="1093" spans="6:33" ht="15.75">
      <c r="F1093" s="370">
        <v>1</v>
      </c>
      <c r="G1093" s="368" t="s">
        <v>151</v>
      </c>
      <c r="H1093" s="356" t="s">
        <v>1961</v>
      </c>
      <c r="I1093" s="507">
        <f>I1078</f>
        <v>7.3</v>
      </c>
      <c r="J1093" s="356" t="s">
        <v>151</v>
      </c>
      <c r="K1093" s="370">
        <f t="shared" si="150"/>
        <v>7.3</v>
      </c>
      <c r="M1093" s="460">
        <v>4.0800000000000003E-2</v>
      </c>
      <c r="N1093" s="368" t="s">
        <v>108</v>
      </c>
      <c r="O1093" s="356" t="s">
        <v>1887</v>
      </c>
      <c r="P1093" s="370">
        <f>I1019</f>
        <v>95365.440000000002</v>
      </c>
      <c r="Q1093" s="356" t="s">
        <v>108</v>
      </c>
      <c r="R1093" s="370">
        <f t="shared" si="151"/>
        <v>3890.9099520000004</v>
      </c>
      <c r="W1093" s="361"/>
      <c r="AG1093" s="395"/>
    </row>
    <row r="1094" spans="6:33" ht="15.75">
      <c r="F1094" s="370">
        <v>1</v>
      </c>
      <c r="G1094" s="368" t="s">
        <v>151</v>
      </c>
      <c r="H1094" s="356" t="s">
        <v>1962</v>
      </c>
      <c r="I1094" s="370">
        <f>C294</f>
        <v>8.9</v>
      </c>
      <c r="J1094" s="356" t="s">
        <v>151</v>
      </c>
      <c r="K1094" s="370">
        <f t="shared" si="150"/>
        <v>8.9</v>
      </c>
      <c r="M1094" s="460"/>
      <c r="N1094" s="358"/>
      <c r="O1094" s="356" t="s">
        <v>1967</v>
      </c>
      <c r="P1094" s="370"/>
      <c r="Q1094" s="360"/>
      <c r="R1094" s="370">
        <f t="shared" si="151"/>
        <v>0</v>
      </c>
      <c r="W1094" s="361"/>
      <c r="AG1094" s="395"/>
    </row>
    <row r="1095" spans="6:33" ht="15.75">
      <c r="F1095" s="370">
        <v>10</v>
      </c>
      <c r="H1095" s="356" t="s">
        <v>1951</v>
      </c>
      <c r="I1095" s="370">
        <f>I1080</f>
        <v>2.41</v>
      </c>
      <c r="J1095" s="356" t="s">
        <v>151</v>
      </c>
      <c r="K1095" s="370">
        <f t="shared" si="150"/>
        <v>24.1</v>
      </c>
      <c r="M1095" s="460">
        <v>3.4424999999999999</v>
      </c>
      <c r="N1095" s="368" t="s">
        <v>107</v>
      </c>
      <c r="O1095" s="356" t="s">
        <v>1880</v>
      </c>
      <c r="P1095" s="370">
        <f>I1021</f>
        <v>1844.3999999999999</v>
      </c>
      <c r="Q1095" s="356" t="s">
        <v>107</v>
      </c>
      <c r="R1095" s="370">
        <f t="shared" si="151"/>
        <v>6349.3469999999998</v>
      </c>
      <c r="W1095" s="361"/>
      <c r="AG1095" s="395"/>
    </row>
    <row r="1096" spans="6:33" ht="15.75">
      <c r="K1096" s="363" t="s">
        <v>117</v>
      </c>
      <c r="M1096" s="370">
        <v>2</v>
      </c>
      <c r="N1096" s="368" t="s">
        <v>223</v>
      </c>
      <c r="O1096" s="356" t="s">
        <v>1911</v>
      </c>
      <c r="P1096" s="370">
        <f t="shared" ref="P1096:P1101" si="152">I1022</f>
        <v>57.65</v>
      </c>
      <c r="Q1096" s="356" t="s">
        <v>151</v>
      </c>
      <c r="R1096" s="370">
        <f t="shared" si="151"/>
        <v>115.3</v>
      </c>
      <c r="W1096" s="361"/>
      <c r="AG1096" s="395"/>
    </row>
    <row r="1097" spans="6:33" ht="15.75">
      <c r="H1097" s="357" t="s">
        <v>1968</v>
      </c>
      <c r="K1097" s="370">
        <f>SUM(K1084:K1095)</f>
        <v>1480.1244240000001</v>
      </c>
      <c r="M1097" s="370">
        <v>6</v>
      </c>
      <c r="N1097" s="368" t="s">
        <v>151</v>
      </c>
      <c r="O1097" s="356" t="s">
        <v>1882</v>
      </c>
      <c r="P1097" s="370">
        <f t="shared" si="152"/>
        <v>89.6</v>
      </c>
      <c r="Q1097" s="356" t="s">
        <v>151</v>
      </c>
      <c r="R1097" s="370">
        <f t="shared" si="151"/>
        <v>537.59999999999991</v>
      </c>
      <c r="W1097" s="361"/>
      <c r="AG1097" s="395"/>
    </row>
    <row r="1098" spans="6:33" ht="15.75">
      <c r="K1098" s="363" t="s">
        <v>117</v>
      </c>
      <c r="M1098" s="370">
        <v>4</v>
      </c>
      <c r="N1098" s="368" t="s">
        <v>151</v>
      </c>
      <c r="O1098" s="356" t="s">
        <v>1884</v>
      </c>
      <c r="P1098" s="370">
        <f t="shared" si="152"/>
        <v>64.8</v>
      </c>
      <c r="Q1098" s="356" t="s">
        <v>151</v>
      </c>
      <c r="R1098" s="370">
        <f t="shared" si="151"/>
        <v>259.2</v>
      </c>
      <c r="W1098" s="361"/>
      <c r="AG1098" s="395"/>
    </row>
    <row r="1099" spans="6:33" ht="15.75">
      <c r="H1099" s="372" t="s">
        <v>177</v>
      </c>
      <c r="I1099" s="356" t="s">
        <v>114</v>
      </c>
      <c r="K1099" s="369">
        <f>K1097/F1090</f>
        <v>4088.7415027624315</v>
      </c>
      <c r="M1099" s="370">
        <v>1</v>
      </c>
      <c r="N1099" s="368" t="s">
        <v>151</v>
      </c>
      <c r="O1099" s="356" t="s">
        <v>1886</v>
      </c>
      <c r="P1099" s="370">
        <f t="shared" si="152"/>
        <v>181</v>
      </c>
      <c r="Q1099" s="356" t="s">
        <v>151</v>
      </c>
      <c r="R1099" s="370">
        <f t="shared" si="151"/>
        <v>181</v>
      </c>
      <c r="W1099" s="361"/>
      <c r="AG1099" s="395"/>
    </row>
    <row r="1100" spans="6:33" ht="15.75">
      <c r="K1100" s="363" t="s">
        <v>156</v>
      </c>
      <c r="M1100" s="370">
        <v>2</v>
      </c>
      <c r="N1100" s="368" t="s">
        <v>151</v>
      </c>
      <c r="O1100" s="356" t="s">
        <v>1888</v>
      </c>
      <c r="P1100" s="370">
        <f t="shared" si="152"/>
        <v>7.3</v>
      </c>
      <c r="Q1100" s="356" t="s">
        <v>151</v>
      </c>
      <c r="R1100" s="370">
        <f t="shared" si="151"/>
        <v>14.6</v>
      </c>
      <c r="W1100" s="361"/>
      <c r="AG1100" s="395"/>
    </row>
    <row r="1101" spans="6:33" ht="15.75">
      <c r="F1101" s="357" t="s">
        <v>1969</v>
      </c>
      <c r="G1101" s="368" t="s">
        <v>122</v>
      </c>
      <c r="H1101" s="356" t="s">
        <v>1970</v>
      </c>
      <c r="M1101" s="370">
        <v>2</v>
      </c>
      <c r="N1101" s="368" t="s">
        <v>151</v>
      </c>
      <c r="O1101" s="356" t="s">
        <v>995</v>
      </c>
      <c r="P1101" s="370">
        <f t="shared" si="152"/>
        <v>49.55</v>
      </c>
      <c r="Q1101" s="356" t="s">
        <v>151</v>
      </c>
      <c r="R1101" s="370">
        <f t="shared" si="151"/>
        <v>99.1</v>
      </c>
      <c r="W1101" s="361"/>
      <c r="AG1101" s="395"/>
    </row>
    <row r="1102" spans="6:33" ht="15.75">
      <c r="H1102" s="356" t="s">
        <v>1971</v>
      </c>
      <c r="M1102" s="370">
        <v>10</v>
      </c>
      <c r="N1102" s="358"/>
      <c r="O1102" s="356" t="s">
        <v>1914</v>
      </c>
      <c r="P1102" s="370">
        <f>P1076</f>
        <v>2.41</v>
      </c>
      <c r="Q1102" s="360"/>
      <c r="R1102" s="370">
        <f t="shared" si="151"/>
        <v>24.1</v>
      </c>
      <c r="W1102" s="361"/>
      <c r="AG1102" s="395"/>
    </row>
    <row r="1103" spans="6:33" ht="15.75">
      <c r="H1103" s="363" t="s">
        <v>117</v>
      </c>
      <c r="N1103" s="358"/>
      <c r="O1103" s="356" t="s">
        <v>1915</v>
      </c>
      <c r="Q1103" s="360"/>
      <c r="R1103" s="370">
        <f>SUM(R1091:R1102)+0.31</f>
        <v>18314.192903999996</v>
      </c>
      <c r="W1103" s="361"/>
      <c r="AG1103" s="395"/>
    </row>
    <row r="1104" spans="6:33" ht="15.75">
      <c r="F1104" s="523">
        <v>5.3E-3</v>
      </c>
      <c r="G1104" s="368" t="s">
        <v>405</v>
      </c>
      <c r="H1104" s="356" t="s">
        <v>1955</v>
      </c>
      <c r="I1104" s="370">
        <f>C89</f>
        <v>99765.440000000002</v>
      </c>
      <c r="J1104" s="356" t="s">
        <v>108</v>
      </c>
      <c r="K1104" s="370">
        <f t="shared" ref="K1104:K1110" si="153">(F1104*I1104)</f>
        <v>528.75683200000003</v>
      </c>
      <c r="N1104" s="358"/>
      <c r="Q1104" s="360"/>
      <c r="R1104" s="363" t="s">
        <v>117</v>
      </c>
      <c r="W1104" s="361"/>
      <c r="AG1104" s="395"/>
    </row>
    <row r="1105" spans="6:33" ht="15.75">
      <c r="F1105" s="523">
        <v>0.27450000000000002</v>
      </c>
      <c r="G1105" s="368" t="s">
        <v>107</v>
      </c>
      <c r="H1105" s="356" t="str">
        <f>H1089</f>
        <v>frosted glass 4mmthick</v>
      </c>
      <c r="I1105" s="402">
        <f>I1074</f>
        <v>208.8</v>
      </c>
      <c r="J1105" s="356" t="s">
        <v>108</v>
      </c>
      <c r="K1105" s="370">
        <f t="shared" si="153"/>
        <v>57.315600000000011</v>
      </c>
      <c r="N1105" s="358"/>
      <c r="O1105" s="372" t="s">
        <v>177</v>
      </c>
      <c r="Q1105" s="360"/>
      <c r="R1105" s="369">
        <f>R1103/M1095</f>
        <v>5320.0269873638335</v>
      </c>
      <c r="W1105" s="361"/>
      <c r="AG1105" s="395"/>
    </row>
    <row r="1106" spans="6:33" ht="15.75">
      <c r="F1106" s="523">
        <v>0.4</v>
      </c>
      <c r="G1106" s="368" t="s">
        <v>107</v>
      </c>
      <c r="H1106" s="356" t="s">
        <v>989</v>
      </c>
      <c r="I1106" s="370">
        <f>D32</f>
        <v>1436.3999999999999</v>
      </c>
      <c r="J1106" s="356" t="s">
        <v>107</v>
      </c>
      <c r="K1106" s="370">
        <f t="shared" si="153"/>
        <v>574.55999999999995</v>
      </c>
      <c r="N1106" s="358"/>
      <c r="Q1106" s="360"/>
      <c r="R1106" s="363" t="s">
        <v>156</v>
      </c>
      <c r="W1106" s="361"/>
      <c r="AG1106" s="395"/>
    </row>
    <row r="1107" spans="6:33" ht="15.75">
      <c r="F1107" s="370">
        <v>2</v>
      </c>
      <c r="G1107" s="368" t="s">
        <v>1972</v>
      </c>
      <c r="H1107" s="356" t="s">
        <v>1973</v>
      </c>
      <c r="I1107" s="370">
        <f>C307</f>
        <v>8.5</v>
      </c>
      <c r="J1107" s="356" t="s">
        <v>1972</v>
      </c>
      <c r="K1107" s="370">
        <f t="shared" si="153"/>
        <v>17</v>
      </c>
      <c r="W1107" s="361"/>
      <c r="AG1107" s="395"/>
    </row>
    <row r="1108" spans="6:33" ht="15.75">
      <c r="F1108" s="370">
        <v>1</v>
      </c>
      <c r="G1108" s="368" t="s">
        <v>151</v>
      </c>
      <c r="H1108" s="356" t="s">
        <v>1974</v>
      </c>
      <c r="I1108" s="370">
        <f>C295</f>
        <v>6.1</v>
      </c>
      <c r="J1108" s="356" t="s">
        <v>151</v>
      </c>
      <c r="K1108" s="370">
        <f t="shared" si="153"/>
        <v>6.1</v>
      </c>
      <c r="W1108" s="361"/>
      <c r="AG1108" s="395"/>
    </row>
    <row r="1109" spans="6:33" ht="15.75">
      <c r="F1109" s="370">
        <v>1</v>
      </c>
      <c r="G1109" s="368" t="s">
        <v>151</v>
      </c>
      <c r="H1109" s="356" t="s">
        <v>1975</v>
      </c>
      <c r="I1109" s="402">
        <f>C293</f>
        <v>11.8</v>
      </c>
      <c r="J1109" s="356" t="s">
        <v>151</v>
      </c>
      <c r="K1109" s="370">
        <f t="shared" si="153"/>
        <v>11.8</v>
      </c>
      <c r="O1109" s="356" t="s">
        <v>1976</v>
      </c>
      <c r="W1109" s="361"/>
      <c r="AG1109" s="395"/>
    </row>
    <row r="1110" spans="6:33" ht="15.75">
      <c r="F1110" s="370">
        <v>10</v>
      </c>
      <c r="H1110" s="356" t="s">
        <v>1951</v>
      </c>
      <c r="I1110" s="370">
        <f>I1095</f>
        <v>2.41</v>
      </c>
      <c r="J1110" s="356" t="s">
        <v>151</v>
      </c>
      <c r="K1110" s="370">
        <f t="shared" si="153"/>
        <v>24.1</v>
      </c>
      <c r="W1110" s="361"/>
      <c r="AG1110" s="395"/>
    </row>
    <row r="1111" spans="6:33" ht="15.75">
      <c r="K1111" s="363" t="s">
        <v>117</v>
      </c>
      <c r="W1111" s="361"/>
      <c r="AG1111" s="395"/>
    </row>
    <row r="1112" spans="6:33" ht="15.75">
      <c r="H1112" s="357" t="s">
        <v>1977</v>
      </c>
      <c r="K1112" s="370">
        <f>SUM(K1100:K1110)</f>
        <v>1219.6324319999997</v>
      </c>
      <c r="W1112" s="361"/>
      <c r="AG1112" s="395"/>
    </row>
    <row r="1113" spans="6:33" ht="15.75">
      <c r="K1113" s="363" t="s">
        <v>117</v>
      </c>
      <c r="M1113" s="532">
        <v>2.2800000000000001E-2</v>
      </c>
      <c r="N1113" s="533" t="s">
        <v>108</v>
      </c>
      <c r="O1113" s="534" t="s">
        <v>1978</v>
      </c>
      <c r="P1113" s="534">
        <f>P1091</f>
        <v>111965.44</v>
      </c>
      <c r="Q1113" s="535" t="s">
        <v>108</v>
      </c>
      <c r="R1113" s="534">
        <f>P1113*M1113</f>
        <v>2552.8120320000003</v>
      </c>
      <c r="W1113" s="361"/>
      <c r="AG1113" s="395"/>
    </row>
    <row r="1114" spans="6:33" ht="15.75">
      <c r="H1114" s="372" t="s">
        <v>177</v>
      </c>
      <c r="I1114" s="356" t="s">
        <v>114</v>
      </c>
      <c r="K1114" s="369">
        <f>K1112/F1106</f>
        <v>3049.081079999999</v>
      </c>
      <c r="M1114" s="532">
        <v>3.5400000000000001E-2</v>
      </c>
      <c r="N1114" s="533" t="s">
        <v>108</v>
      </c>
      <c r="O1114" s="534" t="s">
        <v>1979</v>
      </c>
      <c r="P1114" s="534">
        <f>P1092</f>
        <v>99765.440000000002</v>
      </c>
      <c r="Q1114" s="535" t="s">
        <v>108</v>
      </c>
      <c r="R1114" s="534">
        <f t="shared" ref="R1114:R1123" si="154">P1114*M1114</f>
        <v>3531.6965760000003</v>
      </c>
      <c r="W1114" s="361"/>
      <c r="AG1114" s="395"/>
    </row>
    <row r="1115" spans="6:33" ht="15.75">
      <c r="F1115" s="356" t="s">
        <v>114</v>
      </c>
      <c r="M1115" s="536">
        <v>3.2300000000000002E-2</v>
      </c>
      <c r="N1115" s="533" t="s">
        <v>108</v>
      </c>
      <c r="O1115" s="534" t="s">
        <v>1980</v>
      </c>
      <c r="P1115" s="534">
        <f>P1093</f>
        <v>95365.440000000002</v>
      </c>
      <c r="Q1115" s="535" t="s">
        <v>108</v>
      </c>
      <c r="R1115" s="534">
        <f t="shared" si="154"/>
        <v>3080.3037120000004</v>
      </c>
      <c r="W1115" s="361"/>
      <c r="AG1115" s="395"/>
    </row>
    <row r="1116" spans="6:33" ht="15.75">
      <c r="K1116" s="363" t="s">
        <v>156</v>
      </c>
      <c r="M1116" s="537">
        <v>2.835</v>
      </c>
      <c r="N1116" s="533" t="s">
        <v>107</v>
      </c>
      <c r="O1116" s="534" t="s">
        <v>1981</v>
      </c>
      <c r="P1116" s="534">
        <f t="shared" ref="P1116:P1122" si="155">P1095</f>
        <v>1844.3999999999999</v>
      </c>
      <c r="Q1116" s="535" t="s">
        <v>107</v>
      </c>
      <c r="R1116" s="534">
        <f t="shared" si="154"/>
        <v>5228.8739999999998</v>
      </c>
      <c r="W1116" s="361"/>
      <c r="AG1116" s="395"/>
    </row>
    <row r="1117" spans="6:33" ht="15.75">
      <c r="F1117" s="412">
        <v>22.3</v>
      </c>
      <c r="H1117" s="356" t="s">
        <v>1982</v>
      </c>
      <c r="L1117" s="356" t="s">
        <v>114</v>
      </c>
      <c r="M1117" s="534">
        <v>2</v>
      </c>
      <c r="N1117" s="533" t="s">
        <v>3</v>
      </c>
      <c r="O1117" s="534" t="s">
        <v>1983</v>
      </c>
      <c r="P1117" s="534">
        <f t="shared" si="155"/>
        <v>57.65</v>
      </c>
      <c r="Q1117" s="535" t="s">
        <v>194</v>
      </c>
      <c r="R1117" s="534">
        <f t="shared" si="154"/>
        <v>115.3</v>
      </c>
      <c r="W1117" s="361"/>
      <c r="AG1117" s="395"/>
    </row>
    <row r="1118" spans="6:33" ht="15.75">
      <c r="H1118" s="363" t="s">
        <v>117</v>
      </c>
      <c r="I1118" s="363" t="s">
        <v>117</v>
      </c>
      <c r="J1118" s="356" t="s">
        <v>117</v>
      </c>
      <c r="M1118" s="534">
        <v>6</v>
      </c>
      <c r="N1118" s="533" t="s">
        <v>3</v>
      </c>
      <c r="O1118" s="534" t="s">
        <v>1984</v>
      </c>
      <c r="P1118" s="534">
        <f t="shared" si="155"/>
        <v>89.6</v>
      </c>
      <c r="Q1118" s="535" t="s">
        <v>194</v>
      </c>
      <c r="R1118" s="534">
        <f t="shared" si="154"/>
        <v>537.59999999999991</v>
      </c>
      <c r="W1118" s="361"/>
      <c r="AG1118" s="395"/>
    </row>
    <row r="1119" spans="6:33" ht="15.75">
      <c r="M1119" s="534">
        <v>4</v>
      </c>
      <c r="N1119" s="533" t="s">
        <v>3</v>
      </c>
      <c r="O1119" s="534" t="s">
        <v>1985</v>
      </c>
      <c r="P1119" s="534">
        <f t="shared" si="155"/>
        <v>64.8</v>
      </c>
      <c r="Q1119" s="535" t="s">
        <v>194</v>
      </c>
      <c r="R1119" s="534">
        <f t="shared" si="154"/>
        <v>259.2</v>
      </c>
      <c r="W1119" s="361"/>
      <c r="AG1119" s="395"/>
    </row>
    <row r="1120" spans="6:33" ht="15.75">
      <c r="H1120" s="356" t="s">
        <v>1986</v>
      </c>
      <c r="M1120" s="534">
        <v>1</v>
      </c>
      <c r="N1120" s="533" t="s">
        <v>3</v>
      </c>
      <c r="O1120" s="534" t="s">
        <v>1987</v>
      </c>
      <c r="P1120" s="534">
        <f t="shared" si="155"/>
        <v>181</v>
      </c>
      <c r="Q1120" s="535" t="s">
        <v>194</v>
      </c>
      <c r="R1120" s="534">
        <f t="shared" si="154"/>
        <v>181</v>
      </c>
      <c r="W1120" s="361"/>
      <c r="AG1120" s="395"/>
    </row>
    <row r="1121" spans="6:64" ht="15.75">
      <c r="H1121" s="356" t="s">
        <v>1988</v>
      </c>
      <c r="M1121" s="534">
        <v>2</v>
      </c>
      <c r="N1121" s="533" t="s">
        <v>3</v>
      </c>
      <c r="O1121" s="534" t="s">
        <v>993</v>
      </c>
      <c r="P1121" s="534">
        <f t="shared" si="155"/>
        <v>7.3</v>
      </c>
      <c r="Q1121" s="535" t="s">
        <v>194</v>
      </c>
      <c r="R1121" s="534">
        <f t="shared" si="154"/>
        <v>14.6</v>
      </c>
      <c r="W1121" s="361"/>
      <c r="AG1121" s="395"/>
    </row>
    <row r="1122" spans="6:64" ht="15.75">
      <c r="H1122" s="356" t="s">
        <v>1989</v>
      </c>
      <c r="M1122" s="534">
        <v>2</v>
      </c>
      <c r="N1122" s="533" t="s">
        <v>3</v>
      </c>
      <c r="O1122" s="534" t="s">
        <v>995</v>
      </c>
      <c r="P1122" s="534">
        <f t="shared" si="155"/>
        <v>49.55</v>
      </c>
      <c r="Q1122" s="535" t="s">
        <v>194</v>
      </c>
      <c r="R1122" s="534">
        <f t="shared" si="154"/>
        <v>99.1</v>
      </c>
      <c r="W1122" s="361"/>
      <c r="AG1122" s="395"/>
    </row>
    <row r="1123" spans="6:64" ht="15.75">
      <c r="H1123" s="356" t="s">
        <v>1990</v>
      </c>
      <c r="M1123" s="370">
        <v>118</v>
      </c>
      <c r="N1123" s="358"/>
      <c r="O1123" s="356" t="s">
        <v>1914</v>
      </c>
      <c r="P1123" s="370">
        <f>P1102</f>
        <v>2.41</v>
      </c>
      <c r="Q1123" s="360"/>
      <c r="R1123" s="370">
        <f t="shared" si="154"/>
        <v>284.38</v>
      </c>
      <c r="W1123" s="361"/>
      <c r="AG1123" s="395"/>
    </row>
    <row r="1124" spans="6:64" ht="15.75">
      <c r="H1124" s="356" t="s">
        <v>1991</v>
      </c>
      <c r="M1124" s="534"/>
      <c r="N1124" s="455"/>
      <c r="O1124" s="411" t="s">
        <v>177</v>
      </c>
      <c r="P1124" s="534"/>
      <c r="Q1124" s="535"/>
      <c r="R1124" s="411">
        <f>SUM(R1113:R1123)</f>
        <v>15884.866320000001</v>
      </c>
      <c r="W1124" s="361"/>
      <c r="AG1124" s="395"/>
    </row>
    <row r="1125" spans="6:64" ht="15.75">
      <c r="J1125" s="356" t="s">
        <v>114</v>
      </c>
      <c r="K1125" s="460">
        <v>3.32E-2</v>
      </c>
      <c r="M1125" s="534"/>
      <c r="N1125" s="455"/>
      <c r="O1125" s="411"/>
      <c r="P1125" s="534"/>
      <c r="Q1125" s="535"/>
      <c r="R1125" s="538" t="s">
        <v>1992</v>
      </c>
      <c r="W1125" s="361"/>
      <c r="AG1125" s="395"/>
      <c r="BL1125" s="35" t="s">
        <v>1993</v>
      </c>
    </row>
    <row r="1126" spans="6:64" ht="15.75">
      <c r="H1126" s="356" t="s">
        <v>1994</v>
      </c>
      <c r="J1126" s="518" t="s">
        <v>114</v>
      </c>
      <c r="K1126" s="518" t="s">
        <v>114</v>
      </c>
      <c r="M1126" s="534"/>
      <c r="N1126" s="455"/>
      <c r="O1126" s="411" t="s">
        <v>1995</v>
      </c>
      <c r="P1126" s="534"/>
      <c r="Q1126" s="535"/>
      <c r="R1126" s="411">
        <f>R1124/2.835</f>
        <v>5603.1274497354498</v>
      </c>
      <c r="W1126" s="361"/>
      <c r="AG1126" s="395"/>
    </row>
    <row r="1127" spans="6:64" ht="15.75">
      <c r="H1127" s="356" t="s">
        <v>1996</v>
      </c>
      <c r="K1127" s="518" t="s">
        <v>114</v>
      </c>
      <c r="M1127" s="534"/>
      <c r="N1127" s="455"/>
      <c r="Q1127" s="360"/>
      <c r="R1127" s="415" t="s">
        <v>1992</v>
      </c>
      <c r="W1127" s="361"/>
      <c r="AG1127" s="395"/>
    </row>
    <row r="1128" spans="6:64" ht="15.75">
      <c r="W1128" s="361"/>
      <c r="AG1128" s="395"/>
    </row>
    <row r="1129" spans="6:64" ht="15.75">
      <c r="F1129" s="523">
        <v>1.18E-2</v>
      </c>
      <c r="G1129" s="368" t="s">
        <v>108</v>
      </c>
      <c r="H1129" s="356" t="s">
        <v>986</v>
      </c>
      <c r="I1129" s="370">
        <f>C88</f>
        <v>111965.44</v>
      </c>
      <c r="J1129" s="356" t="s">
        <v>108</v>
      </c>
      <c r="K1129" s="370">
        <f t="shared" ref="K1129:K1138" si="156">(F1129*I1129)</f>
        <v>1321.192192</v>
      </c>
      <c r="W1129" s="361"/>
      <c r="AG1129" s="395"/>
    </row>
    <row r="1130" spans="6:64" ht="15.75">
      <c r="F1130" s="523">
        <v>3.32E-2</v>
      </c>
      <c r="G1130" s="368" t="s">
        <v>108</v>
      </c>
      <c r="H1130" s="356" t="s">
        <v>987</v>
      </c>
      <c r="I1130" s="370">
        <f>C89</f>
        <v>99765.440000000002</v>
      </c>
      <c r="J1130" s="356" t="s">
        <v>108</v>
      </c>
      <c r="K1130" s="370">
        <f t="shared" si="156"/>
        <v>3312.2126080000003</v>
      </c>
      <c r="W1130" s="361"/>
      <c r="AG1130" s="395"/>
    </row>
    <row r="1131" spans="6:64" ht="15.75">
      <c r="F1131" s="523">
        <v>1.8550000000000001E-2</v>
      </c>
      <c r="G1131" s="368" t="s">
        <v>108</v>
      </c>
      <c r="H1131" s="356" t="s">
        <v>1997</v>
      </c>
      <c r="I1131" s="370">
        <f>C30</f>
        <v>16428</v>
      </c>
      <c r="J1131" s="356" t="s">
        <v>108</v>
      </c>
      <c r="K1131" s="370">
        <f t="shared" si="156"/>
        <v>304.73939999999999</v>
      </c>
      <c r="W1131" s="361"/>
      <c r="AG1131" s="395"/>
    </row>
    <row r="1132" spans="6:64" ht="15.75">
      <c r="F1132" s="523">
        <v>1.46</v>
      </c>
      <c r="G1132" s="368" t="s">
        <v>107</v>
      </c>
      <c r="H1132" s="356" t="s">
        <v>1998</v>
      </c>
      <c r="I1132" s="539">
        <v>269.10000000000002</v>
      </c>
      <c r="J1132" s="356" t="s">
        <v>107</v>
      </c>
      <c r="K1132" s="370">
        <f t="shared" si="156"/>
        <v>392.88600000000002</v>
      </c>
      <c r="W1132" s="361"/>
      <c r="AG1132" s="395"/>
    </row>
    <row r="1133" spans="6:64" ht="15.75">
      <c r="F1133" s="523">
        <v>2.0499999999999998</v>
      </c>
      <c r="G1133" s="368" t="s">
        <v>107</v>
      </c>
      <c r="H1133" s="356" t="s">
        <v>1999</v>
      </c>
      <c r="I1133" s="370">
        <f>D30</f>
        <v>1537.2</v>
      </c>
      <c r="J1133" s="356" t="s">
        <v>107</v>
      </c>
      <c r="K1133" s="370">
        <f t="shared" si="156"/>
        <v>3151.2599999999998</v>
      </c>
      <c r="W1133" s="361"/>
      <c r="AG1133" s="395"/>
    </row>
    <row r="1134" spans="6:64" ht="15.75">
      <c r="F1134" s="370">
        <v>2</v>
      </c>
      <c r="G1134" s="368" t="s">
        <v>151</v>
      </c>
      <c r="H1134" s="356" t="s">
        <v>2000</v>
      </c>
      <c r="I1134" s="443">
        <f>C287</f>
        <v>39.700000000000003</v>
      </c>
      <c r="J1134" s="356" t="s">
        <v>151</v>
      </c>
      <c r="K1134" s="370">
        <f t="shared" si="156"/>
        <v>79.400000000000006</v>
      </c>
      <c r="W1134" s="361"/>
      <c r="AG1134" s="395"/>
    </row>
    <row r="1135" spans="6:64" ht="15.75">
      <c r="F1135" s="370">
        <v>6</v>
      </c>
      <c r="G1135" s="368" t="s">
        <v>151</v>
      </c>
      <c r="H1135" s="356" t="s">
        <v>1958</v>
      </c>
      <c r="I1135" s="370">
        <f>C284</f>
        <v>49.35</v>
      </c>
      <c r="J1135" s="356" t="s">
        <v>151</v>
      </c>
      <c r="K1135" s="370">
        <f t="shared" si="156"/>
        <v>296.10000000000002</v>
      </c>
      <c r="W1135" s="361"/>
      <c r="AG1135" s="395"/>
    </row>
    <row r="1136" spans="6:64" ht="15.75">
      <c r="F1136" s="370">
        <v>2</v>
      </c>
      <c r="G1136" s="368" t="s">
        <v>151</v>
      </c>
      <c r="H1136" s="445" t="s">
        <v>2001</v>
      </c>
      <c r="I1136" s="394">
        <v>60.9</v>
      </c>
      <c r="J1136" s="356" t="s">
        <v>151</v>
      </c>
      <c r="K1136" s="370">
        <f t="shared" si="156"/>
        <v>121.8</v>
      </c>
      <c r="W1136" s="361"/>
      <c r="AG1136" s="395"/>
    </row>
    <row r="1137" spans="6:33" ht="15.75">
      <c r="F1137" s="370">
        <v>1</v>
      </c>
      <c r="G1137" s="368" t="s">
        <v>151</v>
      </c>
      <c r="H1137" s="493" t="s">
        <v>2002</v>
      </c>
      <c r="I1137" s="493">
        <v>63.2</v>
      </c>
      <c r="J1137" s="356" t="s">
        <v>151</v>
      </c>
      <c r="K1137" s="370">
        <f t="shared" si="156"/>
        <v>63.2</v>
      </c>
      <c r="W1137" s="361"/>
      <c r="AG1137" s="395"/>
    </row>
    <row r="1138" spans="6:33" ht="15.75">
      <c r="F1138" s="370">
        <v>2.52</v>
      </c>
      <c r="G1138" s="368" t="s">
        <v>107</v>
      </c>
      <c r="H1138" s="356" t="s">
        <v>2003</v>
      </c>
      <c r="I1138" s="370">
        <f>K1169</f>
        <v>226.08</v>
      </c>
      <c r="J1138" s="356" t="s">
        <v>107</v>
      </c>
      <c r="K1138" s="370">
        <f t="shared" si="156"/>
        <v>569.72160000000008</v>
      </c>
      <c r="W1138" s="361"/>
      <c r="AG1138" s="395"/>
    </row>
    <row r="1139" spans="6:33" ht="15.75">
      <c r="H1139" s="356" t="s">
        <v>2004</v>
      </c>
      <c r="I1139" s="357" t="s">
        <v>128</v>
      </c>
      <c r="K1139" s="370">
        <v>0.21</v>
      </c>
      <c r="W1139" s="361"/>
      <c r="AG1139" s="395"/>
    </row>
    <row r="1140" spans="6:33" ht="15.75">
      <c r="K1140" s="363" t="s">
        <v>117</v>
      </c>
      <c r="W1140" s="361"/>
      <c r="AG1140" s="395"/>
    </row>
    <row r="1141" spans="6:33" ht="15.75">
      <c r="H1141" s="357" t="s">
        <v>2005</v>
      </c>
      <c r="K1141" s="370">
        <f>SUM(K1129:K1139)</f>
        <v>9612.7218000000012</v>
      </c>
      <c r="M1141" s="454" t="s">
        <v>2006</v>
      </c>
      <c r="N1141" s="454"/>
      <c r="O1141" s="454"/>
      <c r="P1141" s="454"/>
      <c r="Q1141" s="454"/>
      <c r="R1141" s="454"/>
      <c r="S1141" s="454"/>
      <c r="W1141" s="361"/>
      <c r="AG1141" s="395"/>
    </row>
    <row r="1142" spans="6:33" ht="15.75">
      <c r="G1142" s="368" t="s">
        <v>114</v>
      </c>
      <c r="K1142" s="363" t="s">
        <v>117</v>
      </c>
      <c r="O1142" s="363" t="s">
        <v>117</v>
      </c>
      <c r="Q1142" s="360"/>
      <c r="W1142" s="361"/>
      <c r="AG1142" s="395"/>
    </row>
    <row r="1143" spans="6:33" ht="15.75">
      <c r="H1143" s="372" t="s">
        <v>177</v>
      </c>
      <c r="K1143" s="369">
        <f>K1141/2.52</f>
        <v>3814.5721428571433</v>
      </c>
      <c r="N1143" s="36">
        <v>0.45300000000000001</v>
      </c>
      <c r="O1143" s="356" t="s">
        <v>1795</v>
      </c>
      <c r="P1143" s="370">
        <f>C73</f>
        <v>1879.28</v>
      </c>
      <c r="Q1143" s="356" t="s">
        <v>108</v>
      </c>
      <c r="R1143" s="370">
        <f>P1143*N1143</f>
        <v>851.31384000000003</v>
      </c>
      <c r="W1143" s="361"/>
      <c r="AG1143" s="395"/>
    </row>
    <row r="1144" spans="6:33" ht="15.75">
      <c r="K1144" s="363" t="s">
        <v>156</v>
      </c>
      <c r="N1144" s="36">
        <v>0.30199999999999999</v>
      </c>
      <c r="O1144" s="356" t="s">
        <v>2007</v>
      </c>
      <c r="P1144" s="370">
        <f>C71</f>
        <v>1406.28</v>
      </c>
      <c r="Q1144" s="356" t="str">
        <f>Q1143</f>
        <v>CUM</v>
      </c>
      <c r="R1144" s="370">
        <f t="shared" ref="R1144:R1149" si="157">P1144*N1144</f>
        <v>424.69655999999998</v>
      </c>
      <c r="W1144" s="361"/>
      <c r="AG1144" s="395"/>
    </row>
    <row r="1145" spans="6:33" ht="15.75">
      <c r="G1145" s="368" t="s">
        <v>122</v>
      </c>
      <c r="H1145" s="356" t="s">
        <v>2008</v>
      </c>
      <c r="N1145" s="35">
        <v>0.44</v>
      </c>
      <c r="O1145" s="356" t="s">
        <v>126</v>
      </c>
      <c r="P1145" s="370">
        <f>C78</f>
        <v>1779.13</v>
      </c>
      <c r="Q1145" s="356" t="s">
        <v>108</v>
      </c>
      <c r="R1145" s="370">
        <f t="shared" si="157"/>
        <v>782.81720000000007</v>
      </c>
      <c r="W1145" s="361"/>
      <c r="AG1145" s="395"/>
    </row>
    <row r="1146" spans="6:33" ht="15.75">
      <c r="H1146" s="363" t="s">
        <v>117</v>
      </c>
      <c r="I1146" s="363" t="s">
        <v>117</v>
      </c>
      <c r="N1146" s="35">
        <v>0.37</v>
      </c>
      <c r="O1146" s="356" t="s">
        <v>306</v>
      </c>
      <c r="P1146" s="370">
        <f>I810</f>
        <v>6372.14</v>
      </c>
      <c r="Q1146" s="356" t="s">
        <v>443</v>
      </c>
      <c r="R1146" s="370">
        <f t="shared" si="157"/>
        <v>2357.6918000000001</v>
      </c>
      <c r="W1146" s="361"/>
      <c r="AG1146" s="395"/>
    </row>
    <row r="1147" spans="6:33" ht="15.75">
      <c r="F1147" s="370">
        <v>0.77</v>
      </c>
      <c r="G1147" s="368" t="s">
        <v>2009</v>
      </c>
      <c r="H1147" s="356" t="s">
        <v>2010</v>
      </c>
      <c r="I1147" s="370">
        <f>C196</f>
        <v>271.2</v>
      </c>
      <c r="J1147" s="356" t="s">
        <v>2009</v>
      </c>
      <c r="K1147" s="370">
        <f>(F1147*I1147)</f>
        <v>208.82399999999998</v>
      </c>
      <c r="N1147" s="35">
        <v>0.35</v>
      </c>
      <c r="O1147" s="356" t="s">
        <v>1551</v>
      </c>
      <c r="P1147" s="370">
        <f>C11</f>
        <v>1118.3999999999999</v>
      </c>
      <c r="Q1147" s="356" t="s">
        <v>151</v>
      </c>
      <c r="R1147" s="370">
        <f t="shared" si="157"/>
        <v>391.43999999999994</v>
      </c>
      <c r="W1147" s="361"/>
      <c r="AG1147" s="395"/>
    </row>
    <row r="1148" spans="6:33" ht="15.75">
      <c r="F1148" s="370">
        <v>0.61</v>
      </c>
      <c r="G1148" s="368" t="s">
        <v>2009</v>
      </c>
      <c r="H1148" s="356" t="s">
        <v>2011</v>
      </c>
      <c r="I1148" s="370">
        <f>C195</f>
        <v>25</v>
      </c>
      <c r="J1148" s="356" t="s">
        <v>2009</v>
      </c>
      <c r="K1148" s="370">
        <f>(F1148*I1148)</f>
        <v>15.25</v>
      </c>
      <c r="N1148" s="35">
        <v>2.12</v>
      </c>
      <c r="O1148" s="356" t="s">
        <v>196</v>
      </c>
      <c r="P1148" s="370">
        <f>C12</f>
        <v>781.19999999999993</v>
      </c>
      <c r="Q1148" s="356" t="s">
        <v>151</v>
      </c>
      <c r="R1148" s="370">
        <f t="shared" si="157"/>
        <v>1656.144</v>
      </c>
      <c r="W1148" s="361"/>
      <c r="AG1148" s="395"/>
    </row>
    <row r="1149" spans="6:33" ht="15.75">
      <c r="F1149" s="370">
        <v>0.7</v>
      </c>
      <c r="G1149" s="368" t="s">
        <v>482</v>
      </c>
      <c r="H1149" s="356" t="s">
        <v>2012</v>
      </c>
      <c r="I1149" s="370">
        <f>C14</f>
        <v>956.4</v>
      </c>
      <c r="J1149" s="356" t="s">
        <v>245</v>
      </c>
      <c r="K1149" s="370">
        <f>(F1149*I1149)</f>
        <v>669.4799999999999</v>
      </c>
      <c r="N1149" s="35">
        <v>3.53</v>
      </c>
      <c r="O1149" s="356" t="s">
        <v>2013</v>
      </c>
      <c r="P1149" s="370">
        <f>C13</f>
        <v>640.79999999999995</v>
      </c>
      <c r="Q1149" s="356" t="s">
        <v>151</v>
      </c>
      <c r="R1149" s="370">
        <f t="shared" si="157"/>
        <v>2262.0239999999999</v>
      </c>
      <c r="W1149" s="361"/>
      <c r="AG1149" s="395"/>
    </row>
    <row r="1150" spans="6:33" ht="15.75">
      <c r="F1150" s="370"/>
      <c r="G1150" s="368"/>
      <c r="H1150" s="356"/>
      <c r="I1150" s="370"/>
      <c r="J1150" s="356"/>
      <c r="K1150" s="370"/>
      <c r="O1150" s="356" t="s">
        <v>1052</v>
      </c>
      <c r="P1150" s="370"/>
      <c r="Q1150" s="360"/>
      <c r="R1150" s="498">
        <f>K821</f>
        <v>113.04</v>
      </c>
      <c r="W1150" s="361"/>
      <c r="AG1150" s="395"/>
    </row>
    <row r="1151" spans="6:33" ht="15.75">
      <c r="F1151" s="370">
        <v>0.7</v>
      </c>
      <c r="G1151" s="368" t="s">
        <v>482</v>
      </c>
      <c r="H1151" s="356" t="s">
        <v>1850</v>
      </c>
      <c r="I1151" s="370">
        <f>C12</f>
        <v>781.19999999999993</v>
      </c>
      <c r="J1151" s="356" t="s">
        <v>245</v>
      </c>
      <c r="K1151" s="370">
        <f>(F1151*I1151)</f>
        <v>546.83999999999992</v>
      </c>
      <c r="M1151" s="501" t="s">
        <v>265</v>
      </c>
      <c r="O1151" s="35" t="s">
        <v>1798</v>
      </c>
      <c r="P1151" s="471">
        <f>V1136</f>
        <v>0</v>
      </c>
      <c r="R1151" s="35">
        <v>270</v>
      </c>
      <c r="W1151" s="361"/>
      <c r="AG1151" s="395"/>
    </row>
    <row r="1152" spans="6:33" ht="15.75">
      <c r="G1152" s="368" t="s">
        <v>128</v>
      </c>
      <c r="H1152" s="356" t="s">
        <v>283</v>
      </c>
      <c r="J1152" s="356" t="s">
        <v>128</v>
      </c>
      <c r="K1152" s="370">
        <v>1.5</v>
      </c>
      <c r="M1152" s="501" t="s">
        <v>265</v>
      </c>
      <c r="O1152" s="35" t="s">
        <v>1800</v>
      </c>
      <c r="P1152" s="471">
        <f>V1137</f>
        <v>0</v>
      </c>
      <c r="R1152" s="35">
        <v>150</v>
      </c>
      <c r="W1152" s="361"/>
      <c r="AG1152" s="395"/>
    </row>
    <row r="1153" spans="6:33" ht="15.75">
      <c r="K1153" s="363" t="s">
        <v>117</v>
      </c>
      <c r="M1153" s="501" t="s">
        <v>265</v>
      </c>
      <c r="O1153" s="35" t="s">
        <v>331</v>
      </c>
      <c r="P1153" s="471">
        <f>V1138</f>
        <v>0</v>
      </c>
      <c r="R1153" s="35">
        <v>0.35</v>
      </c>
      <c r="W1153" s="361"/>
      <c r="AG1153" s="395"/>
    </row>
    <row r="1154" spans="6:33" ht="15.75">
      <c r="H1154" s="357" t="s">
        <v>2014</v>
      </c>
      <c r="K1154" s="370">
        <f>SUM(K1147:K1152)</f>
        <v>1441.8939999999998</v>
      </c>
      <c r="Q1154" s="360"/>
      <c r="R1154" s="35">
        <f>SUM(R1143:R1153)</f>
        <v>9259.5174000000006</v>
      </c>
      <c r="W1154" s="361"/>
      <c r="AG1154" s="395"/>
    </row>
    <row r="1155" spans="6:33" ht="15.75">
      <c r="K1155" s="363" t="s">
        <v>117</v>
      </c>
      <c r="W1155" s="361"/>
      <c r="X1155" s="411">
        <f>SUM(X1143:X1154)</f>
        <v>0</v>
      </c>
      <c r="Y1155" s="411"/>
      <c r="AG1155" s="395"/>
    </row>
    <row r="1156" spans="6:33" ht="15.75">
      <c r="H1156" s="372" t="s">
        <v>177</v>
      </c>
      <c r="K1156" s="369">
        <f>(K1154/10)</f>
        <v>144.18939999999998</v>
      </c>
      <c r="W1156" s="361"/>
      <c r="AG1156" s="395"/>
    </row>
    <row r="1157" spans="6:33" ht="15.75">
      <c r="K1157" s="363" t="s">
        <v>156</v>
      </c>
      <c r="Q1157" s="360"/>
      <c r="R1157" s="498"/>
      <c r="W1157" s="361"/>
      <c r="AG1157" s="395"/>
    </row>
    <row r="1158" spans="6:33" ht="15.75">
      <c r="O1158" s="35" t="s">
        <v>2015</v>
      </c>
      <c r="Q1158" s="360"/>
      <c r="R1158" s="370">
        <f>SUM(R1154:R1157)</f>
        <v>9259.5174000000006</v>
      </c>
      <c r="W1158" s="361"/>
      <c r="AG1158" s="395"/>
    </row>
    <row r="1159" spans="6:33" ht="15.75">
      <c r="F1159" s="356" t="s">
        <v>114</v>
      </c>
      <c r="G1159" s="368" t="s">
        <v>122</v>
      </c>
      <c r="H1159" s="356" t="s">
        <v>2016</v>
      </c>
      <c r="Q1159" s="360"/>
      <c r="R1159" s="363" t="s">
        <v>117</v>
      </c>
      <c r="W1159" s="361"/>
      <c r="AG1159" s="395"/>
    </row>
    <row r="1160" spans="6:33" ht="15.75">
      <c r="H1160" s="363" t="s">
        <v>117</v>
      </c>
      <c r="I1160" s="363" t="s">
        <v>117</v>
      </c>
      <c r="O1160" s="356" t="s">
        <v>172</v>
      </c>
      <c r="Q1160" s="360"/>
      <c r="R1160" s="369">
        <f>R1158+C22</f>
        <v>9403.3374000000003</v>
      </c>
      <c r="S1160" s="36">
        <f>C22</f>
        <v>143.82</v>
      </c>
      <c r="T1160" s="36">
        <f>C23</f>
        <v>283.32</v>
      </c>
      <c r="W1160" s="361"/>
      <c r="AG1160" s="395"/>
    </row>
    <row r="1161" spans="6:33" ht="15.75">
      <c r="F1161" s="370">
        <v>1.2</v>
      </c>
      <c r="G1161" s="368" t="s">
        <v>2009</v>
      </c>
      <c r="H1161" s="356" t="s">
        <v>2017</v>
      </c>
      <c r="I1161" s="370">
        <f>C196</f>
        <v>271.2</v>
      </c>
      <c r="J1161" s="356" t="s">
        <v>2009</v>
      </c>
      <c r="K1161" s="370">
        <f>(F1161*I1161)</f>
        <v>325.44</v>
      </c>
      <c r="O1161" s="356" t="s">
        <v>873</v>
      </c>
      <c r="Q1161" s="360"/>
      <c r="R1161" s="369">
        <f>R1160+C23</f>
        <v>9686.6574000000001</v>
      </c>
      <c r="S1161" s="36">
        <f>R1158-5363.9</f>
        <v>3895.617400000001</v>
      </c>
      <c r="W1161" s="361"/>
      <c r="AG1161" s="395"/>
    </row>
    <row r="1162" spans="6:33" ht="15.75">
      <c r="F1162" s="370">
        <v>0.9</v>
      </c>
      <c r="G1162" s="368" t="s">
        <v>2009</v>
      </c>
      <c r="H1162" s="356" t="s">
        <v>2011</v>
      </c>
      <c r="I1162" s="370">
        <f>C195</f>
        <v>25</v>
      </c>
      <c r="J1162" s="356" t="s">
        <v>2009</v>
      </c>
      <c r="K1162" s="370">
        <f>(F1162*I1162)</f>
        <v>22.5</v>
      </c>
      <c r="O1162" s="356" t="s">
        <v>876</v>
      </c>
      <c r="Q1162" s="360"/>
      <c r="R1162" s="369">
        <f>R1161+C23</f>
        <v>9969.9773999999998</v>
      </c>
      <c r="W1162" s="361"/>
      <c r="AG1162" s="395"/>
    </row>
    <row r="1163" spans="6:33" ht="15.75">
      <c r="F1163" s="370">
        <v>1.1000000000000001</v>
      </c>
      <c r="G1163" s="368" t="s">
        <v>482</v>
      </c>
      <c r="H1163" s="356" t="s">
        <v>2012</v>
      </c>
      <c r="I1163" s="370">
        <f>C14</f>
        <v>956.4</v>
      </c>
      <c r="J1163" s="356" t="s">
        <v>245</v>
      </c>
      <c r="K1163" s="370">
        <f>(F1163*I1163)</f>
        <v>1052.04</v>
      </c>
      <c r="O1163" s="356" t="s">
        <v>878</v>
      </c>
      <c r="Q1163" s="360"/>
      <c r="R1163" s="369">
        <f>R1162+C23</f>
        <v>10253.297399999999</v>
      </c>
      <c r="W1163" s="361"/>
      <c r="AG1163" s="395"/>
    </row>
    <row r="1164" spans="6:33" ht="15.75">
      <c r="F1164" s="370">
        <v>1.1000000000000001</v>
      </c>
      <c r="G1164" s="368" t="s">
        <v>482</v>
      </c>
      <c r="H1164" s="356" t="s">
        <v>1850</v>
      </c>
      <c r="I1164" s="370">
        <f>C12</f>
        <v>781.19999999999993</v>
      </c>
      <c r="J1164" s="356" t="s">
        <v>245</v>
      </c>
      <c r="K1164" s="370">
        <f>(F1164*I1164)</f>
        <v>859.32</v>
      </c>
      <c r="O1164" s="356" t="s">
        <v>951</v>
      </c>
      <c r="Q1164" s="360"/>
      <c r="R1164" s="369">
        <f>R1163+C23</f>
        <v>10536.617399999999</v>
      </c>
      <c r="W1164" s="361"/>
      <c r="AG1164" s="395"/>
    </row>
    <row r="1165" spans="6:33" ht="15.75">
      <c r="G1165" s="368" t="s">
        <v>128</v>
      </c>
      <c r="H1165" s="356" t="s">
        <v>283</v>
      </c>
      <c r="J1165" s="356" t="s">
        <v>128</v>
      </c>
      <c r="K1165" s="370">
        <v>1.5</v>
      </c>
      <c r="O1165" s="356" t="s">
        <v>1163</v>
      </c>
      <c r="R1165" s="369">
        <f>R1164+C23</f>
        <v>10819.937399999999</v>
      </c>
      <c r="W1165" s="361"/>
      <c r="AG1165" s="395"/>
    </row>
    <row r="1166" spans="6:33" ht="15.75">
      <c r="K1166" s="363" t="s">
        <v>117</v>
      </c>
      <c r="O1166" s="356" t="s">
        <v>1165</v>
      </c>
      <c r="R1166" s="369">
        <f>R1165+C23</f>
        <v>11103.257399999999</v>
      </c>
      <c r="W1166" s="361"/>
      <c r="AG1166" s="395"/>
    </row>
    <row r="1167" spans="6:33" ht="15.75">
      <c r="H1167" s="357" t="s">
        <v>2014</v>
      </c>
      <c r="K1167" s="370">
        <f>SUM(K1161:K1165)</f>
        <v>2260.8000000000002</v>
      </c>
      <c r="O1167" s="356" t="s">
        <v>1181</v>
      </c>
      <c r="R1167" s="369">
        <f>R1166+C23</f>
        <v>11386.577399999998</v>
      </c>
      <c r="W1167" s="361"/>
      <c r="AG1167" s="395"/>
    </row>
    <row r="1168" spans="6:33" ht="15.75">
      <c r="K1168" s="363" t="s">
        <v>117</v>
      </c>
      <c r="O1168" s="356" t="s">
        <v>1293</v>
      </c>
      <c r="R1168" s="369">
        <f>R1167+C23</f>
        <v>11669.897399999998</v>
      </c>
      <c r="W1168" s="361"/>
      <c r="AG1168" s="395"/>
    </row>
    <row r="1169" spans="6:35" ht="15.75">
      <c r="H1169" s="372" t="s">
        <v>177</v>
      </c>
      <c r="K1169" s="369">
        <f>(K1167/10)</f>
        <v>226.08</v>
      </c>
      <c r="O1169" s="356" t="s">
        <v>1185</v>
      </c>
      <c r="R1169" s="369">
        <f>R1168+C23</f>
        <v>11953.217399999998</v>
      </c>
      <c r="W1169" s="361"/>
      <c r="AG1169" s="395"/>
    </row>
    <row r="1170" spans="6:35" ht="15.75">
      <c r="K1170" s="363" t="s">
        <v>156</v>
      </c>
      <c r="O1170" s="35" t="s">
        <v>1297</v>
      </c>
      <c r="R1170" s="369">
        <f>R1169+C23</f>
        <v>12236.537399999997</v>
      </c>
      <c r="W1170" s="361"/>
      <c r="AG1170" s="395"/>
    </row>
    <row r="1171" spans="6:35" ht="15.75">
      <c r="R1171" s="369">
        <f>R1170+C23</f>
        <v>12519.857399999997</v>
      </c>
      <c r="W1171" s="361"/>
      <c r="AG1171" s="395"/>
    </row>
    <row r="1172" spans="6:35" ht="15.75">
      <c r="F1172" s="492">
        <v>23.3</v>
      </c>
      <c r="H1172" s="465" t="s">
        <v>2018</v>
      </c>
      <c r="I1172" s="465" t="s">
        <v>871</v>
      </c>
      <c r="K1172" s="540">
        <v>52</v>
      </c>
      <c r="R1172" s="369">
        <f>R1171+C23</f>
        <v>12803.177399999997</v>
      </c>
      <c r="S1172" s="35"/>
      <c r="W1172" s="361"/>
      <c r="AG1172" s="395"/>
    </row>
    <row r="1173" spans="6:35" ht="15.75">
      <c r="M1173" s="36"/>
      <c r="O1173" s="411" t="s">
        <v>1780</v>
      </c>
      <c r="R1173" s="369">
        <f>R1172+C23</f>
        <v>13086.497399999997</v>
      </c>
      <c r="S1173" s="35"/>
      <c r="W1173" s="361"/>
      <c r="AG1173" s="395"/>
    </row>
    <row r="1174" spans="6:35" ht="15.75">
      <c r="M1174" s="36">
        <v>0.443</v>
      </c>
      <c r="N1174" s="35" t="s">
        <v>405</v>
      </c>
      <c r="O1174" s="35" t="s">
        <v>1783</v>
      </c>
      <c r="P1174" s="35">
        <f t="shared" ref="P1174:P1180" si="158">P1143</f>
        <v>1879.28</v>
      </c>
      <c r="R1174" s="35">
        <f>P1174*M1174</f>
        <v>832.52103999999997</v>
      </c>
      <c r="S1174" s="35"/>
      <c r="W1174" s="361"/>
      <c r="AG1174" s="395"/>
    </row>
    <row r="1175" spans="6:35" ht="15.75">
      <c r="F1175" s="357" t="s">
        <v>2019</v>
      </c>
      <c r="G1175" s="368" t="s">
        <v>122</v>
      </c>
      <c r="H1175" s="356" t="s">
        <v>2020</v>
      </c>
      <c r="M1175" s="36">
        <v>0.29499999999999998</v>
      </c>
      <c r="N1175" s="35" t="s">
        <v>405</v>
      </c>
      <c r="O1175" s="35" t="s">
        <v>1786</v>
      </c>
      <c r="P1175" s="35">
        <f t="shared" si="158"/>
        <v>1406.28</v>
      </c>
      <c r="R1175" s="35">
        <f t="shared" ref="R1175:R1181" si="159">P1175*M1175</f>
        <v>414.8526</v>
      </c>
      <c r="S1175" s="35"/>
      <c r="W1175" s="361"/>
      <c r="AG1175" s="395"/>
    </row>
    <row r="1176" spans="6:35" ht="15.75">
      <c r="H1176" s="356" t="s">
        <v>2021</v>
      </c>
      <c r="M1176" s="36">
        <v>0.43</v>
      </c>
      <c r="N1176" s="35" t="s">
        <v>405</v>
      </c>
      <c r="O1176" s="35" t="s">
        <v>598</v>
      </c>
      <c r="P1176" s="35">
        <f t="shared" si="158"/>
        <v>1779.13</v>
      </c>
      <c r="R1176" s="35">
        <f t="shared" si="159"/>
        <v>765.02589999999998</v>
      </c>
      <c r="S1176" s="35"/>
      <c r="W1176" s="361"/>
      <c r="AG1176" s="395"/>
    </row>
    <row r="1177" spans="6:35" ht="15.75">
      <c r="H1177" s="363" t="s">
        <v>117</v>
      </c>
      <c r="I1177" s="363" t="s">
        <v>117</v>
      </c>
      <c r="M1177" s="36">
        <v>0.39</v>
      </c>
      <c r="N1177" s="35" t="s">
        <v>443</v>
      </c>
      <c r="O1177" s="35" t="s">
        <v>306</v>
      </c>
      <c r="P1177" s="35">
        <f t="shared" si="158"/>
        <v>6372.14</v>
      </c>
      <c r="R1177" s="35">
        <f t="shared" si="159"/>
        <v>2485.1346000000003</v>
      </c>
      <c r="S1177" s="35"/>
      <c r="W1177" s="361"/>
      <c r="AG1177" s="395"/>
    </row>
    <row r="1178" spans="6:35" ht="15.75">
      <c r="F1178" s="461">
        <v>0.53339999999999999</v>
      </c>
      <c r="G1178" s="368" t="s">
        <v>262</v>
      </c>
      <c r="H1178" s="450" t="s">
        <v>2022</v>
      </c>
      <c r="I1178" s="394">
        <v>306.89999999999998</v>
      </c>
      <c r="J1178" s="356" t="s">
        <v>262</v>
      </c>
      <c r="K1178" s="370">
        <f>(F1178*I1178)</f>
        <v>163.70045999999999</v>
      </c>
      <c r="M1178" s="36">
        <v>0.35</v>
      </c>
      <c r="N1178" s="35" t="s">
        <v>192</v>
      </c>
      <c r="O1178" s="35" t="s">
        <v>1551</v>
      </c>
      <c r="P1178" s="35">
        <f t="shared" si="158"/>
        <v>1118.3999999999999</v>
      </c>
      <c r="Q1178" s="35">
        <f>D1176</f>
        <v>0</v>
      </c>
      <c r="R1178" s="35">
        <f t="shared" si="159"/>
        <v>391.43999999999994</v>
      </c>
      <c r="S1178" s="35"/>
      <c r="W1178" s="361"/>
      <c r="AG1178" s="395"/>
    </row>
    <row r="1179" spans="6:35" ht="15.75">
      <c r="F1179" s="370">
        <v>4.24</v>
      </c>
      <c r="G1179" s="368" t="s">
        <v>31</v>
      </c>
      <c r="H1179" s="541" t="s">
        <v>2023</v>
      </c>
      <c r="I1179" s="402">
        <v>35.61</v>
      </c>
      <c r="J1179" s="356" t="s">
        <v>31</v>
      </c>
      <c r="K1179" s="370">
        <f>(F1179*I1179)</f>
        <v>150.9864</v>
      </c>
      <c r="M1179" s="36">
        <v>2.12</v>
      </c>
      <c r="N1179" s="35" t="s">
        <v>192</v>
      </c>
      <c r="O1179" s="35" t="s">
        <v>1554</v>
      </c>
      <c r="P1179" s="35">
        <f t="shared" si="158"/>
        <v>781.19999999999993</v>
      </c>
      <c r="R1179" s="35">
        <f t="shared" si="159"/>
        <v>1656.144</v>
      </c>
      <c r="S1179" s="35"/>
      <c r="W1179" s="361"/>
      <c r="AG1179" s="395"/>
    </row>
    <row r="1180" spans="6:35" ht="15.75">
      <c r="F1180" s="370">
        <v>16</v>
      </c>
      <c r="G1180" s="368" t="s">
        <v>482</v>
      </c>
      <c r="H1180" s="541" t="s">
        <v>2024</v>
      </c>
      <c r="I1180" s="402">
        <v>1</v>
      </c>
      <c r="J1180" s="356" t="s">
        <v>194</v>
      </c>
      <c r="K1180" s="370">
        <f>(F1180*I1180)</f>
        <v>16</v>
      </c>
      <c r="M1180" s="36">
        <v>3.53</v>
      </c>
      <c r="N1180" s="35" t="s">
        <v>192</v>
      </c>
      <c r="O1180" s="35" t="s">
        <v>1558</v>
      </c>
      <c r="P1180" s="35">
        <f t="shared" si="158"/>
        <v>640.79999999999995</v>
      </c>
      <c r="R1180" s="35">
        <f t="shared" si="159"/>
        <v>2262.0239999999999</v>
      </c>
      <c r="S1180" s="35"/>
      <c r="W1180" s="361"/>
      <c r="AG1180" s="395"/>
    </row>
    <row r="1181" spans="6:35" ht="15.75">
      <c r="F1181" s="461">
        <v>0.53339999999999999</v>
      </c>
      <c r="G1181" s="368" t="s">
        <v>262</v>
      </c>
      <c r="H1181" s="356" t="s">
        <v>2025</v>
      </c>
      <c r="I1181" s="370">
        <f>0.25/1.08*D16</f>
        <v>258.8888888888888</v>
      </c>
      <c r="J1181" s="356" t="s">
        <v>262</v>
      </c>
      <c r="K1181" s="370">
        <f>(F1181*I1181)</f>
        <v>138.0913333333333</v>
      </c>
      <c r="M1181" s="36">
        <v>1</v>
      </c>
      <c r="N1181" s="35" t="s">
        <v>405</v>
      </c>
      <c r="O1181" s="35" t="s">
        <v>1796</v>
      </c>
      <c r="P1181" s="35">
        <f>R1150</f>
        <v>113.04</v>
      </c>
      <c r="R1181" s="35">
        <f t="shared" si="159"/>
        <v>113.04</v>
      </c>
      <c r="S1181" s="35"/>
      <c r="W1181" s="361"/>
      <c r="AG1181" s="395"/>
    </row>
    <row r="1182" spans="6:35" ht="15.75">
      <c r="G1182" s="368" t="s">
        <v>128</v>
      </c>
      <c r="H1182" s="356" t="s">
        <v>331</v>
      </c>
      <c r="J1182" s="356" t="s">
        <v>128</v>
      </c>
      <c r="K1182" s="370"/>
      <c r="M1182" s="501" t="s">
        <v>265</v>
      </c>
      <c r="O1182" s="35" t="s">
        <v>1798</v>
      </c>
      <c r="P1182" s="501" t="s">
        <v>265</v>
      </c>
      <c r="R1182" s="35">
        <v>270</v>
      </c>
      <c r="S1182" s="35"/>
      <c r="W1182" s="361"/>
      <c r="AG1182" s="395"/>
    </row>
    <row r="1183" spans="6:35" ht="15.75">
      <c r="H1183" s="356" t="s">
        <v>2026</v>
      </c>
      <c r="M1183" s="501" t="s">
        <v>265</v>
      </c>
      <c r="O1183" s="35" t="s">
        <v>1800</v>
      </c>
      <c r="P1183" s="501" t="s">
        <v>265</v>
      </c>
      <c r="R1183" s="35">
        <v>150</v>
      </c>
      <c r="S1183" s="35"/>
      <c r="W1183" s="361"/>
      <c r="AG1183" s="395"/>
    </row>
    <row r="1184" spans="6:35" ht="15.75">
      <c r="K1184" s="363" t="s">
        <v>117</v>
      </c>
      <c r="M1184" s="501" t="s">
        <v>265</v>
      </c>
      <c r="O1184" s="35" t="s">
        <v>331</v>
      </c>
      <c r="P1184" s="501" t="s">
        <v>265</v>
      </c>
      <c r="R1184" s="35">
        <v>0.45</v>
      </c>
      <c r="S1184" s="35">
        <f>C22</f>
        <v>143.82</v>
      </c>
      <c r="T1184" s="35">
        <f>C23</f>
        <v>283.32</v>
      </c>
      <c r="W1184" s="361"/>
      <c r="AG1184" s="395"/>
      <c r="AI1184" s="356" t="s">
        <v>1256</v>
      </c>
    </row>
    <row r="1185" spans="6:39" ht="15.75">
      <c r="H1185" s="357" t="s">
        <v>2027</v>
      </c>
      <c r="K1185" s="370">
        <f>SUM(K1178:K1182)</f>
        <v>468.77819333333332</v>
      </c>
      <c r="M1185" s="36"/>
      <c r="O1185" s="35" t="s">
        <v>1513</v>
      </c>
      <c r="R1185" s="411">
        <f>SUM(R1174:R1184)</f>
        <v>9340.6321400000015</v>
      </c>
      <c r="S1185" s="35"/>
      <c r="W1185" s="361"/>
      <c r="AG1185" s="395"/>
      <c r="AI1185" s="356" t="s">
        <v>1256</v>
      </c>
    </row>
    <row r="1186" spans="6:39" ht="15.75">
      <c r="K1186" s="363" t="s">
        <v>117</v>
      </c>
      <c r="M1186" s="36"/>
      <c r="O1186" s="35" t="s">
        <v>172</v>
      </c>
      <c r="R1186" s="35">
        <f>R1185+C22</f>
        <v>9484.4521400000012</v>
      </c>
      <c r="W1186" s="361"/>
      <c r="AG1186" s="395"/>
      <c r="AI1186" s="356" t="s">
        <v>1256</v>
      </c>
    </row>
    <row r="1187" spans="6:39" ht="15.75">
      <c r="H1187" s="357" t="s">
        <v>2028</v>
      </c>
      <c r="K1187" s="369">
        <f>ROUND(K1185/0.5334,1)</f>
        <v>878.8</v>
      </c>
      <c r="R1187" s="35">
        <f>R1186+C23</f>
        <v>9767.7721400000009</v>
      </c>
      <c r="W1187" s="361"/>
      <c r="AG1187" s="395"/>
      <c r="AI1187" s="356" t="s">
        <v>1256</v>
      </c>
    </row>
    <row r="1188" spans="6:39" ht="63.75">
      <c r="F1188" s="356" t="s">
        <v>114</v>
      </c>
      <c r="K1188" s="363" t="s">
        <v>156</v>
      </c>
      <c r="R1188" s="35">
        <f>R1187+C23</f>
        <v>10051.092140000001</v>
      </c>
      <c r="W1188" s="361"/>
      <c r="Z1188" s="492">
        <v>15.1</v>
      </c>
      <c r="AA1188" s="368" t="s">
        <v>1436</v>
      </c>
      <c r="AB1188" s="368"/>
      <c r="AC1188" s="359" t="s">
        <v>2029</v>
      </c>
      <c r="AE1188" s="361"/>
      <c r="AG1188" s="395"/>
      <c r="AH1188" s="492">
        <v>15.1</v>
      </c>
      <c r="AI1188" s="368" t="s">
        <v>1436</v>
      </c>
      <c r="AJ1188" s="542" t="s">
        <v>2030</v>
      </c>
      <c r="AL1188" s="361"/>
    </row>
    <row r="1189" spans="6:39" ht="15.75">
      <c r="F1189" s="356" t="s">
        <v>114</v>
      </c>
      <c r="G1189" s="368" t="s">
        <v>114</v>
      </c>
      <c r="H1189" s="356" t="s">
        <v>114</v>
      </c>
      <c r="W1189" s="361"/>
      <c r="AA1189" s="358"/>
      <c r="AB1189" s="358"/>
      <c r="AC1189" s="356" t="s">
        <v>1377</v>
      </c>
      <c r="AE1189" s="361"/>
      <c r="AG1189" s="395"/>
      <c r="AI1189" s="358"/>
      <c r="AJ1189" s="356" t="s">
        <v>1377</v>
      </c>
      <c r="AL1189" s="361"/>
    </row>
    <row r="1190" spans="6:39" ht="30">
      <c r="F1190" s="357" t="s">
        <v>473</v>
      </c>
      <c r="G1190" s="368" t="s">
        <v>122</v>
      </c>
      <c r="H1190" s="356" t="s">
        <v>474</v>
      </c>
      <c r="M1190" s="357" t="s">
        <v>2019</v>
      </c>
      <c r="N1190" s="368" t="s">
        <v>122</v>
      </c>
      <c r="O1190" s="356" t="s">
        <v>2031</v>
      </c>
      <c r="Q1190" s="360"/>
      <c r="W1190" s="361"/>
      <c r="Z1190" s="370">
        <v>10</v>
      </c>
      <c r="AA1190" s="368" t="s">
        <v>262</v>
      </c>
      <c r="AB1190" s="368"/>
      <c r="AC1190" s="440" t="s">
        <v>2032</v>
      </c>
      <c r="AD1190" s="394">
        <v>1737</v>
      </c>
      <c r="AE1190" s="357" t="s">
        <v>262</v>
      </c>
      <c r="AF1190" s="370">
        <f>(Z1190*AD1190)</f>
        <v>17370</v>
      </c>
      <c r="AG1190" s="395" t="str">
        <f>AI1190</f>
        <v>Sqm</v>
      </c>
      <c r="AH1190" s="370">
        <v>10</v>
      </c>
      <c r="AI1190" s="368" t="s">
        <v>262</v>
      </c>
      <c r="AJ1190" s="440" t="s">
        <v>2033</v>
      </c>
      <c r="AK1190" s="394">
        <v>886</v>
      </c>
      <c r="AL1190" s="357" t="s">
        <v>262</v>
      </c>
      <c r="AM1190" s="370">
        <f>(AH1190*AK1190)</f>
        <v>8860</v>
      </c>
    </row>
    <row r="1191" spans="6:39" ht="15.75">
      <c r="H1191" s="356" t="s">
        <v>475</v>
      </c>
      <c r="N1191" s="358"/>
      <c r="O1191" s="356" t="s">
        <v>2021</v>
      </c>
      <c r="Q1191" s="360"/>
      <c r="W1191" s="361"/>
      <c r="Z1191" s="370">
        <v>0.12</v>
      </c>
      <c r="AA1191" s="368" t="s">
        <v>108</v>
      </c>
      <c r="AB1191" s="368"/>
      <c r="AC1191" s="356" t="s">
        <v>1443</v>
      </c>
      <c r="AD1191" s="391">
        <f>P1335</f>
        <v>4976.9571999999998</v>
      </c>
      <c r="AE1191" s="357" t="s">
        <v>108</v>
      </c>
      <c r="AF1191" s="370">
        <f>(Z1191*AD1191)</f>
        <v>597.2348639999999</v>
      </c>
      <c r="AG1191" s="395" t="str">
        <f>AI1191</f>
        <v>CUM</v>
      </c>
      <c r="AH1191" s="370">
        <v>0.12</v>
      </c>
      <c r="AI1191" s="368" t="s">
        <v>108</v>
      </c>
      <c r="AJ1191" s="356" t="s">
        <v>1443</v>
      </c>
      <c r="AK1191" s="394">
        <f>AD1191</f>
        <v>4976.9571999999998</v>
      </c>
      <c r="AL1191" s="357" t="s">
        <v>108</v>
      </c>
      <c r="AM1191" s="370">
        <f>(AH1191*AK1191)</f>
        <v>597.2348639999999</v>
      </c>
    </row>
    <row r="1192" spans="6:39" ht="15.75">
      <c r="H1192" s="363" t="s">
        <v>117</v>
      </c>
      <c r="N1192" s="358"/>
      <c r="O1192" s="363" t="s">
        <v>117</v>
      </c>
      <c r="P1192" s="363" t="s">
        <v>117</v>
      </c>
      <c r="Q1192" s="360"/>
      <c r="W1192" s="361"/>
      <c r="Z1192" s="370">
        <v>1</v>
      </c>
      <c r="AA1192" s="368" t="s">
        <v>482</v>
      </c>
      <c r="AB1192" s="368"/>
      <c r="AC1192" s="356" t="s">
        <v>1381</v>
      </c>
      <c r="AD1192" s="391">
        <f>P1336</f>
        <v>1198.8</v>
      </c>
      <c r="AE1192" s="357" t="s">
        <v>194</v>
      </c>
      <c r="AF1192" s="370">
        <f>(Z1192*AD1192)</f>
        <v>1198.8</v>
      </c>
      <c r="AG1192" s="395" t="str">
        <f>AI1192</f>
        <v>No.</v>
      </c>
      <c r="AH1192" s="370">
        <v>1</v>
      </c>
      <c r="AI1192" s="368" t="s">
        <v>482</v>
      </c>
      <c r="AJ1192" s="356" t="s">
        <v>1381</v>
      </c>
      <c r="AK1192" s="394">
        <f>AD1192</f>
        <v>1198.8</v>
      </c>
      <c r="AL1192" s="357" t="s">
        <v>194</v>
      </c>
      <c r="AM1192" s="370">
        <f>(AH1192*AK1192)</f>
        <v>1198.8</v>
      </c>
    </row>
    <row r="1193" spans="6:39" ht="15.75">
      <c r="F1193" s="370">
        <v>1</v>
      </c>
      <c r="G1193" s="368" t="s">
        <v>213</v>
      </c>
      <c r="H1193" s="356" t="s">
        <v>476</v>
      </c>
      <c r="I1193" s="543">
        <f>D662</f>
        <v>69.599999999999994</v>
      </c>
      <c r="J1193" s="356" t="s">
        <v>213</v>
      </c>
      <c r="K1193" s="369">
        <f>(F1193*I1193)</f>
        <v>69.599999999999994</v>
      </c>
      <c r="M1193" s="461">
        <v>0.53339999999999999</v>
      </c>
      <c r="N1193" s="368" t="s">
        <v>262</v>
      </c>
      <c r="O1193" s="450" t="s">
        <v>2034</v>
      </c>
      <c r="P1193" s="394">
        <v>362.5</v>
      </c>
      <c r="Q1193" s="356" t="s">
        <v>262</v>
      </c>
      <c r="R1193" s="370">
        <f>(M1193*P1193)</f>
        <v>193.35749999999999</v>
      </c>
      <c r="W1193" s="361"/>
      <c r="Z1193" s="370">
        <v>1</v>
      </c>
      <c r="AA1193" s="368" t="s">
        <v>482</v>
      </c>
      <c r="AB1193" s="368"/>
      <c r="AC1193" s="356" t="s">
        <v>2035</v>
      </c>
      <c r="AD1193" s="391">
        <f>P1337</f>
        <v>781.19999999999993</v>
      </c>
      <c r="AE1193" s="357" t="s">
        <v>194</v>
      </c>
      <c r="AF1193" s="370">
        <f>(Z1193*AD1193)</f>
        <v>781.19999999999993</v>
      </c>
      <c r="AG1193" s="395" t="str">
        <f>AI1193</f>
        <v>No.</v>
      </c>
      <c r="AH1193" s="370">
        <v>1</v>
      </c>
      <c r="AI1193" s="368" t="s">
        <v>482</v>
      </c>
      <c r="AJ1193" s="356" t="s">
        <v>2036</v>
      </c>
      <c r="AK1193" s="394">
        <f>AD1193</f>
        <v>781.19999999999993</v>
      </c>
      <c r="AL1193" s="357" t="s">
        <v>194</v>
      </c>
      <c r="AM1193" s="370">
        <f>(AH1193*AK1193)</f>
        <v>781.19999999999993</v>
      </c>
    </row>
    <row r="1194" spans="6:39" ht="15.75">
      <c r="K1194" s="363" t="s">
        <v>156</v>
      </c>
      <c r="M1194" s="370">
        <v>4.24</v>
      </c>
      <c r="N1194" s="368" t="s">
        <v>31</v>
      </c>
      <c r="O1194" s="541" t="s">
        <v>2037</v>
      </c>
      <c r="P1194" s="402">
        <v>39</v>
      </c>
      <c r="Q1194" s="356" t="s">
        <v>31</v>
      </c>
      <c r="R1194" s="370">
        <f>(M1194*P1194)</f>
        <v>165.36</v>
      </c>
      <c r="W1194" s="361"/>
      <c r="Z1194" s="370"/>
      <c r="AA1194" s="368" t="s">
        <v>128</v>
      </c>
      <c r="AB1194" s="368"/>
      <c r="AC1194" s="356" t="s">
        <v>1385</v>
      </c>
      <c r="AE1194" s="357" t="s">
        <v>128</v>
      </c>
      <c r="AF1194" s="370">
        <v>0.33</v>
      </c>
      <c r="AH1194" s="370"/>
      <c r="AI1194" s="368" t="s">
        <v>128</v>
      </c>
      <c r="AJ1194" s="356" t="s">
        <v>1385</v>
      </c>
      <c r="AL1194" s="357" t="s">
        <v>128</v>
      </c>
      <c r="AM1194" s="370">
        <v>0.33</v>
      </c>
    </row>
    <row r="1195" spans="6:39" ht="15.75">
      <c r="F1195" s="357">
        <v>39</v>
      </c>
      <c r="H1195" s="450" t="s">
        <v>212</v>
      </c>
      <c r="I1195" s="543">
        <f>C662</f>
        <v>70.150000000000006</v>
      </c>
      <c r="J1195" s="356" t="s">
        <v>213</v>
      </c>
      <c r="K1195" s="544">
        <f>I1195</f>
        <v>70.150000000000006</v>
      </c>
      <c r="M1195" s="370">
        <v>16</v>
      </c>
      <c r="N1195" s="368" t="s">
        <v>482</v>
      </c>
      <c r="O1195" s="541" t="s">
        <v>2024</v>
      </c>
      <c r="P1195" s="402">
        <f>I1180</f>
        <v>1</v>
      </c>
      <c r="Q1195" s="356" t="s">
        <v>194</v>
      </c>
      <c r="R1195" s="370">
        <f>(M1195*P1195)</f>
        <v>16</v>
      </c>
      <c r="W1195" s="361"/>
      <c r="Z1195" s="370"/>
      <c r="AA1195" s="358"/>
      <c r="AB1195" s="358"/>
      <c r="AC1195" s="356" t="s">
        <v>1387</v>
      </c>
      <c r="AF1195" s="361"/>
      <c r="AG1195" s="363" t="s">
        <v>117</v>
      </c>
      <c r="AH1195" s="370"/>
      <c r="AI1195" s="358"/>
      <c r="AJ1195" s="356" t="s">
        <v>1387</v>
      </c>
      <c r="AM1195" s="361"/>
    </row>
    <row r="1196" spans="6:39" ht="15.75">
      <c r="F1196" s="357" t="s">
        <v>760</v>
      </c>
      <c r="G1196" s="368" t="s">
        <v>122</v>
      </c>
      <c r="H1196" s="356" t="s">
        <v>2038</v>
      </c>
      <c r="I1196" s="356" t="s">
        <v>114</v>
      </c>
      <c r="J1196" s="356" t="s">
        <v>245</v>
      </c>
      <c r="K1196" s="545">
        <v>9.6</v>
      </c>
      <c r="M1196" s="461">
        <v>0.53339999999999999</v>
      </c>
      <c r="N1196" s="368" t="s">
        <v>262</v>
      </c>
      <c r="O1196" s="356" t="s">
        <v>2025</v>
      </c>
      <c r="P1196" s="402">
        <f>I1181</f>
        <v>258.8888888888888</v>
      </c>
      <c r="Q1196" s="356" t="s">
        <v>262</v>
      </c>
      <c r="R1196" s="370">
        <f>(M1196*P1196)</f>
        <v>138.0913333333333</v>
      </c>
      <c r="W1196" s="361"/>
      <c r="Z1196" s="370"/>
      <c r="AA1196" s="358"/>
      <c r="AB1196" s="358"/>
      <c r="AC1196" s="357" t="s">
        <v>1453</v>
      </c>
      <c r="AE1196" s="361"/>
      <c r="AF1196" s="370">
        <f>SUM(AF1190:AF1195)</f>
        <v>19947.564864</v>
      </c>
      <c r="AG1196" s="370">
        <f>SUM(AG1190:AG1194)</f>
        <v>0</v>
      </c>
      <c r="AH1196" s="370"/>
      <c r="AI1196" s="358"/>
      <c r="AJ1196" s="357" t="s">
        <v>1453</v>
      </c>
      <c r="AL1196" s="361"/>
      <c r="AM1196" s="370">
        <f>SUM(AM1190:AM1195)</f>
        <v>11437.564864</v>
      </c>
    </row>
    <row r="1197" spans="6:39" ht="15">
      <c r="H1197" s="356" t="s">
        <v>2039</v>
      </c>
      <c r="K1197" s="363" t="s">
        <v>156</v>
      </c>
      <c r="N1197" s="368" t="s">
        <v>128</v>
      </c>
      <c r="O1197" s="356" t="s">
        <v>331</v>
      </c>
      <c r="Q1197" s="356" t="s">
        <v>128</v>
      </c>
      <c r="R1197" s="370"/>
      <c r="W1197" s="361"/>
      <c r="AA1197" s="358"/>
      <c r="AB1197" s="358"/>
      <c r="AE1197" s="361"/>
      <c r="AF1197" s="363" t="s">
        <v>117</v>
      </c>
      <c r="AG1197" s="363" t="s">
        <v>117</v>
      </c>
      <c r="AI1197" s="358"/>
      <c r="AL1197" s="361"/>
      <c r="AM1197" s="363" t="s">
        <v>117</v>
      </c>
    </row>
    <row r="1198" spans="6:39" ht="15.75">
      <c r="N1198" s="358"/>
      <c r="O1198" s="356" t="s">
        <v>2026</v>
      </c>
      <c r="Q1198" s="360"/>
      <c r="W1198" s="361"/>
      <c r="AA1198" s="358"/>
      <c r="AB1198" s="358"/>
      <c r="AC1198" s="357" t="s">
        <v>1458</v>
      </c>
      <c r="AF1198" s="369">
        <f>AF1196/10</f>
        <v>1994.7564864000001</v>
      </c>
      <c r="AI1198" s="358"/>
      <c r="AJ1198" s="357" t="s">
        <v>1458</v>
      </c>
      <c r="AM1198" s="369">
        <f>AM1196/10</f>
        <v>1143.7564864000001</v>
      </c>
    </row>
    <row r="1199" spans="6:39" ht="15">
      <c r="F1199" s="357" t="s">
        <v>771</v>
      </c>
      <c r="G1199" s="368" t="s">
        <v>122</v>
      </c>
      <c r="H1199" s="356" t="s">
        <v>410</v>
      </c>
      <c r="N1199" s="358"/>
      <c r="Q1199" s="360"/>
      <c r="R1199" s="363" t="s">
        <v>117</v>
      </c>
      <c r="W1199" s="361"/>
      <c r="AA1199" s="358"/>
      <c r="AB1199" s="358"/>
      <c r="AC1199" s="356" t="s">
        <v>172</v>
      </c>
      <c r="AE1199" s="361">
        <f>C22*0.02</f>
        <v>2.8763999999999998</v>
      </c>
      <c r="AF1199" s="370">
        <f>AF1198+AE1199</f>
        <v>1997.6328864000002</v>
      </c>
      <c r="AI1199" s="358"/>
      <c r="AJ1199" s="356" t="s">
        <v>172</v>
      </c>
      <c r="AL1199" s="361">
        <f>C22*0.01</f>
        <v>1.4381999999999999</v>
      </c>
      <c r="AM1199" s="370">
        <f>AM1198+AL1199</f>
        <v>1145.1946864000001</v>
      </c>
    </row>
    <row r="1200" spans="6:39" ht="15">
      <c r="H1200" s="356" t="s">
        <v>2040</v>
      </c>
      <c r="N1200" s="358"/>
      <c r="O1200" s="357" t="s">
        <v>2027</v>
      </c>
      <c r="Q1200" s="360"/>
      <c r="R1200" s="370">
        <f>SUM(R1193:R1197)</f>
        <v>512.80883333333327</v>
      </c>
      <c r="W1200" s="361"/>
      <c r="AA1200" s="358"/>
      <c r="AB1200" s="358"/>
      <c r="AC1200" s="356" t="s">
        <v>873</v>
      </c>
      <c r="AE1200" s="361">
        <f>C23*0.02</f>
        <v>5.6664000000000003</v>
      </c>
      <c r="AF1200" s="370">
        <f>AF1199+AE1200</f>
        <v>2003.2992864000003</v>
      </c>
      <c r="AI1200" s="358"/>
      <c r="AJ1200" s="356" t="s">
        <v>873</v>
      </c>
      <c r="AL1200" s="361">
        <f>C23*0.01</f>
        <v>2.8332000000000002</v>
      </c>
      <c r="AM1200" s="370">
        <f>AM1199+AL1200</f>
        <v>1148.0278864000002</v>
      </c>
    </row>
    <row r="1201" spans="6:39" ht="15">
      <c r="H1201" s="363" t="s">
        <v>117</v>
      </c>
      <c r="N1201" s="358"/>
      <c r="Q1201" s="360"/>
      <c r="R1201" s="363" t="s">
        <v>117</v>
      </c>
      <c r="W1201" s="361"/>
      <c r="AA1201" s="358"/>
      <c r="AB1201" s="358"/>
      <c r="AC1201" s="356" t="s">
        <v>876</v>
      </c>
      <c r="AE1201" s="361">
        <f t="shared" ref="AE1201:AE1210" si="160">AE1200</f>
        <v>5.6664000000000003</v>
      </c>
      <c r="AF1201" s="370">
        <f t="shared" ref="AF1201:AF1210" si="161">+AF1200+AE1201</f>
        <v>2008.9656864000003</v>
      </c>
      <c r="AI1201" s="358"/>
      <c r="AJ1201" s="356" t="s">
        <v>876</v>
      </c>
      <c r="AL1201" s="361">
        <f>C24*0.01</f>
        <v>2.8332000000000002</v>
      </c>
      <c r="AM1201" s="370">
        <f t="shared" ref="AM1201:AM1208" si="162">+AM1200+AL1201</f>
        <v>1150.8610864000002</v>
      </c>
    </row>
    <row r="1202" spans="6:39" ht="15.75">
      <c r="F1202" s="370">
        <v>0.22</v>
      </c>
      <c r="G1202" s="368" t="s">
        <v>108</v>
      </c>
      <c r="H1202" s="356" t="s">
        <v>133</v>
      </c>
      <c r="I1202" s="370">
        <f>K40</f>
        <v>4212.3004000000001</v>
      </c>
      <c r="J1202" s="356" t="s">
        <v>108</v>
      </c>
      <c r="K1202" s="370">
        <f>(F1202*I1202)</f>
        <v>926.70608800000002</v>
      </c>
      <c r="N1202" s="358"/>
      <c r="O1202" s="357" t="s">
        <v>2028</v>
      </c>
      <c r="Q1202" s="360"/>
      <c r="R1202" s="369">
        <f>ROUND(R1200/0.5334,1)</f>
        <v>961.4</v>
      </c>
      <c r="W1202" s="361"/>
      <c r="AA1202" s="358"/>
      <c r="AB1202" s="358"/>
      <c r="AC1202" s="356" t="s">
        <v>878</v>
      </c>
      <c r="AE1202" s="361">
        <f t="shared" si="160"/>
        <v>5.6664000000000003</v>
      </c>
      <c r="AF1202" s="370">
        <f t="shared" si="161"/>
        <v>2014.6320864000004</v>
      </c>
      <c r="AI1202" s="358"/>
      <c r="AJ1202" s="356" t="s">
        <v>878</v>
      </c>
      <c r="AL1202" s="361">
        <v>1.95</v>
      </c>
      <c r="AM1202" s="370">
        <f t="shared" si="162"/>
        <v>1152.8110864000002</v>
      </c>
    </row>
    <row r="1203" spans="6:39" ht="15">
      <c r="F1203" s="370">
        <v>2.2000000000000002</v>
      </c>
      <c r="G1203" s="368" t="s">
        <v>223</v>
      </c>
      <c r="H1203" s="356" t="s">
        <v>162</v>
      </c>
      <c r="I1203" s="370">
        <f>(C10)</f>
        <v>1198.8</v>
      </c>
      <c r="J1203" s="356" t="s">
        <v>223</v>
      </c>
      <c r="K1203" s="370">
        <f>(F1203*I1203)</f>
        <v>2637.36</v>
      </c>
      <c r="M1203" s="356" t="s">
        <v>114</v>
      </c>
      <c r="N1203" s="358"/>
      <c r="Q1203" s="360"/>
      <c r="R1203" s="363" t="s">
        <v>156</v>
      </c>
      <c r="W1203" s="361"/>
      <c r="AA1203" s="358"/>
      <c r="AB1203" s="358"/>
      <c r="AC1203" s="356" t="s">
        <v>1287</v>
      </c>
      <c r="AE1203" s="361">
        <f t="shared" si="160"/>
        <v>5.6664000000000003</v>
      </c>
      <c r="AF1203" s="370">
        <f t="shared" si="161"/>
        <v>2020.2984864000005</v>
      </c>
      <c r="AI1203" s="358"/>
      <c r="AJ1203" s="356" t="s">
        <v>1287</v>
      </c>
      <c r="AL1203" s="361">
        <v>1.95</v>
      </c>
      <c r="AM1203" s="370">
        <f t="shared" si="162"/>
        <v>1154.7610864000003</v>
      </c>
    </row>
    <row r="1204" spans="6:39" ht="15.75">
      <c r="F1204" s="370">
        <v>0.5</v>
      </c>
      <c r="G1204" s="368" t="s">
        <v>223</v>
      </c>
      <c r="H1204" s="356" t="s">
        <v>271</v>
      </c>
      <c r="I1204" s="370">
        <f>(C12)</f>
        <v>781.19999999999993</v>
      </c>
      <c r="J1204" s="356" t="s">
        <v>223</v>
      </c>
      <c r="K1204" s="370">
        <f>(F1204*I1204)</f>
        <v>390.59999999999997</v>
      </c>
      <c r="W1204" s="361"/>
      <c r="AA1204" s="358"/>
      <c r="AB1204" s="358"/>
      <c r="AC1204" s="35">
        <v>5</v>
      </c>
      <c r="AE1204" s="361">
        <f t="shared" si="160"/>
        <v>5.6664000000000003</v>
      </c>
      <c r="AF1204" s="370">
        <f t="shared" si="161"/>
        <v>2025.9648864000005</v>
      </c>
      <c r="AG1204" s="395">
        <f>AI1204</f>
        <v>0</v>
      </c>
      <c r="AI1204" s="358"/>
      <c r="AJ1204" s="35">
        <v>5</v>
      </c>
      <c r="AL1204" s="361">
        <f>AE1204</f>
        <v>5.6664000000000003</v>
      </c>
      <c r="AM1204" s="370">
        <f t="shared" si="162"/>
        <v>1160.4274864000004</v>
      </c>
    </row>
    <row r="1205" spans="6:39" ht="15.75">
      <c r="F1205" s="370">
        <v>3.2</v>
      </c>
      <c r="G1205" s="368" t="s">
        <v>223</v>
      </c>
      <c r="H1205" s="356" t="s">
        <v>154</v>
      </c>
      <c r="I1205" s="370">
        <f>(C13)</f>
        <v>640.79999999999995</v>
      </c>
      <c r="J1205" s="356" t="s">
        <v>223</v>
      </c>
      <c r="K1205" s="370">
        <f>(F1205*I1205)</f>
        <v>2050.56</v>
      </c>
      <c r="W1205" s="361"/>
      <c r="AC1205" s="35">
        <v>6</v>
      </c>
      <c r="AE1205" s="361">
        <f t="shared" si="160"/>
        <v>5.6664000000000003</v>
      </c>
      <c r="AF1205" s="370">
        <f t="shared" si="161"/>
        <v>2031.6312864000006</v>
      </c>
      <c r="AG1205" s="395">
        <f>AI1205</f>
        <v>0</v>
      </c>
      <c r="AJ1205" s="35">
        <v>6</v>
      </c>
      <c r="AL1205" s="361">
        <f>AE1205</f>
        <v>5.6664000000000003</v>
      </c>
      <c r="AM1205" s="370">
        <f t="shared" si="162"/>
        <v>1166.0938864000004</v>
      </c>
    </row>
    <row r="1206" spans="6:39" ht="15.75">
      <c r="F1206" s="370"/>
      <c r="G1206" s="368"/>
      <c r="H1206" s="356"/>
      <c r="I1206" s="370"/>
      <c r="J1206" s="356"/>
      <c r="K1206" s="370"/>
      <c r="W1206" s="361"/>
      <c r="AC1206" s="35">
        <v>7</v>
      </c>
      <c r="AE1206" s="361">
        <f t="shared" si="160"/>
        <v>5.6664000000000003</v>
      </c>
      <c r="AF1206" s="370">
        <f t="shared" si="161"/>
        <v>2037.2976864000007</v>
      </c>
      <c r="AG1206" s="395"/>
      <c r="AJ1206" s="35">
        <v>7</v>
      </c>
      <c r="AL1206" s="361">
        <f>AE1206</f>
        <v>5.6664000000000003</v>
      </c>
      <c r="AM1206" s="370">
        <f t="shared" si="162"/>
        <v>1171.7602864000005</v>
      </c>
    </row>
    <row r="1207" spans="6:39" ht="15.75">
      <c r="F1207" s="370"/>
      <c r="G1207" s="368"/>
      <c r="H1207" s="356"/>
      <c r="I1207" s="370"/>
      <c r="J1207" s="356"/>
      <c r="K1207" s="370"/>
      <c r="W1207" s="361"/>
      <c r="AC1207" s="35">
        <v>8</v>
      </c>
      <c r="AE1207" s="361">
        <f t="shared" si="160"/>
        <v>5.6664000000000003</v>
      </c>
      <c r="AF1207" s="370">
        <f t="shared" si="161"/>
        <v>2042.9640864000007</v>
      </c>
      <c r="AG1207" s="395"/>
      <c r="AJ1207" s="35">
        <v>8</v>
      </c>
      <c r="AL1207" s="361">
        <f>AE1207</f>
        <v>5.6664000000000003</v>
      </c>
      <c r="AM1207" s="370">
        <f t="shared" si="162"/>
        <v>1177.4266864000006</v>
      </c>
    </row>
    <row r="1208" spans="6:39" ht="15.75">
      <c r="F1208" s="370"/>
      <c r="G1208" s="368"/>
      <c r="H1208" s="356"/>
      <c r="I1208" s="370"/>
      <c r="J1208" s="356"/>
      <c r="K1208" s="370"/>
      <c r="W1208" s="361"/>
      <c r="AC1208" s="35">
        <v>9</v>
      </c>
      <c r="AE1208" s="361">
        <f t="shared" si="160"/>
        <v>5.6664000000000003</v>
      </c>
      <c r="AF1208" s="370">
        <f t="shared" si="161"/>
        <v>2048.6304864000008</v>
      </c>
      <c r="AG1208" s="395"/>
      <c r="AH1208" s="35" t="s">
        <v>2041</v>
      </c>
      <c r="AJ1208" s="35">
        <v>9</v>
      </c>
      <c r="AL1208" s="361">
        <f>AE1208</f>
        <v>5.6664000000000003</v>
      </c>
      <c r="AM1208" s="370">
        <f t="shared" si="162"/>
        <v>1183.0930864000006</v>
      </c>
    </row>
    <row r="1209" spans="6:39" ht="15.75">
      <c r="F1209" s="370"/>
      <c r="G1209" s="368"/>
      <c r="H1209" s="356"/>
      <c r="I1209" s="370"/>
      <c r="J1209" s="356"/>
      <c r="K1209" s="370"/>
      <c r="W1209" s="361"/>
      <c r="AC1209" s="35">
        <v>10</v>
      </c>
      <c r="AE1209" s="361">
        <f t="shared" si="160"/>
        <v>5.6664000000000003</v>
      </c>
      <c r="AF1209" s="370">
        <f t="shared" si="161"/>
        <v>2054.2968864000009</v>
      </c>
      <c r="AG1209" s="395"/>
      <c r="AI1209" s="356"/>
    </row>
    <row r="1210" spans="6:39" ht="15.75">
      <c r="F1210" s="370"/>
      <c r="G1210" s="368"/>
      <c r="H1210" s="356"/>
      <c r="I1210" s="370"/>
      <c r="J1210" s="356"/>
      <c r="K1210" s="370"/>
      <c r="W1210" s="361"/>
      <c r="AC1210" s="35">
        <v>11</v>
      </c>
      <c r="AE1210" s="361">
        <f t="shared" si="160"/>
        <v>5.6664000000000003</v>
      </c>
      <c r="AF1210" s="370">
        <f t="shared" si="161"/>
        <v>2059.9632864000009</v>
      </c>
      <c r="AG1210" s="395"/>
      <c r="AI1210" s="356"/>
    </row>
    <row r="1211" spans="6:39" ht="15.75">
      <c r="G1211" s="368" t="s">
        <v>128</v>
      </c>
      <c r="H1211" s="356" t="s">
        <v>129</v>
      </c>
      <c r="I1211" s="356" t="s">
        <v>114</v>
      </c>
      <c r="J1211" s="356" t="s">
        <v>128</v>
      </c>
      <c r="K1211" s="370">
        <v>5</v>
      </c>
      <c r="N1211" s="358"/>
      <c r="Q1211" s="361"/>
      <c r="W1211" s="361"/>
      <c r="Z1211" s="412">
        <v>29.5</v>
      </c>
      <c r="AA1211" s="368" t="s">
        <v>122</v>
      </c>
      <c r="AB1211" s="368"/>
      <c r="AC1211" s="359" t="s">
        <v>2042</v>
      </c>
      <c r="AG1211" s="395" t="str">
        <f t="shared" ref="AG1211:AG1279" si="163">AI1211</f>
        <v>|</v>
      </c>
      <c r="AI1211" s="356" t="s">
        <v>1256</v>
      </c>
    </row>
    <row r="1212" spans="6:39" ht="15.75">
      <c r="K1212" s="363" t="s">
        <v>117</v>
      </c>
      <c r="N1212" s="358"/>
      <c r="Q1212" s="361"/>
      <c r="W1212" s="361"/>
      <c r="AA1212" s="358"/>
      <c r="AB1212" s="358"/>
      <c r="AC1212" s="359" t="s">
        <v>2043</v>
      </c>
      <c r="AG1212" s="395" t="str">
        <f t="shared" si="163"/>
        <v>|</v>
      </c>
      <c r="AI1212" s="356" t="s">
        <v>1256</v>
      </c>
    </row>
    <row r="1213" spans="6:39" ht="15.75">
      <c r="H1213" s="356" t="s">
        <v>176</v>
      </c>
      <c r="K1213" s="370">
        <f>SUM(K1202:K1211)</f>
        <v>6010.2260879999994</v>
      </c>
      <c r="N1213" s="358"/>
      <c r="Q1213" s="361"/>
      <c r="W1213" s="361"/>
      <c r="AA1213" s="358"/>
      <c r="AB1213" s="358"/>
      <c r="AC1213" s="356"/>
      <c r="AG1213" s="395" t="str">
        <f t="shared" si="163"/>
        <v>|</v>
      </c>
      <c r="AI1213" s="356" t="s">
        <v>1256</v>
      </c>
    </row>
    <row r="1214" spans="6:39" ht="19.5">
      <c r="F1214" s="35" t="s">
        <v>114</v>
      </c>
      <c r="K1214" s="363" t="s">
        <v>117</v>
      </c>
      <c r="N1214" s="358"/>
      <c r="O1214" s="546" t="s">
        <v>2044</v>
      </c>
      <c r="Q1214" s="361"/>
      <c r="W1214" s="361"/>
      <c r="AA1214" s="358"/>
      <c r="AB1214" s="358"/>
      <c r="AC1214" s="363" t="s">
        <v>117</v>
      </c>
      <c r="AD1214" s="363" t="s">
        <v>117</v>
      </c>
      <c r="AE1214" s="360">
        <f>54.96*10.764</f>
        <v>591.58943999999997</v>
      </c>
      <c r="AG1214" s="395" t="str">
        <f t="shared" si="163"/>
        <v>|</v>
      </c>
      <c r="AI1214" s="356" t="s">
        <v>1256</v>
      </c>
    </row>
    <row r="1215" spans="6:39" ht="45">
      <c r="H1215" s="372" t="s">
        <v>177</v>
      </c>
      <c r="K1215" s="369">
        <f>(K1213/10)</f>
        <v>601.02260879999994</v>
      </c>
      <c r="N1215" s="358"/>
      <c r="Q1215" s="361"/>
      <c r="W1215" s="361"/>
      <c r="Z1215" s="370">
        <v>10</v>
      </c>
      <c r="AA1215" s="368" t="s">
        <v>107</v>
      </c>
      <c r="AB1215" s="368"/>
      <c r="AC1215" s="445" t="s">
        <v>2045</v>
      </c>
      <c r="AD1215" s="394">
        <v>1462</v>
      </c>
      <c r="AE1215" s="356" t="s">
        <v>107</v>
      </c>
      <c r="AF1215" s="370">
        <f>(Z1215*AD1215)</f>
        <v>14620</v>
      </c>
      <c r="AG1215" s="395" t="str">
        <f t="shared" si="163"/>
        <v>|</v>
      </c>
      <c r="AI1215" s="356" t="s">
        <v>1256</v>
      </c>
    </row>
    <row r="1216" spans="6:39" ht="15.75">
      <c r="K1216" s="363" t="s">
        <v>156</v>
      </c>
      <c r="N1216" s="358"/>
      <c r="Q1216" s="361"/>
      <c r="S1216" s="547" t="s">
        <v>2046</v>
      </c>
      <c r="W1216" s="361"/>
      <c r="Z1216" s="370">
        <v>0.21</v>
      </c>
      <c r="AA1216" s="368" t="s">
        <v>108</v>
      </c>
      <c r="AB1216" s="368"/>
      <c r="AC1216" s="356" t="s">
        <v>221</v>
      </c>
      <c r="AD1216" s="381">
        <f t="shared" ref="AD1216:AD1228" si="164">AD1244</f>
        <v>4976.9571999999998</v>
      </c>
      <c r="AE1216" s="356" t="s">
        <v>108</v>
      </c>
      <c r="AF1216" s="370">
        <f>(Z1216*AD1216)</f>
        <v>1045.161012</v>
      </c>
      <c r="AG1216" s="395" t="str">
        <f t="shared" si="163"/>
        <v>|</v>
      </c>
      <c r="AI1216" s="356" t="s">
        <v>1256</v>
      </c>
    </row>
    <row r="1217" spans="6:35" ht="15.75">
      <c r="F1217" s="357" t="s">
        <v>2047</v>
      </c>
      <c r="G1217" s="368" t="s">
        <v>122</v>
      </c>
      <c r="H1217" s="356" t="s">
        <v>2048</v>
      </c>
      <c r="M1217" s="370">
        <v>10</v>
      </c>
      <c r="N1217" s="368" t="s">
        <v>107</v>
      </c>
      <c r="O1217" s="450" t="s">
        <v>2049</v>
      </c>
      <c r="P1217" s="548">
        <v>653</v>
      </c>
      <c r="Q1217" s="357" t="s">
        <v>107</v>
      </c>
      <c r="R1217" s="370">
        <f>M1217*P1217</f>
        <v>6530</v>
      </c>
      <c r="S1217" s="36">
        <v>694.02</v>
      </c>
      <c r="T1217" s="35">
        <f>S1217*M1217</f>
        <v>6940.2</v>
      </c>
      <c r="W1217" s="361"/>
      <c r="AA1217" s="358"/>
      <c r="AB1217" s="358"/>
      <c r="AC1217" s="356" t="s">
        <v>222</v>
      </c>
      <c r="AD1217" s="381" t="str">
        <f t="shared" si="164"/>
        <v xml:space="preserve"> </v>
      </c>
      <c r="AE1217" s="360"/>
      <c r="AF1217" s="356" t="s">
        <v>114</v>
      </c>
      <c r="AG1217" s="395" t="str">
        <f t="shared" si="163"/>
        <v>|</v>
      </c>
      <c r="AI1217" s="356" t="s">
        <v>1256</v>
      </c>
    </row>
    <row r="1218" spans="6:35" ht="15.75">
      <c r="H1218" s="356" t="s">
        <v>2050</v>
      </c>
      <c r="M1218" s="370">
        <v>0.21</v>
      </c>
      <c r="N1218" s="368" t="s">
        <v>108</v>
      </c>
      <c r="O1218" s="356" t="s">
        <v>221</v>
      </c>
      <c r="P1218" s="370">
        <f>I1222</f>
        <v>4976.9571999999998</v>
      </c>
      <c r="Q1218" s="357" t="s">
        <v>108</v>
      </c>
      <c r="R1218" s="370">
        <f t="shared" ref="R1218:R1227" si="165">(M1218*P1218)</f>
        <v>1045.161012</v>
      </c>
      <c r="T1218" s="35">
        <f>R1218</f>
        <v>1045.161012</v>
      </c>
      <c r="W1218" s="361"/>
      <c r="Z1218" s="370">
        <v>1.1000000000000001</v>
      </c>
      <c r="AA1218" s="368" t="s">
        <v>223</v>
      </c>
      <c r="AB1218" s="368"/>
      <c r="AC1218" s="356" t="s">
        <v>162</v>
      </c>
      <c r="AD1218" s="381">
        <f t="shared" si="164"/>
        <v>1198.8</v>
      </c>
      <c r="AE1218" s="356" t="s">
        <v>223</v>
      </c>
      <c r="AF1218" s="370">
        <f>(Z1218*AD1218)</f>
        <v>1318.68</v>
      </c>
      <c r="AG1218" s="395" t="str">
        <f t="shared" si="163"/>
        <v>|</v>
      </c>
      <c r="AI1218" s="356" t="s">
        <v>1256</v>
      </c>
    </row>
    <row r="1219" spans="6:35" ht="15.75">
      <c r="H1219" s="363" t="s">
        <v>117</v>
      </c>
      <c r="M1219" s="370">
        <v>1.1000000000000001</v>
      </c>
      <c r="N1219" s="368" t="s">
        <v>223</v>
      </c>
      <c r="O1219" s="356" t="s">
        <v>162</v>
      </c>
      <c r="P1219" s="370">
        <f>I1224</f>
        <v>1198.8</v>
      </c>
      <c r="Q1219" s="357" t="s">
        <v>223</v>
      </c>
      <c r="R1219" s="370">
        <f t="shared" si="165"/>
        <v>1318.68</v>
      </c>
      <c r="T1219" s="35">
        <f t="shared" ref="T1219:T1227" si="166">R1219</f>
        <v>1318.68</v>
      </c>
      <c r="W1219" s="361"/>
      <c r="Z1219" s="370">
        <v>1.1000000000000001</v>
      </c>
      <c r="AA1219" s="368" t="s">
        <v>223</v>
      </c>
      <c r="AB1219" s="368"/>
      <c r="AC1219" s="356" t="s">
        <v>152</v>
      </c>
      <c r="AD1219" s="381">
        <f t="shared" si="164"/>
        <v>1118.3999999999999</v>
      </c>
      <c r="AE1219" s="356" t="s">
        <v>223</v>
      </c>
      <c r="AF1219" s="370">
        <f>(Z1219*AD1219)</f>
        <v>1230.24</v>
      </c>
      <c r="AG1219" s="395" t="str">
        <f t="shared" si="163"/>
        <v>|</v>
      </c>
      <c r="AI1219" s="356" t="s">
        <v>1256</v>
      </c>
    </row>
    <row r="1220" spans="6:35" ht="15.75">
      <c r="F1220" s="370">
        <v>160</v>
      </c>
      <c r="G1220" s="368" t="s">
        <v>3</v>
      </c>
      <c r="H1220" s="356" t="s">
        <v>2051</v>
      </c>
      <c r="I1220" s="370">
        <f>(C139)</f>
        <v>12097.86</v>
      </c>
      <c r="J1220" s="356" t="s">
        <v>883</v>
      </c>
      <c r="K1220" s="370">
        <f>(F1220*I1220)/1000</f>
        <v>1935.6576</v>
      </c>
      <c r="M1220" s="370">
        <v>1.1000000000000001</v>
      </c>
      <c r="N1220" s="368" t="s">
        <v>223</v>
      </c>
      <c r="O1220" s="356" t="s">
        <v>152</v>
      </c>
      <c r="P1220" s="370">
        <f>I1225</f>
        <v>1118.3999999999999</v>
      </c>
      <c r="Q1220" s="357" t="s">
        <v>223</v>
      </c>
      <c r="R1220" s="370">
        <f t="shared" si="165"/>
        <v>1230.24</v>
      </c>
      <c r="T1220" s="35">
        <f t="shared" si="166"/>
        <v>1230.24</v>
      </c>
      <c r="W1220" s="361"/>
      <c r="Z1220" s="370">
        <v>2.2000000000000002</v>
      </c>
      <c r="AA1220" s="368" t="s">
        <v>223</v>
      </c>
      <c r="AB1220" s="368"/>
      <c r="AC1220" s="356" t="s">
        <v>153</v>
      </c>
      <c r="AD1220" s="381">
        <f t="shared" si="164"/>
        <v>781.19999999999993</v>
      </c>
      <c r="AE1220" s="356" t="s">
        <v>223</v>
      </c>
      <c r="AF1220" s="370">
        <f>(Z1220*AD1220)</f>
        <v>1718.64</v>
      </c>
      <c r="AG1220" s="395" t="str">
        <f t="shared" si="163"/>
        <v>|</v>
      </c>
      <c r="AI1220" s="356" t="s">
        <v>1256</v>
      </c>
    </row>
    <row r="1221" spans="6:35" ht="15.75">
      <c r="H1221" s="356" t="s">
        <v>2052</v>
      </c>
      <c r="I1221" s="356" t="s">
        <v>114</v>
      </c>
      <c r="K1221" s="356" t="s">
        <v>114</v>
      </c>
      <c r="M1221" s="370">
        <v>2.2000000000000002</v>
      </c>
      <c r="N1221" s="368" t="s">
        <v>223</v>
      </c>
      <c r="O1221" s="356" t="s">
        <v>153</v>
      </c>
      <c r="P1221" s="370">
        <f>I1226</f>
        <v>781.19999999999993</v>
      </c>
      <c r="Q1221" s="357" t="s">
        <v>223</v>
      </c>
      <c r="R1221" s="370">
        <f t="shared" si="165"/>
        <v>1718.64</v>
      </c>
      <c r="T1221" s="35">
        <f t="shared" si="166"/>
        <v>1718.64</v>
      </c>
      <c r="W1221" s="361"/>
      <c r="Z1221" s="370">
        <v>2.2000000000000002</v>
      </c>
      <c r="AA1221" s="368" t="s">
        <v>223</v>
      </c>
      <c r="AB1221" s="368"/>
      <c r="AC1221" s="356" t="s">
        <v>154</v>
      </c>
      <c r="AD1221" s="381">
        <f t="shared" si="164"/>
        <v>640.79999999999995</v>
      </c>
      <c r="AE1221" s="356" t="s">
        <v>223</v>
      </c>
      <c r="AF1221" s="370">
        <f>(Z1221*AD1221)</f>
        <v>1409.76</v>
      </c>
      <c r="AG1221" s="395" t="str">
        <f t="shared" si="163"/>
        <v>|</v>
      </c>
      <c r="AI1221" s="356" t="s">
        <v>1256</v>
      </c>
    </row>
    <row r="1222" spans="6:35" ht="15.75">
      <c r="F1222" s="370">
        <v>0.21</v>
      </c>
      <c r="G1222" s="368" t="s">
        <v>108</v>
      </c>
      <c r="H1222" s="356" t="s">
        <v>221</v>
      </c>
      <c r="I1222" s="370">
        <f>(K32)</f>
        <v>4976.9571999999998</v>
      </c>
      <c r="J1222" s="356" t="s">
        <v>108</v>
      </c>
      <c r="K1222" s="370">
        <f>(F1222*I1222)</f>
        <v>1045.161012</v>
      </c>
      <c r="M1222" s="370">
        <v>2.2000000000000002</v>
      </c>
      <c r="N1222" s="368" t="s">
        <v>223</v>
      </c>
      <c r="O1222" s="356" t="s">
        <v>154</v>
      </c>
      <c r="P1222" s="370">
        <f>I1227</f>
        <v>640.79999999999995</v>
      </c>
      <c r="Q1222" s="357" t="s">
        <v>223</v>
      </c>
      <c r="R1222" s="370">
        <f t="shared" si="165"/>
        <v>1409.76</v>
      </c>
      <c r="T1222" s="35">
        <f t="shared" si="166"/>
        <v>1409.76</v>
      </c>
      <c r="W1222" s="361"/>
      <c r="Z1222" s="407">
        <v>20</v>
      </c>
      <c r="AA1222" s="368" t="s">
        <v>213</v>
      </c>
      <c r="AB1222" s="368"/>
      <c r="AC1222" s="356" t="s">
        <v>125</v>
      </c>
      <c r="AD1222" s="381">
        <f t="shared" si="164"/>
        <v>6372.14</v>
      </c>
      <c r="AE1222" s="356" t="s">
        <v>124</v>
      </c>
      <c r="AF1222" s="370">
        <f>(Z1222*AD1222)/1000</f>
        <v>127.44280000000001</v>
      </c>
      <c r="AG1222" s="395" t="str">
        <f t="shared" si="163"/>
        <v>|</v>
      </c>
      <c r="AI1222" s="356" t="s">
        <v>1256</v>
      </c>
    </row>
    <row r="1223" spans="6:35" ht="15.75">
      <c r="H1223" s="356" t="s">
        <v>222</v>
      </c>
      <c r="I1223" s="356" t="s">
        <v>114</v>
      </c>
      <c r="K1223" s="356" t="s">
        <v>114</v>
      </c>
      <c r="M1223" s="407">
        <v>20</v>
      </c>
      <c r="N1223" s="368" t="s">
        <v>213</v>
      </c>
      <c r="O1223" s="356" t="s">
        <v>125</v>
      </c>
      <c r="P1223" s="370">
        <f>I1228</f>
        <v>6372.14</v>
      </c>
      <c r="Q1223" s="357" t="s">
        <v>124</v>
      </c>
      <c r="R1223" s="370">
        <f>(M1223*P1223)/1000</f>
        <v>127.44280000000001</v>
      </c>
      <c r="T1223" s="35">
        <f t="shared" si="166"/>
        <v>127.44280000000001</v>
      </c>
      <c r="W1223" s="361"/>
      <c r="Z1223" s="407">
        <v>2</v>
      </c>
      <c r="AA1223" s="368" t="s">
        <v>213</v>
      </c>
      <c r="AB1223" s="368"/>
      <c r="AC1223" s="356" t="s">
        <v>228</v>
      </c>
      <c r="AD1223" s="381">
        <f t="shared" si="164"/>
        <v>36.1</v>
      </c>
      <c r="AE1223" s="356" t="s">
        <v>213</v>
      </c>
      <c r="AF1223" s="370">
        <f>(Z1223*AD1223)</f>
        <v>72.2</v>
      </c>
      <c r="AG1223" s="395" t="str">
        <f t="shared" si="163"/>
        <v>|</v>
      </c>
      <c r="AI1223" s="356" t="s">
        <v>1256</v>
      </c>
    </row>
    <row r="1224" spans="6:35" ht="15.75">
      <c r="F1224" s="370">
        <v>1.1000000000000001</v>
      </c>
      <c r="G1224" s="368" t="s">
        <v>223</v>
      </c>
      <c r="H1224" s="356" t="s">
        <v>162</v>
      </c>
      <c r="I1224" s="370">
        <f>(C10)</f>
        <v>1198.8</v>
      </c>
      <c r="J1224" s="356" t="s">
        <v>223</v>
      </c>
      <c r="K1224" s="370">
        <f>(F1224*I1224)</f>
        <v>1318.68</v>
      </c>
      <c r="M1224" s="407">
        <v>2</v>
      </c>
      <c r="N1224" s="368" t="s">
        <v>213</v>
      </c>
      <c r="O1224" s="450" t="s">
        <v>2053</v>
      </c>
      <c r="P1224" s="381">
        <f>C610</f>
        <v>24.925000000000001</v>
      </c>
      <c r="Q1224" s="357" t="s">
        <v>213</v>
      </c>
      <c r="R1224" s="370">
        <f t="shared" si="165"/>
        <v>49.85</v>
      </c>
      <c r="T1224" s="35">
        <f t="shared" si="166"/>
        <v>49.85</v>
      </c>
      <c r="W1224" s="361"/>
      <c r="Z1224" s="370">
        <v>1.6</v>
      </c>
      <c r="AA1224" s="368" t="s">
        <v>223</v>
      </c>
      <c r="AB1224" s="368"/>
      <c r="AC1224" s="356" t="s">
        <v>152</v>
      </c>
      <c r="AD1224" s="381">
        <f t="shared" si="164"/>
        <v>1118.3999999999999</v>
      </c>
      <c r="AE1224" s="356" t="s">
        <v>223</v>
      </c>
      <c r="AF1224" s="370">
        <f>(Z1224*AD1224)</f>
        <v>1789.4399999999998</v>
      </c>
      <c r="AG1224" s="395" t="str">
        <f t="shared" si="163"/>
        <v>|</v>
      </c>
      <c r="AI1224" s="356" t="s">
        <v>1256</v>
      </c>
    </row>
    <row r="1225" spans="6:35" ht="15.75">
      <c r="F1225" s="370">
        <v>1.1000000000000001</v>
      </c>
      <c r="G1225" s="368" t="s">
        <v>223</v>
      </c>
      <c r="H1225" s="356" t="s">
        <v>152</v>
      </c>
      <c r="I1225" s="370">
        <f>(C11)</f>
        <v>1118.3999999999999</v>
      </c>
      <c r="J1225" s="356" t="s">
        <v>223</v>
      </c>
      <c r="K1225" s="370">
        <f>(F1225*I1225)</f>
        <v>1230.24</v>
      </c>
      <c r="M1225" s="370">
        <v>1.6</v>
      </c>
      <c r="N1225" s="368" t="s">
        <v>223</v>
      </c>
      <c r="O1225" s="356" t="s">
        <v>152</v>
      </c>
      <c r="P1225" s="381">
        <f>P1220</f>
        <v>1118.3999999999999</v>
      </c>
      <c r="Q1225" s="357" t="s">
        <v>223</v>
      </c>
      <c r="R1225" s="370">
        <f t="shared" si="165"/>
        <v>1789.4399999999998</v>
      </c>
      <c r="T1225" s="35">
        <f t="shared" si="166"/>
        <v>1789.4399999999998</v>
      </c>
      <c r="W1225" s="361"/>
      <c r="Z1225" s="370">
        <v>0.5</v>
      </c>
      <c r="AA1225" s="368" t="s">
        <v>223</v>
      </c>
      <c r="AB1225" s="368"/>
      <c r="AC1225" s="356" t="s">
        <v>153</v>
      </c>
      <c r="AD1225" s="381">
        <f t="shared" si="164"/>
        <v>781.19999999999993</v>
      </c>
      <c r="AE1225" s="356" t="s">
        <v>223</v>
      </c>
      <c r="AF1225" s="370">
        <f>(Z1225*AD1225)</f>
        <v>390.59999999999997</v>
      </c>
      <c r="AG1225" s="395" t="str">
        <f t="shared" si="163"/>
        <v>|</v>
      </c>
      <c r="AI1225" s="356" t="s">
        <v>1256</v>
      </c>
    </row>
    <row r="1226" spans="6:35" ht="15.75">
      <c r="F1226" s="370">
        <v>2.2000000000000002</v>
      </c>
      <c r="G1226" s="368" t="s">
        <v>223</v>
      </c>
      <c r="H1226" s="356" t="s">
        <v>153</v>
      </c>
      <c r="I1226" s="370">
        <f>(C12)</f>
        <v>781.19999999999993</v>
      </c>
      <c r="J1226" s="356" t="s">
        <v>223</v>
      </c>
      <c r="K1226" s="370">
        <f>(F1226*I1226)</f>
        <v>1718.64</v>
      </c>
      <c r="M1226" s="370">
        <v>0.5</v>
      </c>
      <c r="N1226" s="368" t="s">
        <v>223</v>
      </c>
      <c r="O1226" s="356" t="s">
        <v>153</v>
      </c>
      <c r="P1226" s="370">
        <f>P1221</f>
        <v>781.19999999999993</v>
      </c>
      <c r="Q1226" s="357" t="s">
        <v>223</v>
      </c>
      <c r="R1226" s="370">
        <f t="shared" si="165"/>
        <v>390.59999999999997</v>
      </c>
      <c r="T1226" s="35">
        <f t="shared" si="166"/>
        <v>390.59999999999997</v>
      </c>
      <c r="W1226" s="361"/>
      <c r="Z1226" s="370">
        <v>1.1000000000000001</v>
      </c>
      <c r="AA1226" s="368" t="s">
        <v>223</v>
      </c>
      <c r="AB1226" s="368"/>
      <c r="AC1226" s="356" t="s">
        <v>154</v>
      </c>
      <c r="AD1226" s="381">
        <f t="shared" si="164"/>
        <v>640.79999999999995</v>
      </c>
      <c r="AE1226" s="356" t="s">
        <v>223</v>
      </c>
      <c r="AF1226" s="370">
        <f>(Z1226*AD1226)</f>
        <v>704.88</v>
      </c>
      <c r="AG1226" s="395" t="str">
        <f t="shared" si="163"/>
        <v>|</v>
      </c>
      <c r="AI1226" s="356" t="s">
        <v>1256</v>
      </c>
    </row>
    <row r="1227" spans="6:35" ht="15.75">
      <c r="F1227" s="370">
        <v>2.2000000000000002</v>
      </c>
      <c r="G1227" s="368" t="s">
        <v>223</v>
      </c>
      <c r="H1227" s="356" t="s">
        <v>154</v>
      </c>
      <c r="I1227" s="370">
        <f>(C13)</f>
        <v>640.79999999999995</v>
      </c>
      <c r="J1227" s="356" t="s">
        <v>223</v>
      </c>
      <c r="K1227" s="370">
        <f>(F1227*I1227)</f>
        <v>1409.76</v>
      </c>
      <c r="M1227" s="370">
        <v>1.1000000000000001</v>
      </c>
      <c r="N1227" s="368" t="s">
        <v>223</v>
      </c>
      <c r="O1227" s="356" t="s">
        <v>154</v>
      </c>
      <c r="P1227" s="370">
        <f>P1222</f>
        <v>640.79999999999995</v>
      </c>
      <c r="Q1227" s="357" t="s">
        <v>223</v>
      </c>
      <c r="R1227" s="370">
        <f t="shared" si="165"/>
        <v>704.88</v>
      </c>
      <c r="T1227" s="35">
        <f t="shared" si="166"/>
        <v>704.88</v>
      </c>
      <c r="W1227" s="361"/>
      <c r="AA1227" s="368" t="s">
        <v>128</v>
      </c>
      <c r="AB1227" s="368"/>
      <c r="AC1227" s="356" t="s">
        <v>129</v>
      </c>
      <c r="AD1227" s="381">
        <f t="shared" si="164"/>
        <v>0</v>
      </c>
      <c r="AE1227" s="356" t="s">
        <v>128</v>
      </c>
      <c r="AF1227" s="370">
        <v>0</v>
      </c>
      <c r="AG1227" s="395" t="str">
        <f t="shared" si="163"/>
        <v>|</v>
      </c>
      <c r="AI1227" s="356" t="s">
        <v>1256</v>
      </c>
    </row>
    <row r="1228" spans="6:35" ht="15.75">
      <c r="F1228" s="407">
        <v>22</v>
      </c>
      <c r="G1228" s="368" t="s">
        <v>213</v>
      </c>
      <c r="H1228" s="356" t="s">
        <v>125</v>
      </c>
      <c r="I1228" s="370">
        <f>(C67)</f>
        <v>6372.14</v>
      </c>
      <c r="J1228" s="356" t="s">
        <v>124</v>
      </c>
      <c r="K1228" s="370">
        <f>(F1228*I1228)/1000</f>
        <v>140.18708000000001</v>
      </c>
      <c r="N1228" s="368" t="s">
        <v>128</v>
      </c>
      <c r="O1228" s="356" t="s">
        <v>129</v>
      </c>
      <c r="Q1228" s="357" t="s">
        <v>128</v>
      </c>
      <c r="R1228" s="370">
        <v>4.5999999999999996</v>
      </c>
      <c r="S1228" s="36">
        <f>3.27-0.52</f>
        <v>2.75</v>
      </c>
      <c r="T1228" s="35">
        <v>2.74</v>
      </c>
      <c r="W1228" s="361"/>
      <c r="AA1228" s="358"/>
      <c r="AB1228" s="358"/>
      <c r="AD1228" s="381">
        <f t="shared" si="164"/>
        <v>0</v>
      </c>
      <c r="AE1228" s="360"/>
      <c r="AF1228" s="363" t="s">
        <v>117</v>
      </c>
      <c r="AG1228" s="395" t="str">
        <f t="shared" si="163"/>
        <v>|</v>
      </c>
      <c r="AI1228" s="356" t="s">
        <v>1256</v>
      </c>
    </row>
    <row r="1229" spans="6:35" ht="15.75">
      <c r="F1229" s="370">
        <v>1.6</v>
      </c>
      <c r="G1229" s="368" t="s">
        <v>223</v>
      </c>
      <c r="H1229" s="356" t="s">
        <v>152</v>
      </c>
      <c r="I1229" s="370">
        <f>(C11)</f>
        <v>1118.3999999999999</v>
      </c>
      <c r="J1229" s="356" t="s">
        <v>223</v>
      </c>
      <c r="K1229" s="370">
        <f>(F1229*I1229)</f>
        <v>1789.4399999999998</v>
      </c>
      <c r="N1229" s="358"/>
      <c r="Q1229" s="361"/>
      <c r="R1229" s="363" t="s">
        <v>117</v>
      </c>
      <c r="W1229" s="361"/>
      <c r="AA1229" s="358"/>
      <c r="AB1229" s="358"/>
      <c r="AC1229" s="356" t="s">
        <v>176</v>
      </c>
      <c r="AE1229" s="360"/>
      <c r="AF1229" s="370">
        <f>SUM(AF1215:AF1227)</f>
        <v>24427.043812</v>
      </c>
      <c r="AG1229" s="395" t="str">
        <f t="shared" si="163"/>
        <v>|::</v>
      </c>
      <c r="AI1229" s="356" t="s">
        <v>1001</v>
      </c>
    </row>
    <row r="1230" spans="6:35" ht="15.75">
      <c r="F1230" s="370">
        <v>0.5</v>
      </c>
      <c r="G1230" s="368" t="s">
        <v>223</v>
      </c>
      <c r="H1230" s="356" t="s">
        <v>153</v>
      </c>
      <c r="I1230" s="370">
        <f>(C12)</f>
        <v>781.19999999999993</v>
      </c>
      <c r="J1230" s="356" t="s">
        <v>223</v>
      </c>
      <c r="K1230" s="370">
        <f>(F1230*I1230)</f>
        <v>390.59999999999997</v>
      </c>
      <c r="N1230" s="358"/>
      <c r="O1230" s="356" t="s">
        <v>176</v>
      </c>
      <c r="Q1230" s="361"/>
      <c r="R1230" s="370">
        <f>SUM(R1217:R1228)</f>
        <v>16319.293812000002</v>
      </c>
      <c r="T1230" s="370">
        <f>SUM(T1217:T1229)</f>
        <v>16727.633812000004</v>
      </c>
      <c r="W1230" s="361"/>
      <c r="AA1230" s="358"/>
      <c r="AB1230" s="358"/>
      <c r="AE1230" s="360"/>
      <c r="AF1230" s="363" t="s">
        <v>117</v>
      </c>
      <c r="AG1230" s="395">
        <f t="shared" si="163"/>
        <v>0</v>
      </c>
    </row>
    <row r="1231" spans="6:35" ht="15.75">
      <c r="F1231" s="370">
        <v>1.1000000000000001</v>
      </c>
      <c r="G1231" s="368" t="s">
        <v>223</v>
      </c>
      <c r="H1231" s="356" t="s">
        <v>154</v>
      </c>
      <c r="I1231" s="370">
        <f>(C13)</f>
        <v>640.79999999999995</v>
      </c>
      <c r="J1231" s="356" t="s">
        <v>223</v>
      </c>
      <c r="K1231" s="370">
        <f>(F1231*I1231)</f>
        <v>704.88</v>
      </c>
      <c r="N1231" s="358"/>
      <c r="Q1231" s="361"/>
      <c r="R1231" s="363" t="s">
        <v>117</v>
      </c>
      <c r="W1231" s="361"/>
      <c r="AA1231" s="358"/>
      <c r="AB1231" s="358"/>
      <c r="AC1231" s="372" t="s">
        <v>177</v>
      </c>
      <c r="AE1231" s="360"/>
      <c r="AF1231" s="369">
        <f>(AF1229/10)</f>
        <v>2442.7043812000002</v>
      </c>
      <c r="AG1231" s="395">
        <f t="shared" si="163"/>
        <v>0</v>
      </c>
    </row>
    <row r="1232" spans="6:35" ht="15.75">
      <c r="F1232" s="356" t="s">
        <v>620</v>
      </c>
      <c r="H1232" s="356" t="s">
        <v>2054</v>
      </c>
      <c r="I1232" s="356" t="s">
        <v>114</v>
      </c>
      <c r="K1232" s="356" t="s">
        <v>114</v>
      </c>
      <c r="N1232" s="358"/>
      <c r="O1232" s="359" t="s">
        <v>177</v>
      </c>
      <c r="Q1232" s="361"/>
      <c r="R1232" s="369">
        <f>(R1230/10)</f>
        <v>1631.9293812000001</v>
      </c>
      <c r="S1232" s="36">
        <f>R1232-975.62</f>
        <v>656.30938120000008</v>
      </c>
      <c r="T1232" s="369">
        <f>(T1230/10)</f>
        <v>1672.7633812000004</v>
      </c>
      <c r="W1232" s="361"/>
      <c r="AA1232" s="358"/>
      <c r="AB1232" s="358"/>
      <c r="AE1232" s="360"/>
      <c r="AF1232" s="363" t="s">
        <v>156</v>
      </c>
      <c r="AG1232" s="395" t="str">
        <f t="shared" si="163"/>
        <v>|</v>
      </c>
      <c r="AI1232" s="356" t="s">
        <v>1256</v>
      </c>
    </row>
    <row r="1233" spans="6:35" ht="19.5">
      <c r="F1233" s="370">
        <v>1</v>
      </c>
      <c r="G1233" s="368" t="s">
        <v>128</v>
      </c>
      <c r="H1233" s="356" t="s">
        <v>2055</v>
      </c>
      <c r="I1233" s="370">
        <f>(C57)</f>
        <v>28.574999999999999</v>
      </c>
      <c r="J1233" s="356" t="s">
        <v>128</v>
      </c>
      <c r="K1233" s="370">
        <f>(F1233*I1233)</f>
        <v>28.574999999999999</v>
      </c>
      <c r="N1233" s="358"/>
      <c r="O1233" s="546" t="s">
        <v>2056</v>
      </c>
      <c r="P1233" s="411"/>
      <c r="Q1233" s="361"/>
      <c r="W1233" s="361"/>
      <c r="AG1233" s="395" t="str">
        <f t="shared" si="163"/>
        <v>|</v>
      </c>
      <c r="AI1233" s="356" t="s">
        <v>1256</v>
      </c>
    </row>
    <row r="1234" spans="6:35" ht="15.75">
      <c r="F1234" s="370">
        <v>1</v>
      </c>
      <c r="G1234" s="368" t="s">
        <v>128</v>
      </c>
      <c r="H1234" s="356" t="s">
        <v>2057</v>
      </c>
      <c r="I1234" s="370">
        <f>(C58)</f>
        <v>11.9</v>
      </c>
      <c r="J1234" s="356" t="s">
        <v>128</v>
      </c>
      <c r="K1234" s="370">
        <f>(F1234*I1234)</f>
        <v>11.9</v>
      </c>
      <c r="N1234" s="358"/>
      <c r="Q1234" s="361"/>
      <c r="W1234" s="361"/>
      <c r="AG1234" s="395" t="str">
        <f t="shared" si="163"/>
        <v>|</v>
      </c>
      <c r="AI1234" s="356" t="s">
        <v>1256</v>
      </c>
    </row>
    <row r="1235" spans="6:35" ht="15.75">
      <c r="F1235" s="370">
        <v>1</v>
      </c>
      <c r="G1235" s="368" t="s">
        <v>128</v>
      </c>
      <c r="H1235" s="356" t="s">
        <v>2058</v>
      </c>
      <c r="I1235" s="370">
        <f>(C28)</f>
        <v>86.399999999999991</v>
      </c>
      <c r="J1235" s="356" t="s">
        <v>128</v>
      </c>
      <c r="K1235" s="370">
        <f>(F1235*I1235)</f>
        <v>86.399999999999991</v>
      </c>
      <c r="M1235" s="549"/>
      <c r="N1235" s="550"/>
      <c r="O1235" s="549"/>
      <c r="P1235" s="549"/>
      <c r="Q1235" s="361"/>
      <c r="W1235" s="361"/>
      <c r="AG1235" s="395" t="str">
        <f t="shared" si="163"/>
        <v>|</v>
      </c>
      <c r="AI1235" s="356" t="s">
        <v>1256</v>
      </c>
    </row>
    <row r="1236" spans="6:35" ht="19.5">
      <c r="F1236" s="370">
        <v>1.1000000000000001</v>
      </c>
      <c r="G1236" s="368" t="s">
        <v>223</v>
      </c>
      <c r="H1236" s="356" t="s">
        <v>2059</v>
      </c>
      <c r="I1236" s="370">
        <f>(C29)</f>
        <v>922.8</v>
      </c>
      <c r="J1236" s="356" t="s">
        <v>223</v>
      </c>
      <c r="K1236" s="370">
        <f>(F1236*I1236)</f>
        <v>1015.08</v>
      </c>
      <c r="M1236" s="370">
        <v>10</v>
      </c>
      <c r="N1236" s="368" t="s">
        <v>107</v>
      </c>
      <c r="O1236" s="356" t="s">
        <v>2060</v>
      </c>
      <c r="P1236" s="394">
        <v>658</v>
      </c>
      <c r="Q1236" s="357" t="s">
        <v>107</v>
      </c>
      <c r="R1236" s="370">
        <f>M1236*P1236</f>
        <v>6580</v>
      </c>
      <c r="T1236" s="358"/>
      <c r="U1236" s="546" t="s">
        <v>2061</v>
      </c>
      <c r="W1236" s="361"/>
      <c r="AG1236" s="395" t="str">
        <f t="shared" si="163"/>
        <v>|</v>
      </c>
      <c r="AI1236" s="356" t="s">
        <v>1256</v>
      </c>
    </row>
    <row r="1237" spans="6:35" ht="15.75">
      <c r="F1237" s="370">
        <v>2.2000000000000002</v>
      </c>
      <c r="G1237" s="368" t="s">
        <v>223</v>
      </c>
      <c r="H1237" s="356" t="s">
        <v>2062</v>
      </c>
      <c r="I1237" s="370">
        <f>(C13)</f>
        <v>640.79999999999995</v>
      </c>
      <c r="J1237" s="356" t="s">
        <v>223</v>
      </c>
      <c r="K1237" s="370">
        <f>(F1237*I1237)</f>
        <v>1409.76</v>
      </c>
      <c r="M1237" s="370">
        <v>0.21</v>
      </c>
      <c r="N1237" s="368" t="s">
        <v>108</v>
      </c>
      <c r="O1237" s="356" t="s">
        <v>221</v>
      </c>
      <c r="P1237" s="370">
        <f>P1260</f>
        <v>4976.9571999999998</v>
      </c>
      <c r="Q1237" s="357" t="s">
        <v>108</v>
      </c>
      <c r="R1237" s="370">
        <f>(M1237*P1237)</f>
        <v>1045.161012</v>
      </c>
      <c r="T1237" s="358"/>
      <c r="W1237" s="361"/>
      <c r="AG1237" s="395" t="str">
        <f t="shared" si="163"/>
        <v>|</v>
      </c>
      <c r="AI1237" s="356" t="s">
        <v>1256</v>
      </c>
    </row>
    <row r="1238" spans="6:35" ht="15.75">
      <c r="G1238" s="368" t="s">
        <v>128</v>
      </c>
      <c r="H1238" s="356" t="s">
        <v>129</v>
      </c>
      <c r="J1238" s="356" t="s">
        <v>128</v>
      </c>
      <c r="K1238" s="370">
        <v>0</v>
      </c>
      <c r="M1238" s="370">
        <v>1.1000000000000001</v>
      </c>
      <c r="N1238" s="368" t="s">
        <v>223</v>
      </c>
      <c r="O1238" s="356" t="s">
        <v>162</v>
      </c>
      <c r="P1238" s="370">
        <f t="shared" ref="P1238:P1246" si="167">P1261</f>
        <v>1198.8</v>
      </c>
      <c r="Q1238" s="357" t="s">
        <v>223</v>
      </c>
      <c r="R1238" s="370">
        <f>(M1238*P1238)</f>
        <v>1318.68</v>
      </c>
      <c r="T1238" s="358"/>
      <c r="W1238" s="361"/>
      <c r="AG1238" s="395" t="str">
        <f t="shared" si="163"/>
        <v>|</v>
      </c>
      <c r="AI1238" s="356" t="s">
        <v>1256</v>
      </c>
    </row>
    <row r="1239" spans="6:35" ht="15.75">
      <c r="K1239" s="363" t="s">
        <v>117</v>
      </c>
      <c r="M1239" s="370">
        <v>1.1000000000000001</v>
      </c>
      <c r="N1239" s="368" t="s">
        <v>223</v>
      </c>
      <c r="O1239" s="356" t="s">
        <v>152</v>
      </c>
      <c r="P1239" s="370">
        <f t="shared" si="167"/>
        <v>1118.3999999999999</v>
      </c>
      <c r="Q1239" s="357" t="s">
        <v>223</v>
      </c>
      <c r="R1239" s="370">
        <f>(M1239*P1239)</f>
        <v>1230.24</v>
      </c>
      <c r="S1239" s="407">
        <v>10</v>
      </c>
      <c r="T1239" s="368" t="s">
        <v>107</v>
      </c>
      <c r="U1239" s="356" t="s">
        <v>2063</v>
      </c>
      <c r="V1239" s="508">
        <v>658</v>
      </c>
      <c r="W1239" s="357" t="s">
        <v>107</v>
      </c>
      <c r="X1239" s="370">
        <f>S1239*V1239</f>
        <v>6580</v>
      </c>
      <c r="Y1239" s="370"/>
      <c r="Z1239" s="412">
        <v>29.5</v>
      </c>
      <c r="AA1239" s="368" t="s">
        <v>122</v>
      </c>
      <c r="AB1239" s="368"/>
      <c r="AC1239" s="359" t="s">
        <v>2064</v>
      </c>
      <c r="AG1239" s="395" t="str">
        <f t="shared" si="163"/>
        <v>|</v>
      </c>
      <c r="AI1239" s="356" t="s">
        <v>1256</v>
      </c>
    </row>
    <row r="1240" spans="6:35" ht="15.75">
      <c r="H1240" s="356" t="s">
        <v>176</v>
      </c>
      <c r="K1240" s="370">
        <f>SUM(K1220:K1238)</f>
        <v>14234.960692000001</v>
      </c>
      <c r="M1240" s="370">
        <v>2.2000000000000002</v>
      </c>
      <c r="N1240" s="368" t="s">
        <v>223</v>
      </c>
      <c r="O1240" s="356" t="s">
        <v>153</v>
      </c>
      <c r="P1240" s="370">
        <f t="shared" si="167"/>
        <v>781.19999999999993</v>
      </c>
      <c r="Q1240" s="357" t="s">
        <v>223</v>
      </c>
      <c r="R1240" s="370">
        <f>(M1240*P1240)</f>
        <v>1718.64</v>
      </c>
      <c r="S1240" s="407">
        <v>0.21</v>
      </c>
      <c r="T1240" s="368" t="s">
        <v>108</v>
      </c>
      <c r="U1240" s="356" t="s">
        <v>221</v>
      </c>
      <c r="V1240" s="370">
        <f t="shared" ref="V1240:V1249" si="168">P1260</f>
        <v>4976.9571999999998</v>
      </c>
      <c r="W1240" s="357" t="s">
        <v>108</v>
      </c>
      <c r="X1240" s="370">
        <f>(S1240*V1240)</f>
        <v>1045.161012</v>
      </c>
      <c r="Y1240" s="370"/>
      <c r="AA1240" s="358"/>
      <c r="AB1240" s="358"/>
      <c r="AC1240" s="356"/>
      <c r="AG1240" s="395" t="str">
        <f t="shared" si="163"/>
        <v>|</v>
      </c>
      <c r="AI1240" s="356" t="s">
        <v>1256</v>
      </c>
    </row>
    <row r="1241" spans="6:35" ht="15.75">
      <c r="K1241" s="363" t="s">
        <v>117</v>
      </c>
      <c r="M1241" s="370">
        <v>2.2000000000000002</v>
      </c>
      <c r="N1241" s="368" t="s">
        <v>223</v>
      </c>
      <c r="O1241" s="356" t="s">
        <v>154</v>
      </c>
      <c r="P1241" s="370">
        <f t="shared" si="167"/>
        <v>640.79999999999995</v>
      </c>
      <c r="Q1241" s="357" t="s">
        <v>223</v>
      </c>
      <c r="R1241" s="370">
        <f>(M1241*P1241)</f>
        <v>1409.76</v>
      </c>
      <c r="S1241" s="407">
        <v>1.1000000000000001</v>
      </c>
      <c r="T1241" s="368" t="s">
        <v>223</v>
      </c>
      <c r="U1241" s="356" t="s">
        <v>162</v>
      </c>
      <c r="V1241" s="370">
        <f t="shared" si="168"/>
        <v>1198.8</v>
      </c>
      <c r="W1241" s="357" t="s">
        <v>223</v>
      </c>
      <c r="X1241" s="370">
        <f>(S1241*V1241)</f>
        <v>1318.68</v>
      </c>
      <c r="Y1241" s="370"/>
      <c r="AA1241" s="358"/>
      <c r="AB1241" s="358"/>
      <c r="AC1241" s="356"/>
      <c r="AG1241" s="395" t="str">
        <f t="shared" si="163"/>
        <v>|</v>
      </c>
      <c r="AI1241" s="356" t="s">
        <v>1256</v>
      </c>
    </row>
    <row r="1242" spans="6:35" ht="15.75">
      <c r="F1242" s="356" t="s">
        <v>114</v>
      </c>
      <c r="M1242" s="407">
        <v>20</v>
      </c>
      <c r="N1242" s="368" t="s">
        <v>213</v>
      </c>
      <c r="O1242" s="356" t="s">
        <v>125</v>
      </c>
      <c r="P1242" s="370">
        <f t="shared" si="167"/>
        <v>6372.14</v>
      </c>
      <c r="Q1242" s="357" t="s">
        <v>124</v>
      </c>
      <c r="R1242" s="370">
        <f>(M1242*P1242)/1000</f>
        <v>127.44280000000001</v>
      </c>
      <c r="S1242" s="407">
        <v>1.1000000000000001</v>
      </c>
      <c r="T1242" s="368" t="s">
        <v>223</v>
      </c>
      <c r="U1242" s="356" t="s">
        <v>152</v>
      </c>
      <c r="V1242" s="370">
        <f t="shared" si="168"/>
        <v>1118.3999999999999</v>
      </c>
      <c r="W1242" s="357" t="s">
        <v>223</v>
      </c>
      <c r="X1242" s="370">
        <f>(S1242*V1242)</f>
        <v>1230.24</v>
      </c>
      <c r="Y1242" s="370"/>
      <c r="AA1242" s="358"/>
      <c r="AB1242" s="358"/>
      <c r="AC1242" s="363" t="s">
        <v>117</v>
      </c>
      <c r="AD1242" s="363" t="s">
        <v>117</v>
      </c>
      <c r="AE1242" s="360"/>
      <c r="AG1242" s="395" t="str">
        <f t="shared" si="163"/>
        <v>|</v>
      </c>
      <c r="AI1242" s="356" t="s">
        <v>1256</v>
      </c>
    </row>
    <row r="1243" spans="6:35" ht="30">
      <c r="H1243" s="372" t="s">
        <v>177</v>
      </c>
      <c r="K1243" s="369">
        <f>(K1240/10)</f>
        <v>1423.4960692</v>
      </c>
      <c r="M1243" s="407">
        <v>2</v>
      </c>
      <c r="N1243" s="368" t="s">
        <v>213</v>
      </c>
      <c r="O1243" s="356" t="s">
        <v>369</v>
      </c>
      <c r="P1243" s="370">
        <f t="shared" si="167"/>
        <v>36.1</v>
      </c>
      <c r="Q1243" s="357" t="s">
        <v>213</v>
      </c>
      <c r="R1243" s="370">
        <f>(M1243*P1243)</f>
        <v>72.2</v>
      </c>
      <c r="S1243" s="407">
        <v>2.2000000000000002</v>
      </c>
      <c r="T1243" s="368" t="s">
        <v>223</v>
      </c>
      <c r="U1243" s="356" t="s">
        <v>153</v>
      </c>
      <c r="V1243" s="370">
        <f t="shared" si="168"/>
        <v>781.19999999999993</v>
      </c>
      <c r="W1243" s="357" t="s">
        <v>223</v>
      </c>
      <c r="X1243" s="370">
        <f>(S1243*V1243)</f>
        <v>1718.64</v>
      </c>
      <c r="Y1243" s="370"/>
      <c r="Z1243" s="370">
        <v>10</v>
      </c>
      <c r="AA1243" s="368" t="s">
        <v>107</v>
      </c>
      <c r="AB1243" s="368"/>
      <c r="AC1243" s="445" t="s">
        <v>2065</v>
      </c>
      <c r="AD1243" s="394">
        <v>793</v>
      </c>
      <c r="AE1243" s="356" t="s">
        <v>107</v>
      </c>
      <c r="AF1243" s="370">
        <f>(Z1243*AD1243)</f>
        <v>7930</v>
      </c>
      <c r="AG1243" s="395" t="str">
        <f t="shared" si="163"/>
        <v>|</v>
      </c>
      <c r="AI1243" s="356" t="s">
        <v>1256</v>
      </c>
    </row>
    <row r="1244" spans="6:35" ht="15.75">
      <c r="F1244" s="356" t="s">
        <v>114</v>
      </c>
      <c r="M1244" s="370">
        <v>1.6</v>
      </c>
      <c r="N1244" s="368" t="s">
        <v>223</v>
      </c>
      <c r="O1244" s="356" t="s">
        <v>152</v>
      </c>
      <c r="P1244" s="370">
        <f t="shared" si="167"/>
        <v>1118.3999999999999</v>
      </c>
      <c r="Q1244" s="357" t="s">
        <v>223</v>
      </c>
      <c r="R1244" s="370">
        <f>(M1244*P1244)</f>
        <v>1789.4399999999998</v>
      </c>
      <c r="S1244" s="407">
        <v>2.2000000000000002</v>
      </c>
      <c r="T1244" s="368" t="s">
        <v>223</v>
      </c>
      <c r="U1244" s="356" t="s">
        <v>154</v>
      </c>
      <c r="V1244" s="370">
        <f t="shared" si="168"/>
        <v>640.79999999999995</v>
      </c>
      <c r="W1244" s="357" t="s">
        <v>223</v>
      </c>
      <c r="X1244" s="370">
        <f>(S1244*V1244)</f>
        <v>1409.76</v>
      </c>
      <c r="Y1244" s="370"/>
      <c r="Z1244" s="370">
        <v>0.21</v>
      </c>
      <c r="AA1244" s="368" t="s">
        <v>108</v>
      </c>
      <c r="AB1244" s="368"/>
      <c r="AC1244" s="356" t="s">
        <v>221</v>
      </c>
      <c r="AD1244" s="370">
        <f>V1240</f>
        <v>4976.9571999999998</v>
      </c>
      <c r="AE1244" s="356" t="s">
        <v>108</v>
      </c>
      <c r="AF1244" s="370">
        <f>(Z1244*AD1244)</f>
        <v>1045.161012</v>
      </c>
      <c r="AG1244" s="395" t="str">
        <f t="shared" si="163"/>
        <v>|</v>
      </c>
      <c r="AI1244" s="356" t="s">
        <v>1256</v>
      </c>
    </row>
    <row r="1245" spans="6:35" ht="15.75">
      <c r="K1245" s="363" t="s">
        <v>156</v>
      </c>
      <c r="M1245" s="370">
        <v>0.5</v>
      </c>
      <c r="N1245" s="368" t="s">
        <v>223</v>
      </c>
      <c r="O1245" s="356" t="s">
        <v>153</v>
      </c>
      <c r="P1245" s="370">
        <f t="shared" si="167"/>
        <v>781.19999999999993</v>
      </c>
      <c r="Q1245" s="357" t="s">
        <v>223</v>
      </c>
      <c r="R1245" s="370">
        <f>(M1245*P1245)</f>
        <v>390.59999999999997</v>
      </c>
      <c r="S1245" s="407">
        <v>20</v>
      </c>
      <c r="T1245" s="368" t="s">
        <v>213</v>
      </c>
      <c r="U1245" s="356" t="s">
        <v>125</v>
      </c>
      <c r="V1245" s="370">
        <f t="shared" si="168"/>
        <v>6372.14</v>
      </c>
      <c r="W1245" s="357" t="s">
        <v>124</v>
      </c>
      <c r="X1245" s="370">
        <f>(S1245*V1245)/1000</f>
        <v>127.44280000000001</v>
      </c>
      <c r="Y1245" s="370"/>
      <c r="AA1245" s="358"/>
      <c r="AB1245" s="358"/>
      <c r="AC1245" s="356" t="s">
        <v>222</v>
      </c>
      <c r="AD1245" s="356" t="s">
        <v>114</v>
      </c>
      <c r="AE1245" s="360"/>
      <c r="AF1245" s="356" t="s">
        <v>114</v>
      </c>
      <c r="AG1245" s="395" t="str">
        <f t="shared" si="163"/>
        <v>|</v>
      </c>
      <c r="AI1245" s="356" t="s">
        <v>1256</v>
      </c>
    </row>
    <row r="1246" spans="6:35" ht="15.75">
      <c r="F1246" s="412">
        <v>29.5</v>
      </c>
      <c r="G1246" s="368" t="s">
        <v>122</v>
      </c>
      <c r="H1246" s="356" t="s">
        <v>217</v>
      </c>
      <c r="M1246" s="370">
        <v>1.1000000000000001</v>
      </c>
      <c r="N1246" s="368" t="s">
        <v>223</v>
      </c>
      <c r="O1246" s="356" t="s">
        <v>154</v>
      </c>
      <c r="P1246" s="370">
        <f t="shared" si="167"/>
        <v>640.79999999999995</v>
      </c>
      <c r="Q1246" s="357" t="s">
        <v>223</v>
      </c>
      <c r="R1246" s="370">
        <f>(M1246*P1246)</f>
        <v>704.88</v>
      </c>
      <c r="S1246" s="407">
        <v>2</v>
      </c>
      <c r="T1246" s="368" t="s">
        <v>213</v>
      </c>
      <c r="U1246" s="356" t="s">
        <v>369</v>
      </c>
      <c r="V1246" s="370">
        <f t="shared" si="168"/>
        <v>36.1</v>
      </c>
      <c r="W1246" s="357" t="s">
        <v>213</v>
      </c>
      <c r="X1246" s="370">
        <f>(S1246*V1246)</f>
        <v>72.2</v>
      </c>
      <c r="Y1246" s="370"/>
      <c r="Z1246" s="370">
        <v>1.1000000000000001</v>
      </c>
      <c r="AA1246" s="368" t="s">
        <v>223</v>
      </c>
      <c r="AB1246" s="368"/>
      <c r="AC1246" s="356" t="s">
        <v>162</v>
      </c>
      <c r="AD1246" s="370">
        <f>V1241</f>
        <v>1198.8</v>
      </c>
      <c r="AE1246" s="356" t="s">
        <v>223</v>
      </c>
      <c r="AF1246" s="370">
        <f>(Z1246*AD1246)</f>
        <v>1318.68</v>
      </c>
      <c r="AG1246" s="395" t="str">
        <f t="shared" si="163"/>
        <v>|</v>
      </c>
      <c r="AI1246" s="356" t="s">
        <v>1256</v>
      </c>
    </row>
    <row r="1247" spans="6:35" ht="15.75">
      <c r="H1247" s="356" t="s">
        <v>218</v>
      </c>
      <c r="N1247" s="368" t="s">
        <v>128</v>
      </c>
      <c r="O1247" s="356" t="s">
        <v>129</v>
      </c>
      <c r="Q1247" s="357" t="s">
        <v>128</v>
      </c>
      <c r="R1247" s="370">
        <v>0</v>
      </c>
      <c r="S1247" s="407">
        <v>1.6</v>
      </c>
      <c r="T1247" s="368" t="s">
        <v>223</v>
      </c>
      <c r="U1247" s="356" t="s">
        <v>152</v>
      </c>
      <c r="V1247" s="370">
        <f t="shared" si="168"/>
        <v>1118.3999999999999</v>
      </c>
      <c r="W1247" s="357" t="s">
        <v>223</v>
      </c>
      <c r="X1247" s="370">
        <f>(S1247*V1247)</f>
        <v>1789.4399999999998</v>
      </c>
      <c r="Y1247" s="370"/>
      <c r="Z1247" s="370">
        <v>1.1000000000000001</v>
      </c>
      <c r="AA1247" s="368" t="s">
        <v>223</v>
      </c>
      <c r="AB1247" s="368"/>
      <c r="AC1247" s="356" t="s">
        <v>152</v>
      </c>
      <c r="AD1247" s="370">
        <f>V1242</f>
        <v>1118.3999999999999</v>
      </c>
      <c r="AE1247" s="356" t="s">
        <v>223</v>
      </c>
      <c r="AF1247" s="370">
        <f>(Z1247*AD1247)</f>
        <v>1230.24</v>
      </c>
      <c r="AG1247" s="395" t="str">
        <f t="shared" si="163"/>
        <v>|</v>
      </c>
      <c r="AI1247" s="356" t="s">
        <v>1256</v>
      </c>
    </row>
    <row r="1248" spans="6:35" ht="15.75">
      <c r="H1248" s="356" t="s">
        <v>219</v>
      </c>
      <c r="N1248" s="358"/>
      <c r="Q1248" s="361"/>
      <c r="R1248" s="363"/>
      <c r="S1248" s="407">
        <v>0.5</v>
      </c>
      <c r="T1248" s="368" t="s">
        <v>223</v>
      </c>
      <c r="U1248" s="356" t="s">
        <v>153</v>
      </c>
      <c r="V1248" s="370">
        <f t="shared" si="168"/>
        <v>781.19999999999993</v>
      </c>
      <c r="W1248" s="357" t="s">
        <v>223</v>
      </c>
      <c r="X1248" s="370">
        <f>(S1248*V1248)</f>
        <v>390.59999999999997</v>
      </c>
      <c r="Y1248" s="370"/>
      <c r="Z1248" s="370">
        <v>2.2000000000000002</v>
      </c>
      <c r="AA1248" s="368" t="s">
        <v>223</v>
      </c>
      <c r="AB1248" s="368"/>
      <c r="AC1248" s="356" t="s">
        <v>153</v>
      </c>
      <c r="AD1248" s="370">
        <f>V1243</f>
        <v>781.19999999999993</v>
      </c>
      <c r="AE1248" s="356" t="s">
        <v>223</v>
      </c>
      <c r="AF1248" s="370">
        <f>(Z1248*AD1248)</f>
        <v>1718.64</v>
      </c>
      <c r="AG1248" s="395" t="str">
        <f t="shared" si="163"/>
        <v>|</v>
      </c>
      <c r="AI1248" s="356" t="s">
        <v>1256</v>
      </c>
    </row>
    <row r="1249" spans="6:35" ht="15.75">
      <c r="H1249" s="363" t="s">
        <v>117</v>
      </c>
      <c r="I1249" s="363" t="s">
        <v>117</v>
      </c>
      <c r="N1249" s="358"/>
      <c r="O1249" s="356" t="s">
        <v>176</v>
      </c>
      <c r="Q1249" s="361"/>
      <c r="R1249" s="370">
        <f>SUM(R1236:R1247)</f>
        <v>16387.043812000004</v>
      </c>
      <c r="S1249" s="407">
        <v>1.1000000000000001</v>
      </c>
      <c r="T1249" s="368" t="s">
        <v>223</v>
      </c>
      <c r="U1249" s="356" t="s">
        <v>154</v>
      </c>
      <c r="V1249" s="370">
        <f t="shared" si="168"/>
        <v>640.79999999999995</v>
      </c>
      <c r="W1249" s="357" t="s">
        <v>223</v>
      </c>
      <c r="X1249" s="370">
        <f>(S1249*V1249)</f>
        <v>704.88</v>
      </c>
      <c r="Y1249" s="370"/>
      <c r="Z1249" s="370">
        <v>2.2000000000000002</v>
      </c>
      <c r="AA1249" s="368" t="s">
        <v>223</v>
      </c>
      <c r="AB1249" s="368"/>
      <c r="AC1249" s="356" t="s">
        <v>154</v>
      </c>
      <c r="AD1249" s="370">
        <f>V1244</f>
        <v>640.79999999999995</v>
      </c>
      <c r="AE1249" s="356" t="s">
        <v>223</v>
      </c>
      <c r="AF1249" s="370">
        <f>(Z1249*AD1249)</f>
        <v>1409.76</v>
      </c>
      <c r="AG1249" s="395" t="str">
        <f t="shared" si="163"/>
        <v>|</v>
      </c>
      <c r="AI1249" s="356" t="s">
        <v>1256</v>
      </c>
    </row>
    <row r="1250" spans="6:35" ht="15.75">
      <c r="F1250" s="370">
        <v>10</v>
      </c>
      <c r="G1250" s="368" t="s">
        <v>107</v>
      </c>
      <c r="H1250" s="356" t="s">
        <v>220</v>
      </c>
      <c r="I1250" s="443">
        <f>C603</f>
        <v>377.86</v>
      </c>
      <c r="J1250" s="356" t="s">
        <v>107</v>
      </c>
      <c r="K1250" s="370">
        <f>(F1250*I1250)</f>
        <v>3778.6000000000004</v>
      </c>
      <c r="N1250" s="358"/>
      <c r="Q1250" s="361"/>
      <c r="R1250" s="363" t="s">
        <v>117</v>
      </c>
      <c r="T1250" s="368" t="s">
        <v>128</v>
      </c>
      <c r="U1250" s="356" t="s">
        <v>129</v>
      </c>
      <c r="W1250" s="357" t="s">
        <v>128</v>
      </c>
      <c r="X1250" s="370">
        <v>0.18</v>
      </c>
      <c r="Y1250" s="370"/>
      <c r="Z1250" s="407">
        <v>20</v>
      </c>
      <c r="AA1250" s="368" t="s">
        <v>213</v>
      </c>
      <c r="AB1250" s="368"/>
      <c r="AC1250" s="356" t="s">
        <v>125</v>
      </c>
      <c r="AD1250" s="370">
        <f>V1245</f>
        <v>6372.14</v>
      </c>
      <c r="AE1250" s="356" t="s">
        <v>124</v>
      </c>
      <c r="AF1250" s="370">
        <f>(Z1250*AD1250)/1000</f>
        <v>127.44280000000001</v>
      </c>
      <c r="AG1250" s="395" t="str">
        <f t="shared" si="163"/>
        <v>|</v>
      </c>
      <c r="AI1250" s="356" t="s">
        <v>1256</v>
      </c>
    </row>
    <row r="1251" spans="6:35" ht="15.75">
      <c r="F1251" s="370">
        <v>0.21</v>
      </c>
      <c r="G1251" s="368" t="s">
        <v>108</v>
      </c>
      <c r="H1251" s="356" t="s">
        <v>221</v>
      </c>
      <c r="I1251" s="370">
        <f>(K32)</f>
        <v>4976.9571999999998</v>
      </c>
      <c r="J1251" s="356" t="s">
        <v>108</v>
      </c>
      <c r="K1251" s="370">
        <f>(F1251*I1251)</f>
        <v>1045.161012</v>
      </c>
      <c r="N1251" s="358"/>
      <c r="O1251" s="359" t="s">
        <v>177</v>
      </c>
      <c r="Q1251" s="361"/>
      <c r="R1251" s="369">
        <f>(R1249/10)</f>
        <v>1638.7043812000004</v>
      </c>
      <c r="T1251" s="358"/>
      <c r="W1251" s="361"/>
      <c r="X1251" s="363" t="s">
        <v>117</v>
      </c>
      <c r="Y1251" s="363"/>
      <c r="Z1251" s="407">
        <v>2</v>
      </c>
      <c r="AA1251" s="368" t="s">
        <v>213</v>
      </c>
      <c r="AB1251" s="368"/>
      <c r="AC1251" s="356" t="s">
        <v>228</v>
      </c>
      <c r="AD1251" s="402">
        <v>36.1</v>
      </c>
      <c r="AE1251" s="356" t="s">
        <v>213</v>
      </c>
      <c r="AF1251" s="370">
        <f>(Z1251*AD1251)</f>
        <v>72.2</v>
      </c>
      <c r="AG1251" s="395">
        <f t="shared" si="163"/>
        <v>0</v>
      </c>
    </row>
    <row r="1252" spans="6:35" ht="15.75">
      <c r="H1252" s="356" t="s">
        <v>222</v>
      </c>
      <c r="I1252" s="356" t="s">
        <v>114</v>
      </c>
      <c r="K1252" s="356" t="s">
        <v>114</v>
      </c>
      <c r="N1252" s="358"/>
      <c r="Q1252" s="361"/>
      <c r="R1252" s="363"/>
      <c r="T1252" s="358"/>
      <c r="U1252" s="356" t="s">
        <v>176</v>
      </c>
      <c r="W1252" s="361"/>
      <c r="X1252" s="370">
        <f>SUM(X1239:X1250)</f>
        <v>16387.223812000004</v>
      </c>
      <c r="Y1252" s="370"/>
      <c r="Z1252" s="370">
        <v>1.6</v>
      </c>
      <c r="AA1252" s="368" t="s">
        <v>223</v>
      </c>
      <c r="AB1252" s="368"/>
      <c r="AC1252" s="356" t="s">
        <v>152</v>
      </c>
      <c r="AD1252" s="370">
        <f>V1247</f>
        <v>1118.3999999999999</v>
      </c>
      <c r="AE1252" s="356" t="s">
        <v>223</v>
      </c>
      <c r="AF1252" s="370">
        <f>(Z1252*AD1252)</f>
        <v>1789.4399999999998</v>
      </c>
      <c r="AG1252" s="395" t="str">
        <f t="shared" si="163"/>
        <v>|</v>
      </c>
      <c r="AI1252" s="356" t="s">
        <v>1256</v>
      </c>
    </row>
    <row r="1253" spans="6:35" ht="15.75">
      <c r="F1253" s="370">
        <v>1.1000000000000001</v>
      </c>
      <c r="G1253" s="368" t="s">
        <v>223</v>
      </c>
      <c r="H1253" s="356" t="s">
        <v>162</v>
      </c>
      <c r="I1253" s="370">
        <f>(C10)</f>
        <v>1198.8</v>
      </c>
      <c r="J1253" s="356" t="s">
        <v>223</v>
      </c>
      <c r="K1253" s="370">
        <f>(F1253*I1253)</f>
        <v>1318.68</v>
      </c>
      <c r="N1253" s="358"/>
      <c r="Q1253" s="361"/>
      <c r="R1253" s="363"/>
      <c r="T1253" s="358"/>
      <c r="W1253" s="361"/>
      <c r="X1253" s="363" t="s">
        <v>117</v>
      </c>
      <c r="Y1253" s="363"/>
      <c r="Z1253" s="370">
        <v>0.5</v>
      </c>
      <c r="AA1253" s="368" t="s">
        <v>223</v>
      </c>
      <c r="AB1253" s="368"/>
      <c r="AC1253" s="356" t="s">
        <v>153</v>
      </c>
      <c r="AD1253" s="370">
        <f>V1248</f>
        <v>781.19999999999993</v>
      </c>
      <c r="AE1253" s="356" t="s">
        <v>223</v>
      </c>
      <c r="AF1253" s="370">
        <f>(Z1253*AD1253)</f>
        <v>390.59999999999997</v>
      </c>
      <c r="AG1253" s="395">
        <f t="shared" si="163"/>
        <v>0</v>
      </c>
    </row>
    <row r="1254" spans="6:35" ht="15.75">
      <c r="F1254" s="370">
        <v>1.1000000000000001</v>
      </c>
      <c r="G1254" s="368" t="s">
        <v>223</v>
      </c>
      <c r="H1254" s="356" t="s">
        <v>152</v>
      </c>
      <c r="I1254" s="370">
        <f>(C11)</f>
        <v>1118.3999999999999</v>
      </c>
      <c r="J1254" s="356" t="s">
        <v>223</v>
      </c>
      <c r="K1254" s="370">
        <f>(F1254*I1254)</f>
        <v>1230.24</v>
      </c>
      <c r="N1254" s="358"/>
      <c r="Q1254" s="361"/>
      <c r="R1254" s="363"/>
      <c r="T1254" s="358"/>
      <c r="U1254" s="359" t="s">
        <v>177</v>
      </c>
      <c r="W1254" s="361"/>
      <c r="X1254" s="369">
        <f>(X1252/10)</f>
        <v>1638.7223812000004</v>
      </c>
      <c r="Y1254" s="369"/>
      <c r="Z1254" s="370">
        <v>1.1000000000000001</v>
      </c>
      <c r="AA1254" s="368" t="s">
        <v>223</v>
      </c>
      <c r="AB1254" s="368"/>
      <c r="AC1254" s="356" t="s">
        <v>154</v>
      </c>
      <c r="AD1254" s="370">
        <f>V1249</f>
        <v>640.79999999999995</v>
      </c>
      <c r="AE1254" s="356" t="s">
        <v>223</v>
      </c>
      <c r="AF1254" s="370">
        <f>(Z1254*AD1254)</f>
        <v>704.88</v>
      </c>
      <c r="AG1254" s="395" t="str">
        <f t="shared" si="163"/>
        <v>|</v>
      </c>
      <c r="AI1254" s="356" t="s">
        <v>1256</v>
      </c>
    </row>
    <row r="1255" spans="6:35" ht="15.75">
      <c r="F1255" s="370">
        <v>2.2000000000000002</v>
      </c>
      <c r="G1255" s="368" t="s">
        <v>223</v>
      </c>
      <c r="H1255" s="356" t="s">
        <v>153</v>
      </c>
      <c r="I1255" s="370">
        <f>(C12)</f>
        <v>781.19999999999993</v>
      </c>
      <c r="J1255" s="356" t="s">
        <v>223</v>
      </c>
      <c r="K1255" s="370">
        <f>(F1255*I1255)</f>
        <v>1718.64</v>
      </c>
      <c r="N1255" s="358"/>
      <c r="Q1255" s="361"/>
      <c r="R1255" s="363"/>
      <c r="W1255" s="361"/>
      <c r="AA1255" s="368" t="s">
        <v>128</v>
      </c>
      <c r="AB1255" s="368"/>
      <c r="AC1255" s="356" t="s">
        <v>129</v>
      </c>
      <c r="AD1255" s="370">
        <f>V1250</f>
        <v>0</v>
      </c>
      <c r="AE1255" s="356" t="s">
        <v>128</v>
      </c>
      <c r="AF1255" s="370">
        <v>0</v>
      </c>
      <c r="AG1255" s="395" t="str">
        <f t="shared" si="163"/>
        <v>|</v>
      </c>
      <c r="AI1255" s="356" t="s">
        <v>1256</v>
      </c>
    </row>
    <row r="1256" spans="6:35" ht="19.5">
      <c r="F1256" s="370">
        <v>2.2000000000000002</v>
      </c>
      <c r="G1256" s="368" t="s">
        <v>223</v>
      </c>
      <c r="H1256" s="356" t="s">
        <v>154</v>
      </c>
      <c r="I1256" s="370">
        <f>(C13)</f>
        <v>640.79999999999995</v>
      </c>
      <c r="J1256" s="356" t="s">
        <v>223</v>
      </c>
      <c r="K1256" s="370">
        <f>(F1256*I1256)</f>
        <v>1409.76</v>
      </c>
      <c r="M1256" s="551"/>
      <c r="N1256" s="552"/>
      <c r="O1256" s="553" t="s">
        <v>366</v>
      </c>
      <c r="P1256" s="551"/>
      <c r="Q1256" s="554" t="s">
        <v>367</v>
      </c>
      <c r="R1256" s="551"/>
      <c r="W1256" s="361"/>
      <c r="AA1256" s="358"/>
      <c r="AB1256" s="358"/>
      <c r="AE1256" s="360"/>
      <c r="AF1256" s="363" t="s">
        <v>117</v>
      </c>
      <c r="AG1256" s="395" t="str">
        <f t="shared" si="163"/>
        <v>|</v>
      </c>
      <c r="AI1256" s="356" t="s">
        <v>1256</v>
      </c>
    </row>
    <row r="1257" spans="6:35" ht="19.5">
      <c r="F1257" s="407">
        <v>20</v>
      </c>
      <c r="G1257" s="368" t="s">
        <v>213</v>
      </c>
      <c r="H1257" s="356" t="s">
        <v>125</v>
      </c>
      <c r="I1257" s="370">
        <f>(C67)</f>
        <v>6372.14</v>
      </c>
      <c r="J1257" s="356" t="s">
        <v>124</v>
      </c>
      <c r="K1257" s="370">
        <f>(F1257*I1257)/1000</f>
        <v>127.44280000000001</v>
      </c>
      <c r="M1257" s="551"/>
      <c r="N1257" s="552"/>
      <c r="O1257" s="551"/>
      <c r="P1257" s="551"/>
      <c r="Q1257" s="554"/>
      <c r="R1257" s="551"/>
      <c r="W1257" s="361"/>
      <c r="AA1257" s="358"/>
      <c r="AB1257" s="358"/>
      <c r="AC1257" s="356" t="s">
        <v>176</v>
      </c>
      <c r="AE1257" s="360"/>
      <c r="AF1257" s="370">
        <f>SUM(AF1243:AF1255)</f>
        <v>17737.043812</v>
      </c>
      <c r="AG1257" s="395" t="str">
        <f t="shared" si="163"/>
        <v>|</v>
      </c>
      <c r="AI1257" s="356" t="s">
        <v>1256</v>
      </c>
    </row>
    <row r="1258" spans="6:35" ht="19.5">
      <c r="F1258" s="407">
        <v>2</v>
      </c>
      <c r="G1258" s="368" t="s">
        <v>213</v>
      </c>
      <c r="H1258" s="414" t="s">
        <v>224</v>
      </c>
      <c r="I1258" s="493">
        <v>36.1</v>
      </c>
      <c r="J1258" s="356" t="s">
        <v>213</v>
      </c>
      <c r="K1258" s="370">
        <f>(F1258*I1258)</f>
        <v>72.2</v>
      </c>
      <c r="M1258" s="555"/>
      <c r="N1258" s="556"/>
      <c r="O1258" s="555"/>
      <c r="P1258" s="555"/>
      <c r="Q1258" s="554"/>
      <c r="R1258" s="551"/>
      <c r="W1258" s="361"/>
      <c r="AA1258" s="358"/>
      <c r="AB1258" s="358"/>
      <c r="AE1258" s="360"/>
      <c r="AF1258" s="363" t="s">
        <v>117</v>
      </c>
      <c r="AG1258" s="395" t="str">
        <f t="shared" si="163"/>
        <v>|</v>
      </c>
      <c r="AI1258" s="356" t="s">
        <v>1256</v>
      </c>
    </row>
    <row r="1259" spans="6:35" ht="19.5">
      <c r="F1259" s="370">
        <v>1.6</v>
      </c>
      <c r="G1259" s="368" t="s">
        <v>223</v>
      </c>
      <c r="H1259" s="356" t="s">
        <v>152</v>
      </c>
      <c r="I1259" s="370">
        <f>(C11)</f>
        <v>1118.3999999999999</v>
      </c>
      <c r="J1259" s="356" t="s">
        <v>223</v>
      </c>
      <c r="K1259" s="370">
        <f>(F1259*I1259)</f>
        <v>1789.4399999999998</v>
      </c>
      <c r="M1259" s="557">
        <v>10</v>
      </c>
      <c r="N1259" s="558" t="s">
        <v>107</v>
      </c>
      <c r="O1259" s="559" t="s">
        <v>2066</v>
      </c>
      <c r="P1259" s="560">
        <v>421.3</v>
      </c>
      <c r="Q1259" s="561" t="s">
        <v>107</v>
      </c>
      <c r="R1259" s="562">
        <f>M1259*P1259</f>
        <v>4213</v>
      </c>
      <c r="W1259" s="361"/>
      <c r="AA1259" s="358"/>
      <c r="AB1259" s="358"/>
      <c r="AC1259" s="372" t="s">
        <v>177</v>
      </c>
      <c r="AE1259" s="360"/>
      <c r="AF1259" s="369">
        <f>(AF1257/10)</f>
        <v>1773.7043811999999</v>
      </c>
      <c r="AG1259" s="563" t="s">
        <v>2067</v>
      </c>
      <c r="AI1259" s="356" t="s">
        <v>1256</v>
      </c>
    </row>
    <row r="1260" spans="6:35" ht="19.5">
      <c r="F1260" s="370">
        <v>0.5</v>
      </c>
      <c r="G1260" s="368" t="s">
        <v>223</v>
      </c>
      <c r="H1260" s="356" t="s">
        <v>153</v>
      </c>
      <c r="I1260" s="370">
        <f>(C12)</f>
        <v>781.19999999999993</v>
      </c>
      <c r="J1260" s="356" t="s">
        <v>223</v>
      </c>
      <c r="K1260" s="370">
        <f>(F1260*I1260)</f>
        <v>390.59999999999997</v>
      </c>
      <c r="M1260" s="562">
        <v>0.21</v>
      </c>
      <c r="N1260" s="564" t="s">
        <v>108</v>
      </c>
      <c r="O1260" s="565" t="s">
        <v>221</v>
      </c>
      <c r="P1260" s="562">
        <f t="shared" ref="P1260:P1265" si="169">P1218</f>
        <v>4976.9571999999998</v>
      </c>
      <c r="Q1260" s="561" t="s">
        <v>108</v>
      </c>
      <c r="R1260" s="562">
        <f t="shared" ref="R1260:R1269" si="170">(M1260*P1260)</f>
        <v>1045.161012</v>
      </c>
      <c r="W1260" s="361"/>
      <c r="AA1260" s="358"/>
      <c r="AB1260" s="358"/>
      <c r="AE1260" s="360"/>
      <c r="AF1260" s="363" t="s">
        <v>156</v>
      </c>
      <c r="AG1260" s="395" t="str">
        <f t="shared" si="163"/>
        <v>|</v>
      </c>
      <c r="AI1260" s="356" t="s">
        <v>1256</v>
      </c>
    </row>
    <row r="1261" spans="6:35" ht="19.5">
      <c r="F1261" s="370">
        <v>1.1000000000000001</v>
      </c>
      <c r="G1261" s="368" t="s">
        <v>223</v>
      </c>
      <c r="H1261" s="356" t="s">
        <v>154</v>
      </c>
      <c r="I1261" s="370">
        <f>(C13)</f>
        <v>640.79999999999995</v>
      </c>
      <c r="J1261" s="356" t="s">
        <v>223</v>
      </c>
      <c r="K1261" s="370">
        <f>(F1261*I1261)</f>
        <v>704.88</v>
      </c>
      <c r="M1261" s="562">
        <v>1.1000000000000001</v>
      </c>
      <c r="N1261" s="564" t="s">
        <v>223</v>
      </c>
      <c r="O1261" s="565" t="s">
        <v>162</v>
      </c>
      <c r="P1261" s="562">
        <f t="shared" si="169"/>
        <v>1198.8</v>
      </c>
      <c r="Q1261" s="561" t="s">
        <v>223</v>
      </c>
      <c r="R1261" s="562">
        <f t="shared" si="170"/>
        <v>1318.68</v>
      </c>
      <c r="W1261" s="361"/>
      <c r="Z1261" s="412">
        <v>29.4</v>
      </c>
      <c r="AA1261" s="368" t="s">
        <v>122</v>
      </c>
      <c r="AB1261" s="368"/>
      <c r="AC1261" s="356" t="s">
        <v>2068</v>
      </c>
      <c r="AG1261" s="395" t="str">
        <f t="shared" si="163"/>
        <v>|</v>
      </c>
      <c r="AI1261" s="356" t="s">
        <v>1256</v>
      </c>
    </row>
    <row r="1262" spans="6:35" ht="19.5">
      <c r="G1262" s="368" t="s">
        <v>128</v>
      </c>
      <c r="H1262" s="356" t="s">
        <v>129</v>
      </c>
      <c r="J1262" s="356" t="s">
        <v>128</v>
      </c>
      <c r="K1262" s="370">
        <v>0</v>
      </c>
      <c r="M1262" s="562">
        <v>1.1000000000000001</v>
      </c>
      <c r="N1262" s="564" t="s">
        <v>223</v>
      </c>
      <c r="O1262" s="565" t="s">
        <v>152</v>
      </c>
      <c r="P1262" s="562">
        <f t="shared" si="169"/>
        <v>1118.3999999999999</v>
      </c>
      <c r="Q1262" s="561" t="s">
        <v>223</v>
      </c>
      <c r="R1262" s="562">
        <f t="shared" si="170"/>
        <v>1230.24</v>
      </c>
      <c r="W1262" s="361"/>
      <c r="AA1262" s="358"/>
      <c r="AB1262" s="358"/>
      <c r="AC1262" s="356" t="s">
        <v>2069</v>
      </c>
      <c r="AG1262" s="395" t="str">
        <f t="shared" si="163"/>
        <v>|</v>
      </c>
      <c r="AI1262" s="356" t="s">
        <v>1256</v>
      </c>
    </row>
    <row r="1263" spans="6:35" ht="19.5">
      <c r="K1263" s="363" t="s">
        <v>117</v>
      </c>
      <c r="M1263" s="562">
        <v>2.2000000000000002</v>
      </c>
      <c r="N1263" s="564" t="s">
        <v>223</v>
      </c>
      <c r="O1263" s="565" t="s">
        <v>153</v>
      </c>
      <c r="P1263" s="562">
        <f t="shared" si="169"/>
        <v>781.19999999999993</v>
      </c>
      <c r="Q1263" s="561" t="s">
        <v>223</v>
      </c>
      <c r="R1263" s="562">
        <f t="shared" si="170"/>
        <v>1718.64</v>
      </c>
      <c r="W1263" s="361"/>
      <c r="AA1263" s="358"/>
      <c r="AB1263" s="358"/>
      <c r="AC1263" s="363" t="s">
        <v>117</v>
      </c>
      <c r="AG1263" s="395" t="str">
        <f t="shared" si="163"/>
        <v>|</v>
      </c>
      <c r="AI1263" s="356" t="s">
        <v>1256</v>
      </c>
    </row>
    <row r="1264" spans="6:35" ht="19.5">
      <c r="H1264" s="356" t="s">
        <v>176</v>
      </c>
      <c r="K1264" s="370">
        <f>SUM(K1250:K1262)</f>
        <v>13585.643812000002</v>
      </c>
      <c r="M1264" s="562">
        <v>2.2000000000000002</v>
      </c>
      <c r="N1264" s="564" t="s">
        <v>223</v>
      </c>
      <c r="O1264" s="565" t="s">
        <v>154</v>
      </c>
      <c r="P1264" s="562">
        <f t="shared" si="169"/>
        <v>640.79999999999995</v>
      </c>
      <c r="Q1264" s="561" t="s">
        <v>223</v>
      </c>
      <c r="R1264" s="562">
        <f t="shared" si="170"/>
        <v>1409.76</v>
      </c>
      <c r="W1264" s="361"/>
      <c r="Z1264" s="370">
        <v>1.86</v>
      </c>
      <c r="AA1264" s="368" t="s">
        <v>107</v>
      </c>
      <c r="AB1264" s="368"/>
      <c r="AC1264" s="356" t="s">
        <v>2070</v>
      </c>
      <c r="AD1264" s="443">
        <v>749</v>
      </c>
      <c r="AE1264" s="356" t="str">
        <f>J1271</f>
        <v>SQM</v>
      </c>
      <c r="AF1264" s="370">
        <f t="shared" ref="AF1264:AF1269" si="171">(Z1264*AD1264)</f>
        <v>1393.14</v>
      </c>
      <c r="AG1264" s="395" t="str">
        <f t="shared" si="163"/>
        <v>|</v>
      </c>
      <c r="AI1264" s="356" t="s">
        <v>1256</v>
      </c>
    </row>
    <row r="1265" spans="6:35" ht="19.5">
      <c r="K1265" s="363" t="s">
        <v>117</v>
      </c>
      <c r="M1265" s="566">
        <v>20</v>
      </c>
      <c r="N1265" s="564" t="s">
        <v>213</v>
      </c>
      <c r="O1265" s="565" t="s">
        <v>125</v>
      </c>
      <c r="P1265" s="562">
        <f t="shared" si="169"/>
        <v>6372.14</v>
      </c>
      <c r="Q1265" s="561" t="s">
        <v>124</v>
      </c>
      <c r="R1265" s="562">
        <f>(M1265*P1265)/1000</f>
        <v>127.44280000000001</v>
      </c>
      <c r="W1265" s="361"/>
      <c r="Z1265" s="370">
        <v>0.4</v>
      </c>
      <c r="AA1265" s="368" t="s">
        <v>213</v>
      </c>
      <c r="AB1265" s="368"/>
      <c r="AC1265" s="356" t="s">
        <v>228</v>
      </c>
      <c r="AD1265" s="464">
        <f>AD1251</f>
        <v>36.1</v>
      </c>
      <c r="AE1265" s="356" t="str">
        <f>J1272</f>
        <v>Kg</v>
      </c>
      <c r="AF1265" s="370">
        <f t="shared" si="171"/>
        <v>14.440000000000001</v>
      </c>
      <c r="AG1265" s="395">
        <f t="shared" si="163"/>
        <v>0</v>
      </c>
    </row>
    <row r="1266" spans="6:35" ht="19.5">
      <c r="H1266" s="372" t="s">
        <v>177</v>
      </c>
      <c r="K1266" s="369">
        <f>(K1264/10)</f>
        <v>1358.5643812000003</v>
      </c>
      <c r="M1266" s="566">
        <v>2</v>
      </c>
      <c r="N1266" s="564" t="s">
        <v>213</v>
      </c>
      <c r="O1266" s="565" t="s">
        <v>369</v>
      </c>
      <c r="P1266" s="562">
        <f>I1258</f>
        <v>36.1</v>
      </c>
      <c r="Q1266" s="561" t="s">
        <v>213</v>
      </c>
      <c r="R1266" s="562">
        <f t="shared" si="170"/>
        <v>72.2</v>
      </c>
      <c r="W1266" s="361"/>
      <c r="Z1266" s="370">
        <v>0.02</v>
      </c>
      <c r="AA1266" s="368" t="s">
        <v>108</v>
      </c>
      <c r="AB1266" s="368"/>
      <c r="AC1266" s="356" t="s">
        <v>229</v>
      </c>
      <c r="AD1266" s="370">
        <f>I1273</f>
        <v>6506.2708000000002</v>
      </c>
      <c r="AE1266" s="356" t="str">
        <f>J1273</f>
        <v>CUM</v>
      </c>
      <c r="AF1266" s="370">
        <f t="shared" si="171"/>
        <v>130.125416</v>
      </c>
      <c r="AG1266" s="395">
        <f t="shared" si="163"/>
        <v>0</v>
      </c>
    </row>
    <row r="1267" spans="6:35" ht="19.5">
      <c r="K1267" s="363" t="s">
        <v>156</v>
      </c>
      <c r="M1267" s="562">
        <v>1.6</v>
      </c>
      <c r="N1267" s="564" t="s">
        <v>223</v>
      </c>
      <c r="O1267" s="565" t="s">
        <v>152</v>
      </c>
      <c r="P1267" s="562">
        <f>P1225</f>
        <v>1118.3999999999999</v>
      </c>
      <c r="Q1267" s="561" t="s">
        <v>223</v>
      </c>
      <c r="R1267" s="562">
        <f t="shared" si="170"/>
        <v>1789.4399999999998</v>
      </c>
      <c r="W1267" s="361"/>
      <c r="Z1267" s="370">
        <v>1</v>
      </c>
      <c r="AA1267" s="368" t="s">
        <v>223</v>
      </c>
      <c r="AB1267" s="368"/>
      <c r="AC1267" s="356" t="s">
        <v>162</v>
      </c>
      <c r="AD1267" s="370">
        <f>I1274</f>
        <v>1198.8</v>
      </c>
      <c r="AE1267" s="356" t="str">
        <f>J1274</f>
        <v>NO</v>
      </c>
      <c r="AF1267" s="370">
        <f t="shared" si="171"/>
        <v>1198.8</v>
      </c>
      <c r="AG1267" s="395" t="str">
        <f t="shared" si="163"/>
        <v xml:space="preserve"> </v>
      </c>
      <c r="AI1267" s="356" t="s">
        <v>114</v>
      </c>
    </row>
    <row r="1268" spans="6:35" ht="19.5">
      <c r="F1268" s="412">
        <v>29.4</v>
      </c>
      <c r="G1268" s="368" t="s">
        <v>122</v>
      </c>
      <c r="H1268" s="356" t="s">
        <v>225</v>
      </c>
      <c r="M1268" s="562">
        <v>0.5</v>
      </c>
      <c r="N1268" s="564" t="s">
        <v>223</v>
      </c>
      <c r="O1268" s="565" t="s">
        <v>153</v>
      </c>
      <c r="P1268" s="562">
        <f>P1226</f>
        <v>781.19999999999993</v>
      </c>
      <c r="Q1268" s="561" t="s">
        <v>223</v>
      </c>
      <c r="R1268" s="562">
        <f t="shared" si="170"/>
        <v>390.59999999999997</v>
      </c>
      <c r="W1268" s="361"/>
      <c r="Z1268" s="370">
        <v>1</v>
      </c>
      <c r="AA1268" s="368" t="s">
        <v>223</v>
      </c>
      <c r="AB1268" s="368"/>
      <c r="AC1268" s="356" t="s">
        <v>230</v>
      </c>
      <c r="AD1268" s="370">
        <f>I1275</f>
        <v>781.19999999999993</v>
      </c>
      <c r="AE1268" s="356" t="str">
        <f>J1275</f>
        <v>NO</v>
      </c>
      <c r="AF1268" s="370">
        <f t="shared" si="171"/>
        <v>781.19999999999993</v>
      </c>
      <c r="AG1268" s="395">
        <f t="shared" si="163"/>
        <v>0</v>
      </c>
    </row>
    <row r="1269" spans="6:35" ht="19.5">
      <c r="H1269" s="356" t="s">
        <v>226</v>
      </c>
      <c r="M1269" s="562">
        <v>1.1000000000000001</v>
      </c>
      <c r="N1269" s="564" t="s">
        <v>223</v>
      </c>
      <c r="O1269" s="565" t="s">
        <v>154</v>
      </c>
      <c r="P1269" s="562">
        <f>P1227</f>
        <v>640.79999999999995</v>
      </c>
      <c r="Q1269" s="561" t="s">
        <v>223</v>
      </c>
      <c r="R1269" s="562">
        <f t="shared" si="170"/>
        <v>704.88</v>
      </c>
      <c r="W1269" s="361"/>
      <c r="AA1269" s="368" t="s">
        <v>128</v>
      </c>
      <c r="AB1269" s="368"/>
      <c r="AC1269" s="356" t="s">
        <v>129</v>
      </c>
      <c r="AE1269" s="356" t="s">
        <v>128</v>
      </c>
      <c r="AF1269" s="370">
        <f t="shared" si="171"/>
        <v>0</v>
      </c>
      <c r="AG1269" s="395">
        <f t="shared" si="163"/>
        <v>0</v>
      </c>
    </row>
    <row r="1270" spans="6:35" ht="19.5">
      <c r="H1270" s="363" t="s">
        <v>117</v>
      </c>
      <c r="M1270" s="551"/>
      <c r="N1270" s="564" t="s">
        <v>128</v>
      </c>
      <c r="O1270" s="565" t="s">
        <v>129</v>
      </c>
      <c r="P1270" s="551"/>
      <c r="Q1270" s="561" t="s">
        <v>128</v>
      </c>
      <c r="R1270" s="562">
        <v>0</v>
      </c>
      <c r="W1270" s="361"/>
      <c r="AA1270" s="358"/>
      <c r="AB1270" s="358"/>
      <c r="AE1270" s="360"/>
      <c r="AF1270" s="363" t="s">
        <v>117</v>
      </c>
      <c r="AG1270" s="395">
        <f t="shared" si="163"/>
        <v>0</v>
      </c>
    </row>
    <row r="1271" spans="6:35" ht="19.5">
      <c r="F1271" s="370">
        <v>1.86</v>
      </c>
      <c r="G1271" s="368" t="s">
        <v>107</v>
      </c>
      <c r="H1271" s="356" t="s">
        <v>227</v>
      </c>
      <c r="I1271" s="381">
        <f>C604</f>
        <v>415</v>
      </c>
      <c r="J1271" s="356" t="s">
        <v>107</v>
      </c>
      <c r="K1271" s="370">
        <f>(F1271*I1271)</f>
        <v>771.90000000000009</v>
      </c>
      <c r="M1271" s="551">
        <f>9.3/0.02</f>
        <v>465</v>
      </c>
      <c r="N1271" s="552"/>
      <c r="O1271" s="551"/>
      <c r="P1271" s="551"/>
      <c r="Q1271" s="554"/>
      <c r="R1271" s="567"/>
      <c r="W1271" s="361"/>
      <c r="AA1271" s="358"/>
      <c r="AB1271" s="358"/>
      <c r="AC1271" s="356" t="s">
        <v>231</v>
      </c>
      <c r="AE1271" s="360"/>
      <c r="AF1271" s="370">
        <f>SUM(AF1264:AF1269)</f>
        <v>3517.7054159999998</v>
      </c>
      <c r="AG1271" s="395">
        <f t="shared" si="163"/>
        <v>0</v>
      </c>
    </row>
    <row r="1272" spans="6:35" ht="19.5">
      <c r="F1272" s="370">
        <v>0.4</v>
      </c>
      <c r="G1272" s="368" t="s">
        <v>213</v>
      </c>
      <c r="H1272" s="356" t="s">
        <v>228</v>
      </c>
      <c r="I1272" s="507">
        <f>I1258</f>
        <v>36.1</v>
      </c>
      <c r="J1272" s="356" t="s">
        <v>213</v>
      </c>
      <c r="K1272" s="370">
        <f>(F1272*I1272)</f>
        <v>14.440000000000001</v>
      </c>
      <c r="M1272" s="551"/>
      <c r="N1272" s="552"/>
      <c r="O1272" s="565" t="s">
        <v>176</v>
      </c>
      <c r="P1272" s="551"/>
      <c r="Q1272" s="554"/>
      <c r="R1272" s="562">
        <f>SUM(R1259:R1270)</f>
        <v>14020.043812000002</v>
      </c>
      <c r="W1272" s="361"/>
      <c r="AA1272" s="358"/>
      <c r="AB1272" s="358"/>
      <c r="AE1272" s="360"/>
      <c r="AF1272" s="363" t="s">
        <v>117</v>
      </c>
      <c r="AG1272" s="395">
        <f t="shared" si="163"/>
        <v>0</v>
      </c>
    </row>
    <row r="1273" spans="6:35" ht="19.5">
      <c r="F1273" s="370">
        <v>0.02</v>
      </c>
      <c r="G1273" s="368" t="s">
        <v>108</v>
      </c>
      <c r="H1273" s="356" t="s">
        <v>229</v>
      </c>
      <c r="I1273" s="370">
        <f>K23</f>
        <v>6506.2708000000002</v>
      </c>
      <c r="J1273" s="356" t="s">
        <v>108</v>
      </c>
      <c r="K1273" s="370">
        <f>(F1273*I1273)</f>
        <v>130.125416</v>
      </c>
      <c r="M1273" s="551"/>
      <c r="N1273" s="552"/>
      <c r="O1273" s="551"/>
      <c r="P1273" s="551"/>
      <c r="Q1273" s="554"/>
      <c r="R1273" s="567" t="s">
        <v>117</v>
      </c>
      <c r="W1273" s="361"/>
      <c r="AA1273" s="358"/>
      <c r="AB1273" s="358"/>
      <c r="AC1273" s="372" t="s">
        <v>177</v>
      </c>
      <c r="AE1273" s="360"/>
      <c r="AF1273" s="369">
        <f>(AF1271/1.86)</f>
        <v>1891.2394709677417</v>
      </c>
      <c r="AG1273" s="395">
        <f t="shared" si="163"/>
        <v>0</v>
      </c>
    </row>
    <row r="1274" spans="6:35" ht="19.5">
      <c r="F1274" s="370">
        <v>1</v>
      </c>
      <c r="G1274" s="368" t="s">
        <v>223</v>
      </c>
      <c r="H1274" s="356" t="s">
        <v>162</v>
      </c>
      <c r="I1274" s="370">
        <f>C10</f>
        <v>1198.8</v>
      </c>
      <c r="J1274" s="356" t="s">
        <v>223</v>
      </c>
      <c r="K1274" s="370">
        <f>(F1274*I1274)</f>
        <v>1198.8</v>
      </c>
      <c r="M1274" s="551"/>
      <c r="N1274" s="552"/>
      <c r="O1274" s="568" t="s">
        <v>177</v>
      </c>
      <c r="P1274" s="551"/>
      <c r="Q1274" s="554"/>
      <c r="R1274" s="569">
        <f>(R1272/10)</f>
        <v>1402.0043812000001</v>
      </c>
      <c r="W1274" s="361"/>
      <c r="AA1274" s="358"/>
      <c r="AB1274" s="358"/>
      <c r="AE1274" s="360"/>
      <c r="AF1274" s="363" t="s">
        <v>156</v>
      </c>
      <c r="AG1274" s="395">
        <f t="shared" si="163"/>
        <v>0</v>
      </c>
    </row>
    <row r="1275" spans="6:35" ht="15.75">
      <c r="F1275" s="370">
        <v>1</v>
      </c>
      <c r="G1275" s="368" t="s">
        <v>223</v>
      </c>
      <c r="H1275" s="356" t="s">
        <v>230</v>
      </c>
      <c r="I1275" s="370">
        <f>C12</f>
        <v>781.19999999999993</v>
      </c>
      <c r="J1275" s="356" t="s">
        <v>223</v>
      </c>
      <c r="K1275" s="370">
        <f>(F1275*I1275)</f>
        <v>781.19999999999993</v>
      </c>
      <c r="S1275" s="412">
        <v>29.5</v>
      </c>
      <c r="T1275" s="368" t="s">
        <v>122</v>
      </c>
      <c r="U1275" s="356" t="s">
        <v>2071</v>
      </c>
      <c r="W1275" s="361"/>
      <c r="AG1275" s="395">
        <f t="shared" si="163"/>
        <v>0</v>
      </c>
    </row>
    <row r="1276" spans="6:35" ht="15.75">
      <c r="G1276" s="368" t="s">
        <v>128</v>
      </c>
      <c r="H1276" s="356" t="s">
        <v>129</v>
      </c>
      <c r="J1276" s="356" t="s">
        <v>128</v>
      </c>
      <c r="K1276" s="370"/>
      <c r="S1276" s="35"/>
      <c r="T1276" s="358"/>
      <c r="U1276" s="356"/>
      <c r="W1276" s="361"/>
      <c r="AG1276" s="395">
        <f t="shared" si="163"/>
        <v>0</v>
      </c>
    </row>
    <row r="1277" spans="6:35" ht="19.5">
      <c r="K1277" s="363" t="s">
        <v>117</v>
      </c>
      <c r="N1277" s="358"/>
      <c r="O1277" s="546" t="s">
        <v>2072</v>
      </c>
      <c r="Q1277" s="361"/>
      <c r="S1277" s="35"/>
      <c r="T1277" s="358"/>
      <c r="U1277" s="356"/>
      <c r="W1277" s="361"/>
      <c r="AE1277" s="360"/>
      <c r="AG1277" s="395">
        <f t="shared" si="163"/>
        <v>0</v>
      </c>
    </row>
    <row r="1278" spans="6:35" ht="15.75">
      <c r="H1278" s="356" t="s">
        <v>231</v>
      </c>
      <c r="K1278" s="370">
        <f>SUM(K1271:K1276)</f>
        <v>2896.465416</v>
      </c>
      <c r="N1278" s="358"/>
      <c r="Q1278" s="361"/>
      <c r="S1278" s="35"/>
      <c r="T1278" s="358"/>
      <c r="U1278" s="363" t="s">
        <v>117</v>
      </c>
      <c r="V1278" s="363" t="s">
        <v>117</v>
      </c>
      <c r="W1278" s="361"/>
      <c r="AE1278" s="360"/>
      <c r="AG1278" s="395">
        <f t="shared" si="163"/>
        <v>0</v>
      </c>
    </row>
    <row r="1279" spans="6:35" ht="30">
      <c r="K1279" s="363" t="s">
        <v>117</v>
      </c>
      <c r="N1279" s="358"/>
      <c r="Q1279" s="361"/>
      <c r="S1279" s="370">
        <v>10</v>
      </c>
      <c r="T1279" s="368" t="s">
        <v>107</v>
      </c>
      <c r="U1279" s="445" t="s">
        <v>2073</v>
      </c>
      <c r="V1279" s="402">
        <v>538.21</v>
      </c>
      <c r="W1279" s="357" t="s">
        <v>107</v>
      </c>
      <c r="X1279" s="370">
        <f>(S1279*V1279)</f>
        <v>5382.1</v>
      </c>
      <c r="Y1279" s="370"/>
      <c r="AE1279" s="360"/>
      <c r="AG1279" s="395">
        <f t="shared" si="163"/>
        <v>0</v>
      </c>
    </row>
    <row r="1280" spans="6:35" ht="15.75">
      <c r="H1280" s="372" t="s">
        <v>177</v>
      </c>
      <c r="K1280" s="369">
        <f>(K1278/1.86)</f>
        <v>1557.2394709677419</v>
      </c>
      <c r="M1280" s="370">
        <v>10</v>
      </c>
      <c r="N1280" s="368" t="s">
        <v>107</v>
      </c>
      <c r="O1280" s="450" t="s">
        <v>2074</v>
      </c>
      <c r="P1280" s="548">
        <v>1737</v>
      </c>
      <c r="Q1280" s="357" t="s">
        <v>107</v>
      </c>
      <c r="R1280" s="370">
        <f>M1280*P1280</f>
        <v>17370</v>
      </c>
      <c r="S1280" s="370">
        <v>0.21</v>
      </c>
      <c r="T1280" s="368" t="s">
        <v>108</v>
      </c>
      <c r="U1280" s="356" t="s">
        <v>221</v>
      </c>
      <c r="V1280" s="443">
        <f t="shared" ref="V1280:V1290" si="172">I1251</f>
        <v>4976.9571999999998</v>
      </c>
      <c r="W1280" s="357" t="s">
        <v>108</v>
      </c>
      <c r="X1280" s="370">
        <f>(S1280*V1280)</f>
        <v>1045.161012</v>
      </c>
      <c r="Y1280" s="370"/>
      <c r="AG1280" s="395">
        <f t="shared" ref="AG1280:AG1343" si="173">AI1280</f>
        <v>0</v>
      </c>
    </row>
    <row r="1281" spans="6:33" ht="15.75">
      <c r="K1281" s="363" t="s">
        <v>156</v>
      </c>
      <c r="M1281" s="370">
        <v>0.21</v>
      </c>
      <c r="N1281" s="368" t="s">
        <v>108</v>
      </c>
      <c r="O1281" s="356" t="s">
        <v>221</v>
      </c>
      <c r="P1281" s="370">
        <f>P1218</f>
        <v>4976.9571999999998</v>
      </c>
      <c r="Q1281" s="357" t="s">
        <v>108</v>
      </c>
      <c r="R1281" s="370">
        <f>(M1281*P1281)</f>
        <v>1045.161012</v>
      </c>
      <c r="S1281" s="35"/>
      <c r="T1281" s="358"/>
      <c r="U1281" s="356" t="s">
        <v>222</v>
      </c>
      <c r="V1281" s="443" t="str">
        <f t="shared" si="172"/>
        <v xml:space="preserve"> </v>
      </c>
      <c r="W1281" s="361"/>
      <c r="X1281" s="356" t="s">
        <v>114</v>
      </c>
      <c r="Y1281" s="356"/>
      <c r="AG1281" s="395">
        <f t="shared" si="173"/>
        <v>0</v>
      </c>
    </row>
    <row r="1282" spans="6:33" ht="15.75">
      <c r="F1282" s="412"/>
      <c r="G1282" s="368" t="s">
        <v>122</v>
      </c>
      <c r="H1282" s="356" t="s">
        <v>2075</v>
      </c>
      <c r="M1282" s="370">
        <v>1.1000000000000001</v>
      </c>
      <c r="N1282" s="368" t="s">
        <v>223</v>
      </c>
      <c r="O1282" s="356" t="s">
        <v>162</v>
      </c>
      <c r="P1282" s="370">
        <f t="shared" ref="P1282:P1290" si="174">P1219</f>
        <v>1198.8</v>
      </c>
      <c r="Q1282" s="357" t="s">
        <v>223</v>
      </c>
      <c r="R1282" s="370">
        <f>(M1282*P1282)</f>
        <v>1318.68</v>
      </c>
      <c r="S1282" s="370">
        <v>1.1000000000000001</v>
      </c>
      <c r="T1282" s="368" t="s">
        <v>223</v>
      </c>
      <c r="U1282" s="356" t="s">
        <v>162</v>
      </c>
      <c r="V1282" s="443">
        <f t="shared" si="172"/>
        <v>1198.8</v>
      </c>
      <c r="W1282" s="357" t="s">
        <v>223</v>
      </c>
      <c r="X1282" s="370">
        <f>(S1282*V1282)</f>
        <v>1318.68</v>
      </c>
      <c r="Y1282" s="370"/>
      <c r="AG1282" s="395">
        <f t="shared" si="173"/>
        <v>0</v>
      </c>
    </row>
    <row r="1283" spans="6:33" ht="15.75">
      <c r="H1283" s="356"/>
      <c r="M1283" s="370">
        <v>1.1000000000000001</v>
      </c>
      <c r="N1283" s="368" t="s">
        <v>223</v>
      </c>
      <c r="O1283" s="356" t="s">
        <v>152</v>
      </c>
      <c r="P1283" s="370">
        <f t="shared" si="174"/>
        <v>1118.3999999999999</v>
      </c>
      <c r="Q1283" s="357" t="s">
        <v>223</v>
      </c>
      <c r="R1283" s="370">
        <f>(M1283*P1283)</f>
        <v>1230.24</v>
      </c>
      <c r="S1283" s="370">
        <v>1.1000000000000001</v>
      </c>
      <c r="T1283" s="368" t="s">
        <v>223</v>
      </c>
      <c r="U1283" s="356" t="s">
        <v>152</v>
      </c>
      <c r="V1283" s="443">
        <f t="shared" si="172"/>
        <v>1118.3999999999999</v>
      </c>
      <c r="W1283" s="357" t="s">
        <v>223</v>
      </c>
      <c r="X1283" s="370">
        <f>(S1283*V1283)</f>
        <v>1230.24</v>
      </c>
      <c r="Y1283" s="370"/>
      <c r="AG1283" s="395">
        <f t="shared" si="173"/>
        <v>0</v>
      </c>
    </row>
    <row r="1284" spans="6:33" ht="15.75">
      <c r="H1284" s="363" t="s">
        <v>117</v>
      </c>
      <c r="M1284" s="370">
        <v>2.2000000000000002</v>
      </c>
      <c r="N1284" s="368" t="s">
        <v>223</v>
      </c>
      <c r="O1284" s="356" t="s">
        <v>153</v>
      </c>
      <c r="P1284" s="370">
        <f t="shared" si="174"/>
        <v>781.19999999999993</v>
      </c>
      <c r="Q1284" s="357" t="s">
        <v>223</v>
      </c>
      <c r="R1284" s="370">
        <f>(M1284*P1284)</f>
        <v>1718.64</v>
      </c>
      <c r="S1284" s="370">
        <v>2.2000000000000002</v>
      </c>
      <c r="T1284" s="368" t="s">
        <v>223</v>
      </c>
      <c r="U1284" s="356" t="s">
        <v>153</v>
      </c>
      <c r="V1284" s="443">
        <f t="shared" si="172"/>
        <v>781.19999999999993</v>
      </c>
      <c r="W1284" s="357" t="s">
        <v>223</v>
      </c>
      <c r="X1284" s="370">
        <f>(S1284*V1284)</f>
        <v>1718.64</v>
      </c>
      <c r="Y1284" s="370"/>
      <c r="AG1284" s="395">
        <f t="shared" si="173"/>
        <v>0</v>
      </c>
    </row>
    <row r="1285" spans="6:33" ht="15.75">
      <c r="F1285" s="370">
        <v>1.86</v>
      </c>
      <c r="G1285" s="368" t="s">
        <v>107</v>
      </c>
      <c r="H1285" s="356" t="s">
        <v>2076</v>
      </c>
      <c r="I1285" s="402">
        <v>699.4</v>
      </c>
      <c r="J1285" s="356" t="s">
        <v>107</v>
      </c>
      <c r="K1285" s="370">
        <f>(F1285*I1285)</f>
        <v>1300.884</v>
      </c>
      <c r="M1285" s="370">
        <v>2.2000000000000002</v>
      </c>
      <c r="N1285" s="368" t="s">
        <v>223</v>
      </c>
      <c r="O1285" s="356" t="s">
        <v>154</v>
      </c>
      <c r="P1285" s="370">
        <f t="shared" si="174"/>
        <v>640.79999999999995</v>
      </c>
      <c r="Q1285" s="357" t="s">
        <v>223</v>
      </c>
      <c r="R1285" s="370">
        <f>(M1285*P1285)</f>
        <v>1409.76</v>
      </c>
      <c r="S1285" s="370">
        <v>2.2000000000000002</v>
      </c>
      <c r="T1285" s="368" t="s">
        <v>223</v>
      </c>
      <c r="U1285" s="356" t="s">
        <v>154</v>
      </c>
      <c r="V1285" s="443">
        <f t="shared" si="172"/>
        <v>640.79999999999995</v>
      </c>
      <c r="W1285" s="357" t="s">
        <v>223</v>
      </c>
      <c r="X1285" s="370">
        <f>(S1285*V1285)</f>
        <v>1409.76</v>
      </c>
      <c r="Y1285" s="370"/>
      <c r="AG1285" s="395">
        <f t="shared" si="173"/>
        <v>0</v>
      </c>
    </row>
    <row r="1286" spans="6:33" ht="15.75">
      <c r="F1286" s="370">
        <v>0.4</v>
      </c>
      <c r="G1286" s="368" t="s">
        <v>213</v>
      </c>
      <c r="H1286" s="356" t="s">
        <v>306</v>
      </c>
      <c r="I1286" s="570">
        <f>C67</f>
        <v>6372.14</v>
      </c>
      <c r="J1286" s="356" t="s">
        <v>213</v>
      </c>
      <c r="K1286" s="370">
        <f>(F1286*I1286)</f>
        <v>2548.8560000000002</v>
      </c>
      <c r="M1286" s="407">
        <v>20</v>
      </c>
      <c r="N1286" s="368" t="s">
        <v>213</v>
      </c>
      <c r="O1286" s="356" t="s">
        <v>125</v>
      </c>
      <c r="P1286" s="370">
        <f t="shared" si="174"/>
        <v>6372.14</v>
      </c>
      <c r="Q1286" s="357" t="s">
        <v>124</v>
      </c>
      <c r="R1286" s="370">
        <f>(M1286*P1286)/1000</f>
        <v>127.44280000000001</v>
      </c>
      <c r="S1286" s="407">
        <v>20</v>
      </c>
      <c r="T1286" s="368" t="s">
        <v>213</v>
      </c>
      <c r="U1286" s="356" t="s">
        <v>125</v>
      </c>
      <c r="V1286" s="443">
        <f t="shared" si="172"/>
        <v>6372.14</v>
      </c>
      <c r="W1286" s="357" t="s">
        <v>124</v>
      </c>
      <c r="X1286" s="370">
        <f>(S1286*V1286)/1000</f>
        <v>127.44280000000001</v>
      </c>
      <c r="Y1286" s="370"/>
      <c r="AG1286" s="395">
        <f t="shared" si="173"/>
        <v>0</v>
      </c>
    </row>
    <row r="1287" spans="6:33" ht="15.75">
      <c r="F1287" s="370">
        <v>0.02</v>
      </c>
      <c r="G1287" s="368" t="s">
        <v>108</v>
      </c>
      <c r="H1287" s="356" t="s">
        <v>229</v>
      </c>
      <c r="I1287" s="370">
        <f>I1273</f>
        <v>6506.2708000000002</v>
      </c>
      <c r="J1287" s="356" t="s">
        <v>108</v>
      </c>
      <c r="K1287" s="370">
        <f>(F1287*I1287)</f>
        <v>130.125416</v>
      </c>
      <c r="M1287" s="407">
        <v>2</v>
      </c>
      <c r="N1287" s="368" t="s">
        <v>213</v>
      </c>
      <c r="O1287" s="450" t="s">
        <v>2053</v>
      </c>
      <c r="P1287" s="370">
        <f t="shared" si="174"/>
        <v>24.925000000000001</v>
      </c>
      <c r="Q1287" s="357" t="s">
        <v>213</v>
      </c>
      <c r="R1287" s="370">
        <f>(M1287*P1287)</f>
        <v>49.85</v>
      </c>
      <c r="S1287" s="407">
        <v>2</v>
      </c>
      <c r="T1287" s="368" t="s">
        <v>213</v>
      </c>
      <c r="U1287" s="356" t="s">
        <v>228</v>
      </c>
      <c r="V1287" s="443">
        <f t="shared" si="172"/>
        <v>36.1</v>
      </c>
      <c r="W1287" s="357" t="s">
        <v>213</v>
      </c>
      <c r="X1287" s="370">
        <f>(S1287*V1287)</f>
        <v>72.2</v>
      </c>
      <c r="Y1287" s="370"/>
      <c r="AG1287" s="395">
        <f t="shared" si="173"/>
        <v>0</v>
      </c>
    </row>
    <row r="1288" spans="6:33" ht="15.75">
      <c r="F1288" s="370">
        <v>1</v>
      </c>
      <c r="G1288" s="368" t="s">
        <v>223</v>
      </c>
      <c r="H1288" s="356" t="s">
        <v>162</v>
      </c>
      <c r="I1288" s="370">
        <f>I1274</f>
        <v>1198.8</v>
      </c>
      <c r="J1288" s="356" t="s">
        <v>223</v>
      </c>
      <c r="K1288" s="370">
        <f>(F1288*I1288)</f>
        <v>1198.8</v>
      </c>
      <c r="M1288" s="370">
        <v>1.6</v>
      </c>
      <c r="N1288" s="368" t="s">
        <v>223</v>
      </c>
      <c r="O1288" s="356" t="s">
        <v>152</v>
      </c>
      <c r="P1288" s="370">
        <f t="shared" si="174"/>
        <v>1118.3999999999999</v>
      </c>
      <c r="Q1288" s="357" t="s">
        <v>223</v>
      </c>
      <c r="R1288" s="370">
        <f>(M1288*P1288)</f>
        <v>1789.4399999999998</v>
      </c>
      <c r="S1288" s="370">
        <v>1.6</v>
      </c>
      <c r="T1288" s="368" t="s">
        <v>223</v>
      </c>
      <c r="U1288" s="356" t="s">
        <v>152</v>
      </c>
      <c r="V1288" s="443">
        <f t="shared" si="172"/>
        <v>1118.3999999999999</v>
      </c>
      <c r="W1288" s="357" t="s">
        <v>223</v>
      </c>
      <c r="X1288" s="370">
        <f>(S1288*V1288)</f>
        <v>1789.4399999999998</v>
      </c>
      <c r="Y1288" s="370"/>
      <c r="AG1288" s="395">
        <f t="shared" si="173"/>
        <v>0</v>
      </c>
    </row>
    <row r="1289" spans="6:33" ht="15.75">
      <c r="F1289" s="370">
        <v>1</v>
      </c>
      <c r="G1289" s="368" t="s">
        <v>223</v>
      </c>
      <c r="H1289" s="356" t="s">
        <v>230</v>
      </c>
      <c r="I1289" s="370">
        <f>I1275</f>
        <v>781.19999999999993</v>
      </c>
      <c r="J1289" s="356" t="s">
        <v>223</v>
      </c>
      <c r="K1289" s="370">
        <f>(F1289*I1289)</f>
        <v>781.19999999999993</v>
      </c>
      <c r="M1289" s="370">
        <v>0.5</v>
      </c>
      <c r="N1289" s="368" t="s">
        <v>223</v>
      </c>
      <c r="O1289" s="356" t="s">
        <v>153</v>
      </c>
      <c r="P1289" s="370">
        <f t="shared" si="174"/>
        <v>781.19999999999993</v>
      </c>
      <c r="Q1289" s="357" t="s">
        <v>223</v>
      </c>
      <c r="R1289" s="370">
        <f>(M1289*P1289)</f>
        <v>390.59999999999997</v>
      </c>
      <c r="S1289" s="370">
        <v>0.5</v>
      </c>
      <c r="T1289" s="368" t="s">
        <v>223</v>
      </c>
      <c r="U1289" s="356" t="s">
        <v>153</v>
      </c>
      <c r="V1289" s="443">
        <f t="shared" si="172"/>
        <v>781.19999999999993</v>
      </c>
      <c r="W1289" s="357" t="s">
        <v>223</v>
      </c>
      <c r="X1289" s="370">
        <f>(S1289*V1289)</f>
        <v>390.59999999999997</v>
      </c>
      <c r="Y1289" s="370"/>
      <c r="AG1289" s="395">
        <f t="shared" si="173"/>
        <v>0</v>
      </c>
    </row>
    <row r="1290" spans="6:33" ht="15.75">
      <c r="G1290" s="368" t="s">
        <v>128</v>
      </c>
      <c r="H1290" s="356" t="s">
        <v>129</v>
      </c>
      <c r="J1290" s="356" t="s">
        <v>128</v>
      </c>
      <c r="K1290" s="370"/>
      <c r="M1290" s="370">
        <v>1.1000000000000001</v>
      </c>
      <c r="N1290" s="368" t="s">
        <v>223</v>
      </c>
      <c r="O1290" s="356" t="s">
        <v>154</v>
      </c>
      <c r="P1290" s="370">
        <f t="shared" si="174"/>
        <v>640.79999999999995</v>
      </c>
      <c r="Q1290" s="357" t="s">
        <v>223</v>
      </c>
      <c r="R1290" s="370">
        <f>(M1290*P1290)</f>
        <v>704.88</v>
      </c>
      <c r="S1290" s="370">
        <v>1.1000000000000001</v>
      </c>
      <c r="T1290" s="368" t="s">
        <v>223</v>
      </c>
      <c r="U1290" s="356" t="s">
        <v>154</v>
      </c>
      <c r="V1290" s="443">
        <f t="shared" si="172"/>
        <v>640.79999999999995</v>
      </c>
      <c r="W1290" s="357" t="s">
        <v>223</v>
      </c>
      <c r="X1290" s="370">
        <f>(S1290*V1290)</f>
        <v>704.88</v>
      </c>
      <c r="Y1290" s="370"/>
      <c r="AG1290" s="395">
        <f t="shared" si="173"/>
        <v>0</v>
      </c>
    </row>
    <row r="1291" spans="6:33" ht="15.75">
      <c r="K1291" s="363" t="s">
        <v>117</v>
      </c>
      <c r="N1291" s="368" t="s">
        <v>128</v>
      </c>
      <c r="O1291" s="356" t="s">
        <v>129</v>
      </c>
      <c r="Q1291" s="357" t="s">
        <v>128</v>
      </c>
      <c r="R1291" s="370">
        <v>4.5999999999999996</v>
      </c>
      <c r="S1291" s="35"/>
      <c r="T1291" s="368" t="s">
        <v>128</v>
      </c>
      <c r="U1291" s="356" t="s">
        <v>129</v>
      </c>
      <c r="W1291" s="357" t="s">
        <v>128</v>
      </c>
      <c r="X1291" s="370">
        <v>0</v>
      </c>
      <c r="Y1291" s="370"/>
      <c r="AG1291" s="395">
        <f t="shared" si="173"/>
        <v>0</v>
      </c>
    </row>
    <row r="1292" spans="6:33" ht="15.75">
      <c r="H1292" s="356" t="s">
        <v>231</v>
      </c>
      <c r="K1292" s="370">
        <f>SUM(K1285:K1290)</f>
        <v>5959.8654159999996</v>
      </c>
      <c r="N1292" s="358"/>
      <c r="Q1292" s="361"/>
      <c r="R1292" s="363" t="s">
        <v>117</v>
      </c>
      <c r="S1292" s="35"/>
      <c r="T1292" s="358"/>
      <c r="W1292" s="361"/>
      <c r="X1292" s="363" t="s">
        <v>117</v>
      </c>
      <c r="Y1292" s="363"/>
      <c r="AG1292" s="395">
        <f t="shared" si="173"/>
        <v>0</v>
      </c>
    </row>
    <row r="1293" spans="6:33" ht="15.75">
      <c r="K1293" s="363" t="s">
        <v>117</v>
      </c>
      <c r="N1293" s="358"/>
      <c r="O1293" s="356" t="s">
        <v>176</v>
      </c>
      <c r="Q1293" s="361"/>
      <c r="R1293" s="370">
        <f>SUM(R1280:R1291)</f>
        <v>27159.293811999996</v>
      </c>
      <c r="S1293" s="35"/>
      <c r="T1293" s="358"/>
      <c r="U1293" s="356" t="s">
        <v>176</v>
      </c>
      <c r="W1293" s="361"/>
      <c r="X1293" s="370">
        <f>SUM(X1279:X1291)</f>
        <v>15189.143812000002</v>
      </c>
      <c r="Y1293" s="370"/>
      <c r="AG1293" s="395">
        <f t="shared" si="173"/>
        <v>0</v>
      </c>
    </row>
    <row r="1294" spans="6:33" ht="15.75">
      <c r="H1294" s="372" t="s">
        <v>177</v>
      </c>
      <c r="K1294" s="369">
        <f>(K1292/1.86)</f>
        <v>3204.2287182795694</v>
      </c>
      <c r="N1294" s="358"/>
      <c r="Q1294" s="361"/>
      <c r="R1294" s="363" t="s">
        <v>117</v>
      </c>
      <c r="S1294" s="35"/>
      <c r="T1294" s="358"/>
      <c r="W1294" s="361"/>
      <c r="X1294" s="363" t="s">
        <v>117</v>
      </c>
      <c r="Y1294" s="363"/>
      <c r="AG1294" s="395">
        <f t="shared" si="173"/>
        <v>0</v>
      </c>
    </row>
    <row r="1295" spans="6:33" ht="15.75">
      <c r="K1295" s="363" t="s">
        <v>156</v>
      </c>
      <c r="N1295" s="358"/>
      <c r="O1295" s="359" t="s">
        <v>177</v>
      </c>
      <c r="Q1295" s="361"/>
      <c r="R1295" s="369">
        <f>(R1293/10)</f>
        <v>2715.9293811999996</v>
      </c>
      <c r="U1295" s="372" t="s">
        <v>177</v>
      </c>
      <c r="W1295" s="361"/>
      <c r="X1295" s="369">
        <f>(X1293/10)</f>
        <v>1518.9143812000002</v>
      </c>
      <c r="Y1295" s="369"/>
      <c r="AG1295" s="395">
        <f t="shared" si="173"/>
        <v>0</v>
      </c>
    </row>
    <row r="1296" spans="6:33" ht="15.75">
      <c r="K1296" s="363"/>
      <c r="W1296" s="361"/>
      <c r="X1296" s="363" t="s">
        <v>156</v>
      </c>
      <c r="Y1296" s="363"/>
      <c r="AG1296" s="395">
        <f t="shared" si="173"/>
        <v>0</v>
      </c>
    </row>
    <row r="1297" spans="6:33" ht="15.75">
      <c r="K1297" s="363"/>
      <c r="W1297" s="361"/>
      <c r="AG1297" s="395">
        <f t="shared" si="173"/>
        <v>0</v>
      </c>
    </row>
    <row r="1298" spans="6:33" ht="15.75">
      <c r="K1298" s="363"/>
      <c r="M1298" s="357"/>
      <c r="N1298" s="368" t="s">
        <v>122</v>
      </c>
      <c r="O1298" s="356" t="s">
        <v>2077</v>
      </c>
      <c r="Q1298" s="361"/>
      <c r="S1298" s="492">
        <v>15.1</v>
      </c>
      <c r="T1298" s="368" t="s">
        <v>1436</v>
      </c>
      <c r="U1298" s="356" t="s">
        <v>2078</v>
      </c>
      <c r="W1298" s="361"/>
      <c r="AG1298" s="395">
        <f t="shared" si="173"/>
        <v>0</v>
      </c>
    </row>
    <row r="1299" spans="6:33" ht="15.75">
      <c r="K1299" s="363"/>
      <c r="N1299" s="358"/>
      <c r="O1299" s="356" t="s">
        <v>280</v>
      </c>
      <c r="Q1299" s="361"/>
      <c r="S1299" s="35"/>
      <c r="T1299" s="358"/>
      <c r="U1299" s="356" t="s">
        <v>1377</v>
      </c>
      <c r="W1299" s="361"/>
      <c r="AG1299" s="395">
        <f t="shared" si="173"/>
        <v>0</v>
      </c>
    </row>
    <row r="1300" spans="6:33" ht="15.75">
      <c r="F1300" s="357" t="s">
        <v>409</v>
      </c>
      <c r="G1300" s="368" t="s">
        <v>122</v>
      </c>
      <c r="H1300" s="356" t="s">
        <v>410</v>
      </c>
      <c r="N1300" s="358"/>
      <c r="O1300" s="359" t="s">
        <v>2079</v>
      </c>
      <c r="Q1300" s="361"/>
      <c r="S1300" s="370">
        <v>10</v>
      </c>
      <c r="T1300" s="368" t="s">
        <v>262</v>
      </c>
      <c r="U1300" s="356" t="s">
        <v>2080</v>
      </c>
      <c r="V1300" s="394">
        <v>1626</v>
      </c>
      <c r="W1300" s="357" t="s">
        <v>262</v>
      </c>
      <c r="X1300" s="370">
        <f t="shared" ref="X1300:X1306" si="175">(S1300*V1300)</f>
        <v>16260</v>
      </c>
      <c r="Y1300" s="370"/>
      <c r="AG1300" s="395">
        <f t="shared" si="173"/>
        <v>0</v>
      </c>
    </row>
    <row r="1301" spans="6:33" ht="15.75">
      <c r="H1301" s="356" t="s">
        <v>411</v>
      </c>
      <c r="N1301" s="358"/>
      <c r="O1301" s="363" t="s">
        <v>117</v>
      </c>
      <c r="Q1301" s="361"/>
      <c r="S1301" s="370">
        <v>0.21</v>
      </c>
      <c r="T1301" s="368" t="s">
        <v>108</v>
      </c>
      <c r="U1301" s="356" t="s">
        <v>1443</v>
      </c>
      <c r="V1301" s="498">
        <f>P1335</f>
        <v>4976.9571999999998</v>
      </c>
      <c r="W1301" s="357" t="s">
        <v>108</v>
      </c>
      <c r="X1301" s="370">
        <f t="shared" si="175"/>
        <v>1045.161012</v>
      </c>
      <c r="Y1301" s="370"/>
      <c r="AG1301" s="395">
        <f t="shared" si="173"/>
        <v>0</v>
      </c>
    </row>
    <row r="1302" spans="6:33" ht="15.75">
      <c r="H1302" s="356" t="s">
        <v>412</v>
      </c>
      <c r="M1302" s="370">
        <v>3.2</v>
      </c>
      <c r="N1302" s="368" t="s">
        <v>213</v>
      </c>
      <c r="O1302" s="450" t="s">
        <v>2081</v>
      </c>
      <c r="P1302" s="402">
        <v>225</v>
      </c>
      <c r="Q1302" s="357" t="s">
        <v>213</v>
      </c>
      <c r="R1302" s="370">
        <f>(M1302*P1302)</f>
        <v>720</v>
      </c>
      <c r="S1302" s="370">
        <v>1.1000000000000001</v>
      </c>
      <c r="T1302" s="368" t="s">
        <v>482</v>
      </c>
      <c r="U1302" s="356" t="s">
        <v>1381</v>
      </c>
      <c r="V1302" s="498">
        <f>P1336</f>
        <v>1198.8</v>
      </c>
      <c r="W1302" s="357" t="s">
        <v>194</v>
      </c>
      <c r="X1302" s="370">
        <f t="shared" si="175"/>
        <v>1318.68</v>
      </c>
      <c r="Y1302" s="370"/>
      <c r="AG1302" s="395">
        <f t="shared" si="173"/>
        <v>0</v>
      </c>
    </row>
    <row r="1303" spans="6:33" ht="15.75">
      <c r="H1303" s="356" t="s">
        <v>2082</v>
      </c>
      <c r="M1303" s="370">
        <v>0.98</v>
      </c>
      <c r="N1303" s="368" t="s">
        <v>274</v>
      </c>
      <c r="O1303" s="356" t="s">
        <v>2083</v>
      </c>
      <c r="P1303" s="370">
        <f>P1322</f>
        <v>147.5</v>
      </c>
      <c r="Q1303" s="357" t="s">
        <v>274</v>
      </c>
      <c r="R1303" s="370">
        <f t="shared" ref="R1303:R1308" si="176">(M1303*P1303)</f>
        <v>144.55000000000001</v>
      </c>
      <c r="S1303" s="370">
        <v>1.1000000000000001</v>
      </c>
      <c r="T1303" s="368" t="s">
        <v>482</v>
      </c>
      <c r="U1303" s="356" t="s">
        <v>2084</v>
      </c>
      <c r="V1303" s="498">
        <f>P1262</f>
        <v>1118.3999999999999</v>
      </c>
      <c r="W1303" s="357" t="s">
        <v>194</v>
      </c>
      <c r="X1303" s="370">
        <f t="shared" si="175"/>
        <v>1230.24</v>
      </c>
      <c r="Y1303" s="370"/>
      <c r="AG1303" s="395">
        <f t="shared" si="173"/>
        <v>0</v>
      </c>
    </row>
    <row r="1304" spans="6:33" ht="15.75">
      <c r="H1304" s="363" t="s">
        <v>117</v>
      </c>
      <c r="M1304" s="370">
        <v>0.5</v>
      </c>
      <c r="N1304" s="368" t="s">
        <v>223</v>
      </c>
      <c r="O1304" s="356" t="s">
        <v>261</v>
      </c>
      <c r="P1304" s="370">
        <f>AG13</f>
        <v>956.4</v>
      </c>
      <c r="Q1304" s="368" t="s">
        <v>223</v>
      </c>
      <c r="R1304" s="370">
        <f t="shared" si="176"/>
        <v>478.2</v>
      </c>
      <c r="S1304" s="370">
        <v>2.2000000000000002</v>
      </c>
      <c r="T1304" s="368" t="s">
        <v>482</v>
      </c>
      <c r="U1304" s="356" t="s">
        <v>1383</v>
      </c>
      <c r="V1304" s="498">
        <f>P1337</f>
        <v>781.19999999999993</v>
      </c>
      <c r="W1304" s="357" t="s">
        <v>194</v>
      </c>
      <c r="X1304" s="370">
        <f t="shared" si="175"/>
        <v>1718.64</v>
      </c>
      <c r="Y1304" s="370"/>
      <c r="AG1304" s="395">
        <f t="shared" si="173"/>
        <v>0</v>
      </c>
    </row>
    <row r="1305" spans="6:33" ht="15.75">
      <c r="F1305" s="370">
        <v>0.24</v>
      </c>
      <c r="G1305" s="368" t="s">
        <v>108</v>
      </c>
      <c r="H1305" s="356" t="s">
        <v>414</v>
      </c>
      <c r="I1305" s="370">
        <f>(C70)</f>
        <v>1163.9499999999998</v>
      </c>
      <c r="J1305" s="356" t="s">
        <v>108</v>
      </c>
      <c r="K1305" s="370">
        <f>(F1305*I1305)</f>
        <v>279.34799999999996</v>
      </c>
      <c r="M1305" s="370">
        <v>0.7</v>
      </c>
      <c r="N1305" s="368" t="s">
        <v>223</v>
      </c>
      <c r="O1305" s="356" t="s">
        <v>2085</v>
      </c>
      <c r="P1305" s="370">
        <f>AG14</f>
        <v>926.4</v>
      </c>
      <c r="Q1305" s="368" t="s">
        <v>223</v>
      </c>
      <c r="R1305" s="370">
        <f t="shared" si="176"/>
        <v>648.4799999999999</v>
      </c>
      <c r="S1305" s="370">
        <v>2.2000000000000002</v>
      </c>
      <c r="T1305" s="368" t="s">
        <v>482</v>
      </c>
      <c r="U1305" s="356" t="s">
        <v>2086</v>
      </c>
      <c r="V1305" s="498">
        <f>P1307</f>
        <v>640.79999999999995</v>
      </c>
      <c r="W1305" s="357" t="s">
        <v>194</v>
      </c>
      <c r="X1305" s="370">
        <f t="shared" si="175"/>
        <v>1409.76</v>
      </c>
      <c r="Y1305" s="370"/>
      <c r="AG1305" s="395">
        <f t="shared" si="173"/>
        <v>0</v>
      </c>
    </row>
    <row r="1306" spans="6:33" ht="15.75">
      <c r="F1306" s="407">
        <v>0.11700000000000001</v>
      </c>
      <c r="G1306" s="368" t="s">
        <v>124</v>
      </c>
      <c r="H1306" s="356" t="s">
        <v>125</v>
      </c>
      <c r="I1306" s="370">
        <f>(C67)</f>
        <v>6372.14</v>
      </c>
      <c r="J1306" s="356" t="s">
        <v>124</v>
      </c>
      <c r="K1306" s="370">
        <f>(F1306*I1306)</f>
        <v>745.54038000000003</v>
      </c>
      <c r="M1306" s="370">
        <v>0.5</v>
      </c>
      <c r="N1306" s="368" t="s">
        <v>223</v>
      </c>
      <c r="O1306" s="356" t="s">
        <v>153</v>
      </c>
      <c r="P1306" s="370">
        <f>I1308</f>
        <v>781.19999999999993</v>
      </c>
      <c r="Q1306" s="368" t="s">
        <v>223</v>
      </c>
      <c r="R1306" s="370">
        <f t="shared" si="176"/>
        <v>390.59999999999997</v>
      </c>
      <c r="S1306" s="370">
        <v>10</v>
      </c>
      <c r="T1306" s="368" t="s">
        <v>128</v>
      </c>
      <c r="U1306" s="356" t="s">
        <v>2087</v>
      </c>
      <c r="V1306" s="498">
        <v>153.47</v>
      </c>
      <c r="W1306" s="357" t="s">
        <v>128</v>
      </c>
      <c r="X1306" s="370">
        <f t="shared" si="175"/>
        <v>1534.7</v>
      </c>
      <c r="Y1306" s="370"/>
      <c r="AG1306" s="395">
        <f t="shared" si="173"/>
        <v>0</v>
      </c>
    </row>
    <row r="1307" spans="6:33" ht="15.75">
      <c r="F1307" s="370">
        <v>0.5</v>
      </c>
      <c r="G1307" s="368" t="s">
        <v>223</v>
      </c>
      <c r="H1307" s="356" t="s">
        <v>162</v>
      </c>
      <c r="I1307" s="370">
        <f>(C10)</f>
        <v>1198.8</v>
      </c>
      <c r="J1307" s="356" t="s">
        <v>223</v>
      </c>
      <c r="K1307" s="370">
        <f>(F1307*I1307)</f>
        <v>599.4</v>
      </c>
      <c r="M1307" s="370">
        <v>0.8</v>
      </c>
      <c r="N1307" s="368" t="s">
        <v>223</v>
      </c>
      <c r="O1307" s="356" t="s">
        <v>154</v>
      </c>
      <c r="P1307" s="370">
        <f>I1309</f>
        <v>640.79999999999995</v>
      </c>
      <c r="Q1307" s="368" t="s">
        <v>223</v>
      </c>
      <c r="R1307" s="370">
        <f t="shared" si="176"/>
        <v>512.64</v>
      </c>
      <c r="S1307" s="35"/>
      <c r="T1307" s="358"/>
      <c r="U1307" s="356"/>
      <c r="V1307" s="498">
        <f>P1339</f>
        <v>0</v>
      </c>
      <c r="W1307" s="361"/>
      <c r="X1307" s="363" t="s">
        <v>117</v>
      </c>
      <c r="Y1307" s="363"/>
      <c r="AG1307" s="395">
        <f t="shared" si="173"/>
        <v>0</v>
      </c>
    </row>
    <row r="1308" spans="6:33" ht="15.75">
      <c r="F1308" s="370">
        <v>1.1000000000000001</v>
      </c>
      <c r="G1308" s="368" t="s">
        <v>223</v>
      </c>
      <c r="H1308" s="356" t="s">
        <v>271</v>
      </c>
      <c r="I1308" s="370">
        <f>(C12)</f>
        <v>781.19999999999993</v>
      </c>
      <c r="J1308" s="356" t="s">
        <v>223</v>
      </c>
      <c r="K1308" s="370">
        <f>(F1308*I1308)</f>
        <v>859.32</v>
      </c>
      <c r="M1308" s="370">
        <v>10</v>
      </c>
      <c r="N1308" s="368" t="s">
        <v>262</v>
      </c>
      <c r="O1308" s="356" t="s">
        <v>2088</v>
      </c>
      <c r="P1308" s="381">
        <f>C462</f>
        <v>5.04</v>
      </c>
      <c r="Q1308" s="368" t="s">
        <v>262</v>
      </c>
      <c r="R1308" s="370">
        <f t="shared" si="176"/>
        <v>50.4</v>
      </c>
      <c r="S1308" s="35"/>
      <c r="T1308" s="358"/>
      <c r="U1308" s="357" t="s">
        <v>1453</v>
      </c>
      <c r="V1308" s="498"/>
      <c r="W1308" s="361"/>
      <c r="X1308" s="370">
        <f>SUM(X1300:X1306)</f>
        <v>24517.181012000001</v>
      </c>
      <c r="Y1308" s="370"/>
      <c r="AG1308" s="395">
        <f t="shared" si="173"/>
        <v>0</v>
      </c>
    </row>
    <row r="1309" spans="6:33" ht="15.75">
      <c r="F1309" s="370">
        <v>4.3</v>
      </c>
      <c r="G1309" s="368" t="s">
        <v>223</v>
      </c>
      <c r="H1309" s="356" t="s">
        <v>154</v>
      </c>
      <c r="I1309" s="370">
        <f>(C13)</f>
        <v>640.79999999999995</v>
      </c>
      <c r="J1309" s="356" t="s">
        <v>223</v>
      </c>
      <c r="K1309" s="370">
        <f>(F1309*I1309)</f>
        <v>2755.4399999999996</v>
      </c>
      <c r="N1309" s="368" t="s">
        <v>128</v>
      </c>
      <c r="O1309" s="356" t="s">
        <v>283</v>
      </c>
      <c r="P1309" s="356" t="s">
        <v>114</v>
      </c>
      <c r="Q1309" s="357" t="s">
        <v>128</v>
      </c>
      <c r="R1309" s="370">
        <v>0</v>
      </c>
      <c r="S1309" s="35"/>
      <c r="T1309" s="358"/>
      <c r="W1309" s="361"/>
      <c r="X1309" s="363" t="s">
        <v>117</v>
      </c>
      <c r="Y1309" s="363"/>
      <c r="AG1309" s="395">
        <f t="shared" si="173"/>
        <v>0</v>
      </c>
    </row>
    <row r="1310" spans="6:33" ht="15.75">
      <c r="G1310" s="368" t="s">
        <v>128</v>
      </c>
      <c r="H1310" s="356" t="s">
        <v>129</v>
      </c>
      <c r="J1310" s="356" t="s">
        <v>128</v>
      </c>
      <c r="K1310" s="370">
        <v>0</v>
      </c>
      <c r="N1310" s="358"/>
      <c r="Q1310" s="361"/>
      <c r="R1310" s="363" t="s">
        <v>117</v>
      </c>
      <c r="S1310" s="35"/>
      <c r="T1310" s="358"/>
      <c r="U1310" s="357" t="s">
        <v>1458</v>
      </c>
      <c r="W1310" s="361"/>
      <c r="X1310" s="369">
        <f>X1308/10</f>
        <v>2451.7181012000001</v>
      </c>
      <c r="Y1310" s="369"/>
      <c r="AG1310" s="395">
        <f t="shared" si="173"/>
        <v>0</v>
      </c>
    </row>
    <row r="1311" spans="6:33" ht="15.75">
      <c r="K1311" s="363" t="s">
        <v>117</v>
      </c>
      <c r="N1311" s="358"/>
      <c r="O1311" s="356" t="s">
        <v>176</v>
      </c>
      <c r="Q1311" s="361"/>
      <c r="R1311" s="370">
        <f>SUM(R1302:R1309)</f>
        <v>2944.87</v>
      </c>
      <c r="S1311" s="35"/>
      <c r="T1311" s="358"/>
      <c r="U1311" s="356" t="s">
        <v>172</v>
      </c>
      <c r="W1311" s="361">
        <f>X1315+Z1310</f>
        <v>2453.9381012000003</v>
      </c>
      <c r="X1311" s="370">
        <f>X1310+Z1308</f>
        <v>2451.7181012000001</v>
      </c>
      <c r="Y1311" s="370"/>
      <c r="AG1311" s="395">
        <f t="shared" si="173"/>
        <v>0</v>
      </c>
    </row>
    <row r="1312" spans="6:33" ht="15.75">
      <c r="H1312" s="356" t="s">
        <v>176</v>
      </c>
      <c r="K1312" s="370">
        <f>SUM(K1305:K1310)</f>
        <v>5239.0483800000002</v>
      </c>
      <c r="N1312" s="358"/>
      <c r="Q1312" s="361"/>
      <c r="R1312" s="363" t="s">
        <v>117</v>
      </c>
      <c r="S1312" s="35"/>
      <c r="T1312" s="358"/>
      <c r="U1312" s="356" t="s">
        <v>873</v>
      </c>
      <c r="W1312" s="361">
        <f>W1311+Z1310</f>
        <v>2453.9381012000003</v>
      </c>
      <c r="X1312" s="370">
        <f>X1311+1.11</f>
        <v>2452.8281012000002</v>
      </c>
      <c r="Y1312" s="370"/>
      <c r="AG1312" s="395">
        <f t="shared" si="173"/>
        <v>0</v>
      </c>
    </row>
    <row r="1313" spans="6:33" ht="15.75">
      <c r="K1313" s="363" t="s">
        <v>117</v>
      </c>
      <c r="N1313" s="358"/>
      <c r="O1313" s="359" t="s">
        <v>177</v>
      </c>
      <c r="Q1313" s="361"/>
      <c r="R1313" s="369">
        <f>(R1311/10)</f>
        <v>294.48699999999997</v>
      </c>
      <c r="S1313" s="35"/>
      <c r="T1313" s="358"/>
      <c r="U1313" s="356" t="s">
        <v>876</v>
      </c>
      <c r="W1313" s="361"/>
      <c r="X1313" s="370">
        <f>X1312+1.11</f>
        <v>2453.9381012000003</v>
      </c>
      <c r="Y1313" s="370"/>
      <c r="AG1313" s="395">
        <f t="shared" si="173"/>
        <v>0</v>
      </c>
    </row>
    <row r="1314" spans="6:33" ht="15.75">
      <c r="H1314" s="372" t="s">
        <v>177</v>
      </c>
      <c r="K1314" s="369">
        <f>(K1312/10)</f>
        <v>523.90483800000004</v>
      </c>
      <c r="M1314" s="356" t="s">
        <v>114</v>
      </c>
      <c r="N1314" s="358"/>
      <c r="Q1314" s="361"/>
      <c r="S1314" s="35"/>
      <c r="T1314" s="358"/>
      <c r="U1314" s="356" t="s">
        <v>878</v>
      </c>
      <c r="W1314" s="361"/>
      <c r="X1314" s="370">
        <f>X1313+Z1310</f>
        <v>2453.9381012000003</v>
      </c>
      <c r="Y1314" s="370"/>
      <c r="AG1314" s="395">
        <f t="shared" si="173"/>
        <v>0</v>
      </c>
    </row>
    <row r="1315" spans="6:33" ht="15.75">
      <c r="F1315" s="356" t="s">
        <v>114</v>
      </c>
      <c r="N1315" s="358"/>
      <c r="Q1315" s="361"/>
      <c r="R1315" s="363" t="s">
        <v>156</v>
      </c>
      <c r="S1315" s="35"/>
      <c r="T1315" s="358"/>
      <c r="U1315" s="356" t="s">
        <v>1287</v>
      </c>
      <c r="W1315" s="361"/>
      <c r="X1315" s="370">
        <f>X1314+Z1310</f>
        <v>2453.9381012000003</v>
      </c>
      <c r="Y1315" s="370"/>
      <c r="AG1315" s="395">
        <f t="shared" si="173"/>
        <v>0</v>
      </c>
    </row>
    <row r="1316" spans="6:33" ht="15.75">
      <c r="K1316" s="363" t="s">
        <v>156</v>
      </c>
      <c r="N1316" s="358"/>
      <c r="Q1316" s="361"/>
      <c r="S1316" s="35"/>
      <c r="T1316" s="358"/>
      <c r="W1316" s="361"/>
      <c r="AG1316" s="395">
        <f t="shared" si="173"/>
        <v>0</v>
      </c>
    </row>
    <row r="1317" spans="6:33" ht="15.75">
      <c r="F1317" s="357" t="s">
        <v>2089</v>
      </c>
      <c r="G1317" s="368" t="s">
        <v>122</v>
      </c>
      <c r="H1317" s="359" t="s">
        <v>2090</v>
      </c>
      <c r="M1317" s="357" t="s">
        <v>2091</v>
      </c>
      <c r="N1317" s="368" t="s">
        <v>122</v>
      </c>
      <c r="O1317" s="356" t="s">
        <v>2092</v>
      </c>
      <c r="Q1317" s="361"/>
      <c r="W1317" s="361"/>
      <c r="Z1317" s="357" t="s">
        <v>2091</v>
      </c>
      <c r="AA1317" s="368" t="s">
        <v>122</v>
      </c>
      <c r="AB1317" s="368"/>
      <c r="AC1317" s="356" t="s">
        <v>2092</v>
      </c>
      <c r="AE1317" s="361"/>
      <c r="AG1317" s="395">
        <f t="shared" si="173"/>
        <v>0</v>
      </c>
    </row>
    <row r="1318" spans="6:33" ht="15.75">
      <c r="H1318" s="356" t="s">
        <v>2093</v>
      </c>
      <c r="N1318" s="358"/>
      <c r="O1318" s="356" t="s">
        <v>280</v>
      </c>
      <c r="Q1318" s="361"/>
      <c r="S1318" s="492">
        <v>15.1</v>
      </c>
      <c r="T1318" s="368" t="s">
        <v>1436</v>
      </c>
      <c r="U1318" s="356" t="s">
        <v>2094</v>
      </c>
      <c r="W1318" s="361"/>
      <c r="AA1318" s="358"/>
      <c r="AB1318" s="358"/>
      <c r="AC1318" s="356" t="s">
        <v>280</v>
      </c>
      <c r="AE1318" s="361"/>
      <c r="AG1318" s="395">
        <f t="shared" si="173"/>
        <v>0</v>
      </c>
    </row>
    <row r="1319" spans="6:33" ht="15.75">
      <c r="H1319" s="356" t="s">
        <v>2095</v>
      </c>
      <c r="N1319" s="358"/>
      <c r="O1319" s="359" t="s">
        <v>275</v>
      </c>
      <c r="Q1319" s="361"/>
      <c r="S1319" s="35"/>
      <c r="T1319" s="358"/>
      <c r="U1319" s="356" t="s">
        <v>1377</v>
      </c>
      <c r="W1319" s="361"/>
      <c r="AA1319" s="358"/>
      <c r="AB1319" s="358"/>
      <c r="AC1319" s="359" t="s">
        <v>2096</v>
      </c>
      <c r="AE1319" s="361"/>
      <c r="AG1319" s="395">
        <f t="shared" si="173"/>
        <v>0</v>
      </c>
    </row>
    <row r="1320" spans="6:33" ht="15.75">
      <c r="H1320" s="356" t="s">
        <v>2097</v>
      </c>
      <c r="N1320" s="358"/>
      <c r="O1320" s="363" t="s">
        <v>117</v>
      </c>
      <c r="Q1320" s="361"/>
      <c r="S1320" s="370">
        <v>10</v>
      </c>
      <c r="T1320" s="368" t="s">
        <v>262</v>
      </c>
      <c r="U1320" s="356" t="s">
        <v>2098</v>
      </c>
      <c r="V1320" s="394">
        <f>AD1190</f>
        <v>1737</v>
      </c>
      <c r="W1320" s="357" t="s">
        <v>262</v>
      </c>
      <c r="X1320" s="370">
        <f>(S1320*V1320)</f>
        <v>17370</v>
      </c>
      <c r="Y1320" s="370"/>
      <c r="AA1320" s="358"/>
      <c r="AB1320" s="358"/>
      <c r="AC1320" s="363" t="s">
        <v>117</v>
      </c>
      <c r="AE1320" s="361"/>
      <c r="AG1320" s="395">
        <f t="shared" si="173"/>
        <v>0</v>
      </c>
    </row>
    <row r="1321" spans="6:33" ht="15.75">
      <c r="H1321" s="356" t="s">
        <v>2099</v>
      </c>
      <c r="M1321" s="370">
        <v>1.4</v>
      </c>
      <c r="N1321" s="368" t="s">
        <v>274</v>
      </c>
      <c r="O1321" s="571" t="s">
        <v>2100</v>
      </c>
      <c r="P1321" s="548">
        <v>295.60000000000002</v>
      </c>
      <c r="Q1321" s="357" t="s">
        <v>274</v>
      </c>
      <c r="R1321" s="370">
        <f>P1321*M1321</f>
        <v>413.84000000000003</v>
      </c>
      <c r="S1321" s="370">
        <v>0.21</v>
      </c>
      <c r="T1321" s="368" t="s">
        <v>108</v>
      </c>
      <c r="U1321" s="356" t="s">
        <v>1443</v>
      </c>
      <c r="V1321" s="498">
        <f>V1301</f>
        <v>4976.9571999999998</v>
      </c>
      <c r="W1321" s="357" t="s">
        <v>108</v>
      </c>
      <c r="X1321" s="370">
        <f t="shared" ref="X1321:X1326" si="177">(S1321*V1321)</f>
        <v>1045.161012</v>
      </c>
      <c r="Y1321" s="370"/>
      <c r="Z1321" s="370">
        <v>1.4</v>
      </c>
      <c r="AA1321" s="368" t="s">
        <v>274</v>
      </c>
      <c r="AB1321" s="368"/>
      <c r="AC1321" s="571" t="s">
        <v>2100</v>
      </c>
      <c r="AD1321" s="548">
        <v>303.8</v>
      </c>
      <c r="AE1321" s="357" t="s">
        <v>274</v>
      </c>
      <c r="AF1321" s="370">
        <f>AD1321*Z1321</f>
        <v>425.32</v>
      </c>
      <c r="AG1321" s="395">
        <f t="shared" si="173"/>
        <v>0</v>
      </c>
    </row>
    <row r="1322" spans="6:33" ht="15.75">
      <c r="H1322" s="363" t="s">
        <v>117</v>
      </c>
      <c r="M1322" s="370">
        <v>0.98</v>
      </c>
      <c r="N1322" s="368" t="s">
        <v>274</v>
      </c>
      <c r="O1322" s="450" t="s">
        <v>2101</v>
      </c>
      <c r="P1322" s="381">
        <f>C198</f>
        <v>147.5</v>
      </c>
      <c r="Q1322" s="357" t="s">
        <v>274</v>
      </c>
      <c r="R1322" s="370">
        <f>(M1322*P1322)</f>
        <v>144.55000000000001</v>
      </c>
      <c r="S1322" s="370">
        <v>1.1000000000000001</v>
      </c>
      <c r="T1322" s="368" t="s">
        <v>482</v>
      </c>
      <c r="U1322" s="356" t="s">
        <v>1381</v>
      </c>
      <c r="V1322" s="394">
        <f t="shared" ref="V1322:V1327" si="178">V1302</f>
        <v>1198.8</v>
      </c>
      <c r="W1322" s="357" t="s">
        <v>194</v>
      </c>
      <c r="X1322" s="370">
        <f t="shared" si="177"/>
        <v>1318.68</v>
      </c>
      <c r="Y1322" s="370"/>
      <c r="Z1322" s="370">
        <v>0.98</v>
      </c>
      <c r="AA1322" s="368" t="s">
        <v>274</v>
      </c>
      <c r="AB1322" s="368"/>
      <c r="AC1322" s="450" t="s">
        <v>2101</v>
      </c>
      <c r="AD1322" s="381">
        <v>151.30000000000001</v>
      </c>
      <c r="AE1322" s="357" t="s">
        <v>274</v>
      </c>
      <c r="AF1322" s="370">
        <f>(Z1322*AD1322)</f>
        <v>148.274</v>
      </c>
      <c r="AG1322" s="395">
        <f t="shared" si="173"/>
        <v>0</v>
      </c>
    </row>
    <row r="1323" spans="6:33" ht="15.75">
      <c r="F1323" s="370">
        <v>12.8</v>
      </c>
      <c r="G1323" s="368" t="s">
        <v>108</v>
      </c>
      <c r="H1323" s="356" t="s">
        <v>2102</v>
      </c>
      <c r="I1323" s="370">
        <f>(C82)</f>
        <v>1151.4399999999998</v>
      </c>
      <c r="J1323" s="356" t="s">
        <v>108</v>
      </c>
      <c r="K1323" s="370">
        <f>(F1323*I1323)</f>
        <v>14738.431999999999</v>
      </c>
      <c r="M1323" s="370">
        <v>2.2000000000000002</v>
      </c>
      <c r="N1323" s="368" t="s">
        <v>223</v>
      </c>
      <c r="O1323" s="356" t="s">
        <v>261</v>
      </c>
      <c r="P1323" s="370">
        <f>P1304</f>
        <v>956.4</v>
      </c>
      <c r="Q1323" s="357" t="s">
        <v>223</v>
      </c>
      <c r="R1323" s="370">
        <f>(M1323*P1323)</f>
        <v>2104.08</v>
      </c>
      <c r="S1323" s="370">
        <v>1.1000000000000001</v>
      </c>
      <c r="T1323" s="368" t="s">
        <v>482</v>
      </c>
      <c r="U1323" s="356" t="s">
        <v>2084</v>
      </c>
      <c r="V1323" s="394">
        <f t="shared" si="178"/>
        <v>1118.3999999999999</v>
      </c>
      <c r="W1323" s="357" t="s">
        <v>194</v>
      </c>
      <c r="X1323" s="370">
        <f t="shared" si="177"/>
        <v>1230.24</v>
      </c>
      <c r="Y1323" s="370"/>
      <c r="Z1323" s="370">
        <v>2.2000000000000002</v>
      </c>
      <c r="AA1323" s="368" t="s">
        <v>223</v>
      </c>
      <c r="AB1323" s="368"/>
      <c r="AC1323" s="356" t="s">
        <v>261</v>
      </c>
      <c r="AD1323" s="370">
        <f>P1323</f>
        <v>956.4</v>
      </c>
      <c r="AE1323" s="357" t="s">
        <v>223</v>
      </c>
      <c r="AF1323" s="370">
        <f>(Z1323*AD1323)</f>
        <v>2104.08</v>
      </c>
      <c r="AG1323" s="395">
        <f t="shared" si="173"/>
        <v>0</v>
      </c>
    </row>
    <row r="1324" spans="6:33" ht="15.75">
      <c r="F1324" s="370">
        <v>5</v>
      </c>
      <c r="G1324" s="368" t="s">
        <v>108</v>
      </c>
      <c r="H1324" s="356" t="s">
        <v>2103</v>
      </c>
      <c r="I1324" s="370">
        <f>(C85)</f>
        <v>1109.8399999999999</v>
      </c>
      <c r="J1324" s="356" t="s">
        <v>108</v>
      </c>
      <c r="K1324" s="370">
        <f>(F1324*I1324)</f>
        <v>5549.2</v>
      </c>
      <c r="N1324" s="368" t="s">
        <v>128</v>
      </c>
      <c r="O1324" s="356" t="s">
        <v>283</v>
      </c>
      <c r="P1324" s="356" t="s">
        <v>114</v>
      </c>
      <c r="Q1324" s="357" t="s">
        <v>128</v>
      </c>
      <c r="R1324" s="370">
        <v>2.5499999999999998</v>
      </c>
      <c r="S1324" s="370">
        <v>2.2000000000000002</v>
      </c>
      <c r="T1324" s="368" t="s">
        <v>482</v>
      </c>
      <c r="U1324" s="356" t="s">
        <v>1383</v>
      </c>
      <c r="V1324" s="394">
        <f t="shared" si="178"/>
        <v>781.19999999999993</v>
      </c>
      <c r="W1324" s="357" t="s">
        <v>194</v>
      </c>
      <c r="X1324" s="370">
        <f t="shared" si="177"/>
        <v>1718.64</v>
      </c>
      <c r="Y1324" s="370"/>
      <c r="AA1324" s="368" t="s">
        <v>128</v>
      </c>
      <c r="AB1324" s="368"/>
      <c r="AC1324" s="356" t="s">
        <v>283</v>
      </c>
      <c r="AD1324" s="356" t="s">
        <v>114</v>
      </c>
      <c r="AE1324" s="357" t="s">
        <v>128</v>
      </c>
      <c r="AF1324" s="370">
        <v>2.85</v>
      </c>
      <c r="AG1324" s="395">
        <f t="shared" si="173"/>
        <v>0</v>
      </c>
    </row>
    <row r="1325" spans="6:33" ht="15.75">
      <c r="F1325" s="370">
        <v>1.8</v>
      </c>
      <c r="G1325" s="368" t="s">
        <v>223</v>
      </c>
      <c r="H1325" s="356" t="s">
        <v>162</v>
      </c>
      <c r="I1325" s="370">
        <f>(C10)</f>
        <v>1198.8</v>
      </c>
      <c r="J1325" s="356" t="s">
        <v>223</v>
      </c>
      <c r="K1325" s="370">
        <f>(F1325*I1325)</f>
        <v>2157.84</v>
      </c>
      <c r="N1325" s="358"/>
      <c r="Q1325" s="361"/>
      <c r="R1325" s="363"/>
      <c r="S1325" s="370">
        <v>2.2000000000000002</v>
      </c>
      <c r="T1325" s="368" t="s">
        <v>482</v>
      </c>
      <c r="U1325" s="356" t="s">
        <v>2086</v>
      </c>
      <c r="V1325" s="394">
        <f t="shared" si="178"/>
        <v>640.79999999999995</v>
      </c>
      <c r="W1325" s="357" t="s">
        <v>194</v>
      </c>
      <c r="X1325" s="370">
        <f t="shared" si="177"/>
        <v>1409.76</v>
      </c>
      <c r="Y1325" s="370"/>
      <c r="AA1325" s="358"/>
      <c r="AB1325" s="358"/>
      <c r="AE1325" s="361"/>
      <c r="AF1325" s="363"/>
      <c r="AG1325" s="395">
        <f t="shared" si="173"/>
        <v>0</v>
      </c>
    </row>
    <row r="1326" spans="6:33" ht="15.75">
      <c r="F1326" s="370">
        <v>17.7</v>
      </c>
      <c r="G1326" s="368" t="s">
        <v>223</v>
      </c>
      <c r="H1326" s="356" t="s">
        <v>271</v>
      </c>
      <c r="I1326" s="370">
        <f>(C12)</f>
        <v>781.19999999999993</v>
      </c>
      <c r="J1326" s="356" t="s">
        <v>223</v>
      </c>
      <c r="K1326" s="370">
        <f>(F1326*I1326)</f>
        <v>13827.239999999998</v>
      </c>
      <c r="N1326" s="358"/>
      <c r="O1326" s="356" t="s">
        <v>176</v>
      </c>
      <c r="Q1326" s="361"/>
      <c r="R1326" s="370">
        <f>SUM(R1321:R1324)</f>
        <v>2665.0200000000004</v>
      </c>
      <c r="S1326" s="370">
        <v>10</v>
      </c>
      <c r="T1326" s="368" t="s">
        <v>128</v>
      </c>
      <c r="U1326" s="356" t="s">
        <v>2087</v>
      </c>
      <c r="V1326" s="394">
        <f t="shared" si="178"/>
        <v>153.47</v>
      </c>
      <c r="W1326" s="357" t="s">
        <v>128</v>
      </c>
      <c r="X1326" s="370">
        <f t="shared" si="177"/>
        <v>1534.7</v>
      </c>
      <c r="Y1326" s="370"/>
      <c r="AA1326" s="358"/>
      <c r="AB1326" s="358"/>
      <c r="AC1326" s="356" t="s">
        <v>176</v>
      </c>
      <c r="AE1326" s="361"/>
      <c r="AF1326" s="370">
        <f>SUM(AF1321:AF1324)</f>
        <v>2680.5239999999999</v>
      </c>
      <c r="AG1326" s="395">
        <f t="shared" si="173"/>
        <v>0</v>
      </c>
    </row>
    <row r="1327" spans="6:33" ht="15.75">
      <c r="F1327" s="370">
        <v>14.1</v>
      </c>
      <c r="G1327" s="368" t="s">
        <v>223</v>
      </c>
      <c r="H1327" s="356" t="s">
        <v>154</v>
      </c>
      <c r="I1327" s="370">
        <f>(C13)</f>
        <v>640.79999999999995</v>
      </c>
      <c r="J1327" s="356" t="s">
        <v>223</v>
      </c>
      <c r="K1327" s="370">
        <f>(F1327*I1327)</f>
        <v>9035.2799999999988</v>
      </c>
      <c r="N1327" s="358"/>
      <c r="Q1327" s="361"/>
      <c r="R1327" s="363" t="s">
        <v>117</v>
      </c>
      <c r="S1327" s="35"/>
      <c r="T1327" s="358"/>
      <c r="U1327" s="356"/>
      <c r="V1327" s="394">
        <f t="shared" si="178"/>
        <v>0</v>
      </c>
      <c r="W1327" s="361"/>
      <c r="X1327" s="363" t="s">
        <v>117</v>
      </c>
      <c r="Y1327" s="363"/>
      <c r="AA1327" s="358"/>
      <c r="AB1327" s="358"/>
      <c r="AE1327" s="361"/>
      <c r="AF1327" s="363" t="s">
        <v>117</v>
      </c>
      <c r="AG1327" s="395">
        <f t="shared" si="173"/>
        <v>0</v>
      </c>
    </row>
    <row r="1328" spans="6:33" ht="15.75">
      <c r="G1328" s="368" t="s">
        <v>128</v>
      </c>
      <c r="H1328" s="356" t="s">
        <v>129</v>
      </c>
      <c r="J1328" s="356" t="s">
        <v>128</v>
      </c>
      <c r="K1328" s="370">
        <v>0</v>
      </c>
      <c r="N1328" s="358"/>
      <c r="O1328" s="356" t="s">
        <v>177</v>
      </c>
      <c r="Q1328" s="361"/>
      <c r="R1328" s="369">
        <f>(R1326/10)</f>
        <v>266.50200000000007</v>
      </c>
      <c r="S1328" s="35">
        <f>R1328-157</f>
        <v>109.50200000000007</v>
      </c>
      <c r="T1328" s="358"/>
      <c r="U1328" s="357" t="s">
        <v>1453</v>
      </c>
      <c r="W1328" s="361"/>
      <c r="X1328" s="370">
        <f>SUM(X1320:X1326)</f>
        <v>25627.181012000001</v>
      </c>
      <c r="Y1328" s="370"/>
      <c r="AA1328" s="358"/>
      <c r="AB1328" s="358"/>
      <c r="AC1328" s="356" t="s">
        <v>177</v>
      </c>
      <c r="AE1328" s="361"/>
      <c r="AF1328" s="369">
        <f>(AF1326/10)</f>
        <v>268.05239999999998</v>
      </c>
      <c r="AG1328" s="395">
        <f t="shared" si="173"/>
        <v>0</v>
      </c>
    </row>
    <row r="1329" spans="6:33" ht="15.75">
      <c r="K1329" s="363" t="s">
        <v>117</v>
      </c>
      <c r="M1329" s="356" t="s">
        <v>114</v>
      </c>
      <c r="N1329" s="358"/>
      <c r="Q1329" s="361"/>
      <c r="S1329" s="35"/>
      <c r="T1329" s="358"/>
      <c r="W1329" s="361"/>
      <c r="X1329" s="363" t="s">
        <v>117</v>
      </c>
      <c r="Y1329" s="363"/>
      <c r="Z1329" s="356" t="s">
        <v>114</v>
      </c>
      <c r="AA1329" s="358"/>
      <c r="AB1329" s="358"/>
      <c r="AE1329" s="361"/>
      <c r="AG1329" s="395">
        <f t="shared" si="173"/>
        <v>0</v>
      </c>
    </row>
    <row r="1330" spans="6:33" ht="15.75">
      <c r="H1330" s="356" t="s">
        <v>143</v>
      </c>
      <c r="K1330" s="370">
        <f>SUM(K1323:K1329)</f>
        <v>45307.991999999998</v>
      </c>
      <c r="N1330" s="358"/>
      <c r="Q1330" s="361"/>
      <c r="R1330" s="363" t="s">
        <v>156</v>
      </c>
      <c r="S1330" s="35"/>
      <c r="T1330" s="358"/>
      <c r="U1330" s="357" t="s">
        <v>1458</v>
      </c>
      <c r="W1330" s="361"/>
      <c r="X1330" s="369">
        <f>X1328/10</f>
        <v>2562.7181012000001</v>
      </c>
      <c r="Y1330" s="369"/>
      <c r="AA1330" s="358"/>
      <c r="AB1330" s="358"/>
      <c r="AE1330" s="361"/>
      <c r="AF1330" s="363" t="s">
        <v>156</v>
      </c>
      <c r="AG1330" s="395">
        <f t="shared" si="173"/>
        <v>0</v>
      </c>
    </row>
    <row r="1331" spans="6:33" ht="15.75">
      <c r="K1331" s="363" t="s">
        <v>117</v>
      </c>
      <c r="N1331" s="358"/>
      <c r="Q1331" s="361"/>
      <c r="W1331" s="361"/>
      <c r="AG1331" s="395">
        <f t="shared" si="173"/>
        <v>0</v>
      </c>
    </row>
    <row r="1332" spans="6:33" ht="15.75">
      <c r="H1332" s="372" t="s">
        <v>155</v>
      </c>
      <c r="K1332" s="369">
        <f>(K1330/10)</f>
        <v>4530.7991999999995</v>
      </c>
      <c r="M1332" s="492">
        <v>15.1</v>
      </c>
      <c r="N1332" s="368" t="s">
        <v>1436</v>
      </c>
      <c r="O1332" s="356" t="s">
        <v>2094</v>
      </c>
      <c r="Q1332" s="361"/>
      <c r="T1332" s="359" t="s">
        <v>2104</v>
      </c>
      <c r="W1332" s="361"/>
      <c r="AG1332" s="395">
        <f t="shared" si="173"/>
        <v>0</v>
      </c>
    </row>
    <row r="1333" spans="6:33" ht="15.75">
      <c r="K1333" s="363" t="s">
        <v>156</v>
      </c>
      <c r="N1333" s="358"/>
      <c r="O1333" s="356" t="s">
        <v>1377</v>
      </c>
      <c r="Q1333" s="361"/>
      <c r="S1333" s="370">
        <v>10</v>
      </c>
      <c r="T1333" s="368" t="s">
        <v>107</v>
      </c>
      <c r="U1333" s="356" t="s">
        <v>2105</v>
      </c>
      <c r="V1333" s="394">
        <v>506</v>
      </c>
      <c r="W1333" s="357" t="s">
        <v>107</v>
      </c>
      <c r="X1333" s="370">
        <f>(S1333*V1333)</f>
        <v>5060</v>
      </c>
      <c r="Y1333" s="370"/>
      <c r="AA1333" s="35">
        <v>9</v>
      </c>
      <c r="AC1333" s="35" t="s">
        <v>2106</v>
      </c>
      <c r="AD1333" s="35">
        <f>AE44</f>
        <v>1241.78</v>
      </c>
      <c r="AE1333" s="35">
        <f>AD1333*AA1333</f>
        <v>11176.02</v>
      </c>
      <c r="AG1333" s="395">
        <f t="shared" si="173"/>
        <v>0</v>
      </c>
    </row>
    <row r="1334" spans="6:33" ht="15.75">
      <c r="M1334" s="370">
        <v>10</v>
      </c>
      <c r="N1334" s="368" t="s">
        <v>262</v>
      </c>
      <c r="O1334" s="572" t="s">
        <v>2107</v>
      </c>
      <c r="P1334" s="394">
        <v>1626</v>
      </c>
      <c r="Q1334" s="357" t="s">
        <v>262</v>
      </c>
      <c r="R1334" s="370">
        <f>(M1334*P1334)</f>
        <v>16260</v>
      </c>
      <c r="S1334" s="370">
        <v>0.21</v>
      </c>
      <c r="T1334" s="368" t="s">
        <v>108</v>
      </c>
      <c r="U1334" s="356" t="s">
        <v>221</v>
      </c>
      <c r="V1334" s="370">
        <f>P1335</f>
        <v>4976.9571999999998</v>
      </c>
      <c r="W1334" s="357" t="s">
        <v>108</v>
      </c>
      <c r="X1334" s="370">
        <f>(S1334*V1334)</f>
        <v>1045.161012</v>
      </c>
      <c r="Y1334" s="370"/>
      <c r="AA1334" s="35">
        <v>4.5</v>
      </c>
      <c r="AC1334" s="356" t="s">
        <v>229</v>
      </c>
      <c r="AD1334" s="35">
        <f>K23</f>
        <v>6506.2708000000002</v>
      </c>
      <c r="AE1334" s="35">
        <f>AD1334*AA1334</f>
        <v>29278.2186</v>
      </c>
      <c r="AG1334" s="395">
        <f t="shared" si="173"/>
        <v>0</v>
      </c>
    </row>
    <row r="1335" spans="6:33" ht="15.75">
      <c r="G1335" s="368" t="s">
        <v>932</v>
      </c>
      <c r="H1335" s="356" t="s">
        <v>2108</v>
      </c>
      <c r="M1335" s="370">
        <v>0.12</v>
      </c>
      <c r="N1335" s="368" t="s">
        <v>108</v>
      </c>
      <c r="O1335" s="356" t="s">
        <v>1443</v>
      </c>
      <c r="P1335" s="370">
        <f>K32</f>
        <v>4976.9571999999998</v>
      </c>
      <c r="Q1335" s="357" t="s">
        <v>108</v>
      </c>
      <c r="R1335" s="370">
        <f>(M1335*P1335)</f>
        <v>597.2348639999999</v>
      </c>
      <c r="S1335" s="35">
        <v>10</v>
      </c>
      <c r="T1335" s="358"/>
      <c r="U1335" s="356" t="s">
        <v>2109</v>
      </c>
      <c r="V1335" s="498">
        <f>K1346</f>
        <v>375.50382880000001</v>
      </c>
      <c r="W1335" s="361"/>
      <c r="X1335" s="370">
        <f>(S1335*V1335)</f>
        <v>3755.0382880000002</v>
      </c>
      <c r="Y1335" s="370"/>
      <c r="AA1335" s="35">
        <v>1.8</v>
      </c>
      <c r="AC1335" s="356" t="s">
        <v>152</v>
      </c>
      <c r="AD1335" s="35">
        <f>V1337</f>
        <v>1118.3999999999999</v>
      </c>
      <c r="AE1335" s="35">
        <f>AD1335*AA1335</f>
        <v>2013.12</v>
      </c>
      <c r="AG1335" s="395">
        <f t="shared" si="173"/>
        <v>0</v>
      </c>
    </row>
    <row r="1336" spans="6:33" ht="15.75">
      <c r="H1336" s="356" t="s">
        <v>2110</v>
      </c>
      <c r="M1336" s="370">
        <v>1</v>
      </c>
      <c r="N1336" s="368" t="s">
        <v>482</v>
      </c>
      <c r="O1336" s="356" t="s">
        <v>1381</v>
      </c>
      <c r="P1336" s="370">
        <f>I1307</f>
        <v>1198.8</v>
      </c>
      <c r="Q1336" s="357" t="s">
        <v>194</v>
      </c>
      <c r="R1336" s="370">
        <f>(M1336*P1336)</f>
        <v>1198.8</v>
      </c>
      <c r="S1336" s="370">
        <v>1.1000000000000001</v>
      </c>
      <c r="T1336" s="573" t="s">
        <v>223</v>
      </c>
      <c r="U1336" s="356" t="s">
        <v>162</v>
      </c>
      <c r="V1336" s="370">
        <f>AG9</f>
        <v>1198.8</v>
      </c>
      <c r="W1336" s="357" t="s">
        <v>223</v>
      </c>
      <c r="X1336" s="370">
        <f t="shared" ref="X1336:X1343" si="179">S1336*V1336</f>
        <v>1318.68</v>
      </c>
      <c r="Y1336" s="370"/>
      <c r="AA1336" s="35">
        <v>17.7</v>
      </c>
      <c r="AC1336" s="356" t="s">
        <v>153</v>
      </c>
      <c r="AD1336" s="35">
        <f>V1338</f>
        <v>781.19999999999993</v>
      </c>
      <c r="AE1336" s="35">
        <f>AD1336*AA1336</f>
        <v>13827.239999999998</v>
      </c>
      <c r="AG1336" s="395">
        <f t="shared" si="173"/>
        <v>0</v>
      </c>
    </row>
    <row r="1337" spans="6:33" ht="15.75">
      <c r="H1337" s="363" t="s">
        <v>117</v>
      </c>
      <c r="L1337" s="35">
        <f>SUM(K1357:K1362)</f>
        <v>9911.6362879999979</v>
      </c>
      <c r="M1337" s="370">
        <v>1</v>
      </c>
      <c r="N1337" s="368" t="s">
        <v>482</v>
      </c>
      <c r="O1337" s="356" t="s">
        <v>1383</v>
      </c>
      <c r="P1337" s="370">
        <f>I1308</f>
        <v>781.19999999999993</v>
      </c>
      <c r="Q1337" s="357" t="s">
        <v>194</v>
      </c>
      <c r="R1337" s="370">
        <f>(M1337*P1337)</f>
        <v>781.19999999999993</v>
      </c>
      <c r="S1337" s="370">
        <v>2.1</v>
      </c>
      <c r="T1337" s="573" t="s">
        <v>223</v>
      </c>
      <c r="U1337" s="356" t="s">
        <v>152</v>
      </c>
      <c r="V1337" s="370">
        <f>AG10</f>
        <v>1118.3999999999999</v>
      </c>
      <c r="W1337" s="357" t="s">
        <v>223</v>
      </c>
      <c r="X1337" s="370">
        <f t="shared" si="179"/>
        <v>2348.64</v>
      </c>
      <c r="Y1337" s="370"/>
      <c r="AA1337" s="35">
        <v>14.1</v>
      </c>
      <c r="AC1337" s="356" t="s">
        <v>154</v>
      </c>
      <c r="AD1337" s="35">
        <f>V1339</f>
        <v>640.79999999999995</v>
      </c>
      <c r="AE1337" s="35">
        <f>AD1337*AA1337</f>
        <v>9035.2799999999988</v>
      </c>
      <c r="AG1337" s="395">
        <f t="shared" si="173"/>
        <v>0</v>
      </c>
    </row>
    <row r="1338" spans="6:33" ht="15.75">
      <c r="F1338" s="370">
        <v>0.04</v>
      </c>
      <c r="G1338" s="368" t="s">
        <v>108</v>
      </c>
      <c r="H1338" s="356" t="s">
        <v>2111</v>
      </c>
      <c r="I1338" s="370">
        <f>(K32)</f>
        <v>4976.9571999999998</v>
      </c>
      <c r="J1338" s="356" t="s">
        <v>108</v>
      </c>
      <c r="K1338" s="370">
        <f>(F1338*I1338)</f>
        <v>199.07828799999999</v>
      </c>
      <c r="N1338" s="368" t="s">
        <v>128</v>
      </c>
      <c r="O1338" s="356" t="s">
        <v>1385</v>
      </c>
      <c r="Q1338" s="357" t="s">
        <v>128</v>
      </c>
      <c r="R1338" s="370">
        <v>0.33</v>
      </c>
      <c r="S1338" s="370">
        <v>2.2000000000000002</v>
      </c>
      <c r="T1338" s="573" t="s">
        <v>223</v>
      </c>
      <c r="U1338" s="356" t="s">
        <v>153</v>
      </c>
      <c r="V1338" s="370">
        <f>AG11</f>
        <v>781.19999999999993</v>
      </c>
      <c r="W1338" s="357" t="s">
        <v>223</v>
      </c>
      <c r="X1338" s="370">
        <f t="shared" si="179"/>
        <v>1718.64</v>
      </c>
      <c r="Y1338" s="370"/>
      <c r="AE1338" s="35">
        <f>SUM(AE1333:AE1337)</f>
        <v>65329.878599999996</v>
      </c>
      <c r="AG1338" s="395">
        <f t="shared" si="173"/>
        <v>0</v>
      </c>
    </row>
    <row r="1339" spans="6:33" ht="15.75">
      <c r="F1339" s="370">
        <v>2.2000000000000002</v>
      </c>
      <c r="G1339" s="368" t="s">
        <v>223</v>
      </c>
      <c r="H1339" s="356" t="s">
        <v>152</v>
      </c>
      <c r="I1339" s="370">
        <f>(C11)</f>
        <v>1118.3999999999999</v>
      </c>
      <c r="J1339" s="356" t="s">
        <v>223</v>
      </c>
      <c r="K1339" s="370">
        <f>(F1339*I1339)</f>
        <v>2460.48</v>
      </c>
      <c r="L1339" s="35">
        <f>SUM(K1357:K1362)</f>
        <v>9911.6362879999979</v>
      </c>
      <c r="N1339" s="358"/>
      <c r="O1339" s="356" t="s">
        <v>1387</v>
      </c>
      <c r="Q1339" s="361"/>
      <c r="R1339" s="363" t="s">
        <v>117</v>
      </c>
      <c r="S1339" s="370">
        <v>1.1000000000000001</v>
      </c>
      <c r="T1339" s="573" t="s">
        <v>223</v>
      </c>
      <c r="U1339" s="356" t="s">
        <v>154</v>
      </c>
      <c r="V1339" s="370">
        <f>AG12</f>
        <v>640.79999999999995</v>
      </c>
      <c r="W1339" s="357" t="s">
        <v>223</v>
      </c>
      <c r="X1339" s="370">
        <f t="shared" si="179"/>
        <v>704.88</v>
      </c>
      <c r="Y1339" s="370"/>
      <c r="AE1339" s="35">
        <f>AE1338/10</f>
        <v>6532.9878599999993</v>
      </c>
      <c r="AG1339" s="395">
        <f t="shared" si="173"/>
        <v>0</v>
      </c>
    </row>
    <row r="1340" spans="6:33" ht="15.75">
      <c r="F1340" s="370">
        <v>0.5</v>
      </c>
      <c r="G1340" s="368" t="s">
        <v>223</v>
      </c>
      <c r="H1340" s="356" t="s">
        <v>153</v>
      </c>
      <c r="I1340" s="370">
        <f>(C12)</f>
        <v>781.19999999999993</v>
      </c>
      <c r="J1340" s="356" t="s">
        <v>223</v>
      </c>
      <c r="K1340" s="370">
        <f>(F1340*I1340)</f>
        <v>390.59999999999997</v>
      </c>
      <c r="N1340" s="358"/>
      <c r="O1340" s="357" t="s">
        <v>1453</v>
      </c>
      <c r="Q1340" s="361"/>
      <c r="R1340" s="370">
        <f>SUM(R1334:R1338)</f>
        <v>18837.564864</v>
      </c>
      <c r="S1340" s="407">
        <v>6.5</v>
      </c>
      <c r="T1340" s="573" t="s">
        <v>213</v>
      </c>
      <c r="U1340" s="356" t="s">
        <v>2112</v>
      </c>
      <c r="V1340" s="402">
        <v>17.18</v>
      </c>
      <c r="W1340" s="357" t="s">
        <v>124</v>
      </c>
      <c r="X1340" s="370">
        <f t="shared" si="179"/>
        <v>111.67</v>
      </c>
      <c r="Y1340" s="370"/>
      <c r="AG1340" s="395">
        <f t="shared" si="173"/>
        <v>0</v>
      </c>
    </row>
    <row r="1341" spans="6:33" ht="15.75">
      <c r="F1341" s="370">
        <v>1.1000000000000001</v>
      </c>
      <c r="G1341" s="368" t="s">
        <v>223</v>
      </c>
      <c r="H1341" s="356" t="s">
        <v>154</v>
      </c>
      <c r="I1341" s="370">
        <f>(C13)</f>
        <v>640.79999999999995</v>
      </c>
      <c r="J1341" s="356" t="s">
        <v>223</v>
      </c>
      <c r="K1341" s="370">
        <f>(F1341*I1341)</f>
        <v>704.88</v>
      </c>
      <c r="N1341" s="358"/>
      <c r="Q1341" s="361"/>
      <c r="R1341" s="363" t="s">
        <v>117</v>
      </c>
      <c r="S1341" s="407">
        <v>3</v>
      </c>
      <c r="T1341" s="573" t="s">
        <v>213</v>
      </c>
      <c r="U1341" s="356" t="s">
        <v>2113</v>
      </c>
      <c r="V1341" s="394">
        <f>C612</f>
        <v>27.25</v>
      </c>
      <c r="W1341" s="357" t="s">
        <v>213</v>
      </c>
      <c r="X1341" s="370">
        <f t="shared" si="179"/>
        <v>81.75</v>
      </c>
      <c r="Y1341" s="370"/>
      <c r="AG1341" s="395">
        <f t="shared" si="173"/>
        <v>0</v>
      </c>
    </row>
    <row r="1342" spans="6:33" ht="15.75">
      <c r="G1342" s="368" t="s">
        <v>128</v>
      </c>
      <c r="H1342" s="356" t="s">
        <v>129</v>
      </c>
      <c r="J1342" s="356" t="s">
        <v>128</v>
      </c>
      <c r="K1342" s="370">
        <v>0</v>
      </c>
      <c r="N1342" s="358"/>
      <c r="O1342" s="357" t="s">
        <v>1458</v>
      </c>
      <c r="Q1342" s="361"/>
      <c r="R1342" s="369">
        <f>R1340/10</f>
        <v>1883.7564864000001</v>
      </c>
      <c r="S1342" s="370">
        <v>2.15</v>
      </c>
      <c r="T1342" s="573" t="s">
        <v>223</v>
      </c>
      <c r="U1342" s="356" t="s">
        <v>2114</v>
      </c>
      <c r="V1342" s="402">
        <v>45.8</v>
      </c>
      <c r="W1342" s="357" t="s">
        <v>223</v>
      </c>
      <c r="X1342" s="370">
        <f t="shared" si="179"/>
        <v>98.469999999999985</v>
      </c>
      <c r="Y1342" s="370"/>
      <c r="AG1342" s="395">
        <f t="shared" si="173"/>
        <v>0</v>
      </c>
    </row>
    <row r="1343" spans="6:33" ht="15.75">
      <c r="K1343" s="363" t="s">
        <v>117</v>
      </c>
      <c r="N1343" s="358"/>
      <c r="O1343" s="356" t="s">
        <v>172</v>
      </c>
      <c r="Q1343" s="361">
        <f>R1347+S1304</f>
        <v>1892.7864864000001</v>
      </c>
      <c r="R1343" s="370">
        <f>R1342+S1301</f>
        <v>1883.9664864000001</v>
      </c>
      <c r="S1343" s="574">
        <v>0.4</v>
      </c>
      <c r="T1343" s="575" t="s">
        <v>223</v>
      </c>
      <c r="U1343" s="576" t="s">
        <v>2115</v>
      </c>
      <c r="V1343" s="574">
        <f>AE1339</f>
        <v>6532.9878599999993</v>
      </c>
      <c r="W1343" s="577" t="s">
        <v>223</v>
      </c>
      <c r="X1343" s="370">
        <f t="shared" si="179"/>
        <v>2613.1951439999998</v>
      </c>
      <c r="Y1343" s="370"/>
      <c r="AG1343" s="395">
        <f t="shared" si="173"/>
        <v>0</v>
      </c>
    </row>
    <row r="1344" spans="6:33" ht="15.75">
      <c r="H1344" s="356" t="s">
        <v>176</v>
      </c>
      <c r="K1344" s="370">
        <f>SUM(K1338:K1342)</f>
        <v>3755.0382880000002</v>
      </c>
      <c r="N1344" s="358"/>
      <c r="O1344" s="356" t="s">
        <v>873</v>
      </c>
      <c r="Q1344" s="361">
        <f>Q1343+S1304</f>
        <v>1894.9864864000001</v>
      </c>
      <c r="R1344" s="370">
        <f>R1343+1.11</f>
        <v>1885.0764864</v>
      </c>
      <c r="S1344" s="370"/>
      <c r="T1344" s="573"/>
      <c r="U1344" s="356"/>
      <c r="V1344" s="370"/>
      <c r="W1344" s="357" t="s">
        <v>223</v>
      </c>
      <c r="X1344" s="370">
        <f>(S1344*V1344)</f>
        <v>0</v>
      </c>
      <c r="Y1344" s="370"/>
      <c r="AG1344" s="395">
        <f t="shared" ref="AG1344:AG1407" si="180">AI1344</f>
        <v>0</v>
      </c>
    </row>
    <row r="1345" spans="6:33" ht="15.75">
      <c r="K1345" s="363" t="s">
        <v>117</v>
      </c>
      <c r="N1345" s="358"/>
      <c r="O1345" s="356" t="s">
        <v>876</v>
      </c>
      <c r="Q1345" s="361"/>
      <c r="R1345" s="370">
        <f>R1344+1.11</f>
        <v>1886.1864863999999</v>
      </c>
      <c r="S1345" s="35"/>
      <c r="T1345" s="573" t="s">
        <v>128</v>
      </c>
      <c r="U1345" s="356" t="s">
        <v>129</v>
      </c>
      <c r="V1345" s="370"/>
      <c r="W1345" s="357" t="s">
        <v>128</v>
      </c>
      <c r="X1345" s="370">
        <v>0.8</v>
      </c>
      <c r="Y1345" s="370"/>
      <c r="AG1345" s="395">
        <f t="shared" si="180"/>
        <v>0</v>
      </c>
    </row>
    <row r="1346" spans="6:33" ht="15.75">
      <c r="H1346" s="372" t="s">
        <v>177</v>
      </c>
      <c r="K1346" s="369">
        <f>(K1344/10)</f>
        <v>375.50382880000001</v>
      </c>
      <c r="N1346" s="358"/>
      <c r="O1346" s="356" t="s">
        <v>878</v>
      </c>
      <c r="Q1346" s="361"/>
      <c r="R1346" s="370">
        <f>R1345+S1304</f>
        <v>1888.3864864</v>
      </c>
      <c r="S1346" s="35"/>
      <c r="T1346" s="578"/>
      <c r="W1346" s="361"/>
      <c r="X1346" s="363" t="s">
        <v>117</v>
      </c>
      <c r="Y1346" s="363"/>
      <c r="AG1346" s="395">
        <f t="shared" si="180"/>
        <v>0</v>
      </c>
    </row>
    <row r="1347" spans="6:33" ht="15.75">
      <c r="K1347" s="363" t="s">
        <v>156</v>
      </c>
      <c r="N1347" s="358"/>
      <c r="O1347" s="356" t="s">
        <v>1287</v>
      </c>
      <c r="Q1347" s="361"/>
      <c r="R1347" s="370">
        <f>R1346+S1304</f>
        <v>1890.5864864</v>
      </c>
      <c r="S1347" s="35"/>
      <c r="T1347" s="578"/>
      <c r="U1347" s="356" t="s">
        <v>176</v>
      </c>
      <c r="W1347" s="361"/>
      <c r="X1347" s="370">
        <f>SUM(X1333:X1346)</f>
        <v>18856.924443999997</v>
      </c>
      <c r="Y1347" s="370"/>
      <c r="AG1347" s="395">
        <f t="shared" si="180"/>
        <v>0</v>
      </c>
    </row>
    <row r="1348" spans="6:33" ht="15.75">
      <c r="N1348" s="358"/>
      <c r="Q1348" s="361"/>
      <c r="S1348" s="35"/>
      <c r="T1348" s="578"/>
      <c r="W1348" s="361"/>
      <c r="X1348" s="363" t="s">
        <v>117</v>
      </c>
      <c r="Y1348" s="363"/>
      <c r="AG1348" s="395">
        <f t="shared" si="180"/>
        <v>0</v>
      </c>
    </row>
    <row r="1349" spans="6:33" ht="15.75">
      <c r="F1349" s="412">
        <v>32.1</v>
      </c>
      <c r="G1349" s="368" t="s">
        <v>122</v>
      </c>
      <c r="H1349" s="356" t="s">
        <v>2116</v>
      </c>
      <c r="N1349" s="358"/>
      <c r="Q1349" s="360"/>
      <c r="S1349" s="35"/>
      <c r="T1349" s="578"/>
      <c r="U1349" s="356" t="s">
        <v>177</v>
      </c>
      <c r="W1349" s="361"/>
      <c r="X1349" s="369">
        <f>(X1347/10)</f>
        <v>1885.6924443999997</v>
      </c>
      <c r="Y1349" s="369"/>
      <c r="Z1349" s="35">
        <f>0.8-0.77</f>
        <v>3.0000000000000027E-2</v>
      </c>
      <c r="AG1349" s="395">
        <f t="shared" si="180"/>
        <v>0</v>
      </c>
    </row>
    <row r="1350" spans="6:33" ht="15.75">
      <c r="H1350" s="356" t="s">
        <v>2117</v>
      </c>
      <c r="N1350" s="358"/>
      <c r="Q1350" s="360"/>
      <c r="S1350" s="35"/>
      <c r="T1350" s="578"/>
      <c r="W1350" s="361"/>
      <c r="X1350" s="363" t="s">
        <v>156</v>
      </c>
      <c r="Y1350" s="363"/>
      <c r="AG1350" s="395">
        <f t="shared" si="180"/>
        <v>0</v>
      </c>
    </row>
    <row r="1351" spans="6:33" ht="15.75">
      <c r="H1351" s="356" t="s">
        <v>2118</v>
      </c>
      <c r="N1351" s="358"/>
      <c r="Q1351" s="360"/>
      <c r="W1351" s="361"/>
      <c r="AG1351" s="395">
        <f t="shared" si="180"/>
        <v>0</v>
      </c>
    </row>
    <row r="1352" spans="6:33" ht="15.75">
      <c r="H1352" s="356" t="s">
        <v>2119</v>
      </c>
      <c r="N1352" s="358"/>
      <c r="Q1352" s="360"/>
      <c r="W1352" s="361"/>
      <c r="Z1352" s="461">
        <v>3.02</v>
      </c>
      <c r="AA1352" s="368" t="s">
        <v>480</v>
      </c>
      <c r="AB1352" s="368"/>
      <c r="AC1352" s="356" t="s">
        <v>2120</v>
      </c>
      <c r="AD1352" s="370">
        <f t="shared" ref="AD1352:AD1363" si="181">V1354</f>
        <v>325</v>
      </c>
      <c r="AE1352" s="368" t="s">
        <v>480</v>
      </c>
      <c r="AF1352" s="370">
        <f t="shared" ref="AF1352:AF1363" si="182">AD1352*Z1352</f>
        <v>981.5</v>
      </c>
      <c r="AG1352" s="395">
        <f t="shared" si="180"/>
        <v>0</v>
      </c>
    </row>
    <row r="1353" spans="6:33" ht="19.5">
      <c r="H1353" s="356" t="s">
        <v>2121</v>
      </c>
      <c r="N1353" s="358"/>
      <c r="O1353" s="35" t="s">
        <v>2122</v>
      </c>
      <c r="Q1353" s="361"/>
      <c r="T1353" s="358"/>
      <c r="U1353" s="546" t="s">
        <v>2123</v>
      </c>
      <c r="W1353" s="361"/>
      <c r="Z1353" s="461">
        <v>2.19</v>
      </c>
      <c r="AA1353" s="368" t="s">
        <v>480</v>
      </c>
      <c r="AB1353" s="368"/>
      <c r="AC1353" s="356" t="s">
        <v>2120</v>
      </c>
      <c r="AD1353" s="370">
        <f t="shared" si="181"/>
        <v>325</v>
      </c>
      <c r="AE1353" s="368" t="s">
        <v>480</v>
      </c>
      <c r="AF1353" s="370">
        <f t="shared" si="182"/>
        <v>711.75</v>
      </c>
      <c r="AG1353" s="395">
        <f t="shared" si="180"/>
        <v>0</v>
      </c>
    </row>
    <row r="1354" spans="6:33" ht="15.75">
      <c r="H1354" s="363" t="s">
        <v>117</v>
      </c>
      <c r="N1354" s="358"/>
      <c r="Q1354" s="361"/>
      <c r="S1354" s="407">
        <v>3.72</v>
      </c>
      <c r="T1354" s="368" t="s">
        <v>480</v>
      </c>
      <c r="U1354" s="356" t="s">
        <v>2120</v>
      </c>
      <c r="V1354" s="370">
        <f>P1393</f>
        <v>325</v>
      </c>
      <c r="W1354" s="357" t="s">
        <v>480</v>
      </c>
      <c r="X1354" s="370">
        <f>V1354*S1354</f>
        <v>1209</v>
      </c>
      <c r="Y1354" s="370"/>
      <c r="Z1354" s="461">
        <v>4.96</v>
      </c>
      <c r="AA1354" s="368" t="s">
        <v>480</v>
      </c>
      <c r="AB1354" s="368"/>
      <c r="AC1354" s="356" t="s">
        <v>2120</v>
      </c>
      <c r="AD1354" s="370">
        <f t="shared" si="181"/>
        <v>325</v>
      </c>
      <c r="AE1354" s="368" t="s">
        <v>480</v>
      </c>
      <c r="AF1354" s="370">
        <f t="shared" si="182"/>
        <v>1612</v>
      </c>
      <c r="AG1354" s="395">
        <f t="shared" si="180"/>
        <v>0</v>
      </c>
    </row>
    <row r="1355" spans="6:33" ht="15.75">
      <c r="F1355" s="370">
        <v>190</v>
      </c>
      <c r="G1355" s="368" t="s">
        <v>3</v>
      </c>
      <c r="H1355" s="356" t="s">
        <v>2124</v>
      </c>
      <c r="I1355" s="370">
        <f>(C83)</f>
        <v>16500.485000000001</v>
      </c>
      <c r="J1355" s="356" t="s">
        <v>883</v>
      </c>
      <c r="K1355" s="370">
        <f>(F1355*I1355)/1000</f>
        <v>3135.0921499999999</v>
      </c>
      <c r="M1355" s="35">
        <v>70</v>
      </c>
      <c r="N1355" s="358" t="s">
        <v>31</v>
      </c>
      <c r="O1355" s="579" t="s">
        <v>2125</v>
      </c>
      <c r="P1355" s="448">
        <v>33</v>
      </c>
      <c r="Q1355" s="361" t="s">
        <v>31</v>
      </c>
      <c r="R1355" s="35">
        <f>P1355*M1355</f>
        <v>2310</v>
      </c>
      <c r="S1355" s="407">
        <v>3.87</v>
      </c>
      <c r="T1355" s="368" t="s">
        <v>480</v>
      </c>
      <c r="U1355" s="356" t="s">
        <v>2120</v>
      </c>
      <c r="V1355" s="370">
        <f t="shared" ref="V1355:V1365" si="183">P1394</f>
        <v>325</v>
      </c>
      <c r="W1355" s="357" t="s">
        <v>480</v>
      </c>
      <c r="X1355" s="370">
        <f t="shared" ref="X1355:X1365" si="184">V1355*S1355</f>
        <v>1257.75</v>
      </c>
      <c r="Y1355" s="370"/>
      <c r="Z1355" s="461">
        <v>0.85</v>
      </c>
      <c r="AA1355" s="368" t="s">
        <v>480</v>
      </c>
      <c r="AB1355" s="368"/>
      <c r="AC1355" s="356" t="s">
        <v>2120</v>
      </c>
      <c r="AD1355" s="370">
        <f t="shared" si="181"/>
        <v>325</v>
      </c>
      <c r="AE1355" s="368" t="s">
        <v>480</v>
      </c>
      <c r="AF1355" s="370">
        <f t="shared" si="182"/>
        <v>276.25</v>
      </c>
      <c r="AG1355" s="395">
        <f t="shared" si="180"/>
        <v>0</v>
      </c>
    </row>
    <row r="1356" spans="6:33" ht="15.75">
      <c r="F1356" s="370">
        <v>0.12</v>
      </c>
      <c r="G1356" s="368" t="s">
        <v>108</v>
      </c>
      <c r="H1356" s="356" t="s">
        <v>221</v>
      </c>
      <c r="I1356" s="370">
        <f>(K32)</f>
        <v>4976.9571999999998</v>
      </c>
      <c r="J1356" s="356" t="s">
        <v>108</v>
      </c>
      <c r="K1356" s="368">
        <f t="shared" ref="K1356:K1362" si="185">(F1356*I1356)</f>
        <v>597.2348639999999</v>
      </c>
      <c r="N1356" s="358"/>
      <c r="Q1356" s="361"/>
      <c r="S1356" s="407">
        <v>7.46</v>
      </c>
      <c r="T1356" s="368" t="s">
        <v>480</v>
      </c>
      <c r="U1356" s="356" t="s">
        <v>2120</v>
      </c>
      <c r="V1356" s="370">
        <f t="shared" si="183"/>
        <v>325</v>
      </c>
      <c r="W1356" s="357" t="s">
        <v>480</v>
      </c>
      <c r="X1356" s="370">
        <f t="shared" si="184"/>
        <v>2424.5</v>
      </c>
      <c r="Y1356" s="370"/>
      <c r="Z1356" s="461">
        <v>0.73199999999999998</v>
      </c>
      <c r="AA1356" s="368" t="s">
        <v>478</v>
      </c>
      <c r="AB1356" s="368"/>
      <c r="AC1356" s="356" t="s">
        <v>2126</v>
      </c>
      <c r="AD1356" s="370">
        <f>V1358</f>
        <v>306.89999999999998</v>
      </c>
      <c r="AE1356" s="368" t="s">
        <v>478</v>
      </c>
      <c r="AF1356" s="370">
        <f t="shared" si="182"/>
        <v>224.65079999999998</v>
      </c>
      <c r="AG1356" s="395">
        <f t="shared" si="180"/>
        <v>0</v>
      </c>
    </row>
    <row r="1357" spans="6:33" ht="15.75">
      <c r="F1357" s="370">
        <v>10</v>
      </c>
      <c r="G1357" s="368" t="s">
        <v>107</v>
      </c>
      <c r="H1357" s="356" t="s">
        <v>2127</v>
      </c>
      <c r="I1357" s="370">
        <f>(K1346)</f>
        <v>375.50382880000001</v>
      </c>
      <c r="J1357" s="356" t="s">
        <v>107</v>
      </c>
      <c r="K1357" s="368">
        <f t="shared" si="185"/>
        <v>3755.0382880000002</v>
      </c>
      <c r="M1357" s="35">
        <v>0.3</v>
      </c>
      <c r="N1357" s="358" t="s">
        <v>793</v>
      </c>
      <c r="O1357" s="579" t="s">
        <v>2128</v>
      </c>
      <c r="P1357" s="448">
        <v>17600</v>
      </c>
      <c r="Q1357" s="361" t="s">
        <v>793</v>
      </c>
      <c r="R1357" s="35">
        <f>P1357*M1357</f>
        <v>5280</v>
      </c>
      <c r="S1357" s="407">
        <v>1.28</v>
      </c>
      <c r="T1357" s="368" t="s">
        <v>480</v>
      </c>
      <c r="U1357" s="356" t="s">
        <v>2120</v>
      </c>
      <c r="V1357" s="370">
        <f t="shared" si="183"/>
        <v>325</v>
      </c>
      <c r="W1357" s="357" t="s">
        <v>480</v>
      </c>
      <c r="X1357" s="370">
        <f t="shared" si="184"/>
        <v>416</v>
      </c>
      <c r="Y1357" s="370"/>
      <c r="Z1357" s="461">
        <v>6.8719999999999999</v>
      </c>
      <c r="AA1357" s="368" t="s">
        <v>31</v>
      </c>
      <c r="AB1357" s="368"/>
      <c r="AC1357" s="356" t="s">
        <v>2129</v>
      </c>
      <c r="AD1357" s="370">
        <f t="shared" si="181"/>
        <v>29.05</v>
      </c>
      <c r="AE1357" s="368" t="s">
        <v>31</v>
      </c>
      <c r="AF1357" s="370">
        <f t="shared" si="182"/>
        <v>199.63159999999999</v>
      </c>
      <c r="AG1357" s="395">
        <f t="shared" si="180"/>
        <v>0</v>
      </c>
    </row>
    <row r="1358" spans="6:33" ht="15.75">
      <c r="F1358" s="407">
        <v>1.54</v>
      </c>
      <c r="G1358" s="368" t="s">
        <v>213</v>
      </c>
      <c r="H1358" s="356" t="s">
        <v>2130</v>
      </c>
      <c r="I1358" s="443">
        <f>C655</f>
        <v>42.7</v>
      </c>
      <c r="J1358" s="356" t="s">
        <v>213</v>
      </c>
      <c r="K1358" s="370">
        <f t="shared" si="185"/>
        <v>65.75800000000001</v>
      </c>
      <c r="N1358" s="358"/>
      <c r="Q1358" s="361"/>
      <c r="S1358" s="407">
        <v>1.107</v>
      </c>
      <c r="T1358" s="368" t="s">
        <v>478</v>
      </c>
      <c r="U1358" s="356" t="s">
        <v>2126</v>
      </c>
      <c r="V1358" s="370">
        <f t="shared" si="183"/>
        <v>306.89999999999998</v>
      </c>
      <c r="W1358" s="357" t="s">
        <v>478</v>
      </c>
      <c r="X1358" s="370">
        <f t="shared" si="184"/>
        <v>339.73829999999998</v>
      </c>
      <c r="Y1358" s="370"/>
      <c r="Z1358" s="461">
        <v>8</v>
      </c>
      <c r="AA1358" s="368" t="s">
        <v>223</v>
      </c>
      <c r="AB1358" s="368"/>
      <c r="AC1358" s="356" t="s">
        <v>2131</v>
      </c>
      <c r="AD1358" s="370">
        <f t="shared" si="181"/>
        <v>71.900000000000006</v>
      </c>
      <c r="AE1358" s="368" t="s">
        <v>223</v>
      </c>
      <c r="AF1358" s="370">
        <f t="shared" si="182"/>
        <v>575.20000000000005</v>
      </c>
      <c r="AG1358" s="395">
        <f t="shared" si="180"/>
        <v>0</v>
      </c>
    </row>
    <row r="1359" spans="6:33" ht="15.75">
      <c r="F1359" s="370">
        <v>1.1000000000000001</v>
      </c>
      <c r="G1359" s="368" t="s">
        <v>223</v>
      </c>
      <c r="H1359" s="356" t="s">
        <v>162</v>
      </c>
      <c r="I1359" s="370">
        <f>(C10)</f>
        <v>1198.8</v>
      </c>
      <c r="J1359" s="356" t="s">
        <v>223</v>
      </c>
      <c r="K1359" s="370">
        <f t="shared" si="185"/>
        <v>1318.68</v>
      </c>
      <c r="N1359" s="358"/>
      <c r="O1359" s="35" t="s">
        <v>2132</v>
      </c>
      <c r="Q1359" s="361"/>
      <c r="R1359" s="35">
        <f>SUM(R1355:R1357)</f>
        <v>7590</v>
      </c>
      <c r="S1359" s="407">
        <v>10.343999999999999</v>
      </c>
      <c r="T1359" s="368" t="s">
        <v>31</v>
      </c>
      <c r="U1359" s="356" t="s">
        <v>2129</v>
      </c>
      <c r="V1359" s="370">
        <f t="shared" si="183"/>
        <v>29.05</v>
      </c>
      <c r="W1359" s="357" t="s">
        <v>31</v>
      </c>
      <c r="X1359" s="370">
        <f t="shared" si="184"/>
        <v>300.4932</v>
      </c>
      <c r="Y1359" s="370"/>
      <c r="Z1359" s="461">
        <v>4</v>
      </c>
      <c r="AA1359" s="368" t="s">
        <v>223</v>
      </c>
      <c r="AB1359" s="368"/>
      <c r="AC1359" s="356" t="s">
        <v>2133</v>
      </c>
      <c r="AD1359" s="370">
        <f t="shared" si="181"/>
        <v>57.65</v>
      </c>
      <c r="AE1359" s="368" t="s">
        <v>223</v>
      </c>
      <c r="AF1359" s="370">
        <f t="shared" si="182"/>
        <v>230.6</v>
      </c>
      <c r="AG1359" s="395">
        <f t="shared" si="180"/>
        <v>0</v>
      </c>
    </row>
    <row r="1360" spans="6:33" ht="15.75">
      <c r="F1360" s="370">
        <v>2.1</v>
      </c>
      <c r="G1360" s="368" t="s">
        <v>223</v>
      </c>
      <c r="H1360" s="356" t="s">
        <v>152</v>
      </c>
      <c r="I1360" s="370">
        <f>(C11)</f>
        <v>1118.3999999999999</v>
      </c>
      <c r="J1360" s="356" t="s">
        <v>223</v>
      </c>
      <c r="K1360" s="370">
        <f t="shared" si="185"/>
        <v>2348.64</v>
      </c>
      <c r="N1360" s="358"/>
      <c r="O1360" s="580" t="s">
        <v>2134</v>
      </c>
      <c r="Q1360" s="361"/>
      <c r="R1360" s="411">
        <f>R1359/10</f>
        <v>759</v>
      </c>
      <c r="S1360" s="407">
        <v>12</v>
      </c>
      <c r="T1360" s="368" t="s">
        <v>223</v>
      </c>
      <c r="U1360" s="356" t="s">
        <v>2135</v>
      </c>
      <c r="V1360" s="370">
        <f t="shared" si="183"/>
        <v>71.900000000000006</v>
      </c>
      <c r="W1360" s="357" t="s">
        <v>223</v>
      </c>
      <c r="X1360" s="370">
        <f t="shared" si="184"/>
        <v>862.80000000000007</v>
      </c>
      <c r="Y1360" s="370"/>
      <c r="Z1360" s="461">
        <v>4</v>
      </c>
      <c r="AA1360" s="368" t="s">
        <v>223</v>
      </c>
      <c r="AB1360" s="368"/>
      <c r="AC1360" s="356" t="s">
        <v>2136</v>
      </c>
      <c r="AD1360" s="370">
        <f t="shared" si="181"/>
        <v>30</v>
      </c>
      <c r="AE1360" s="368" t="s">
        <v>223</v>
      </c>
      <c r="AF1360" s="370">
        <f t="shared" si="182"/>
        <v>120</v>
      </c>
      <c r="AG1360" s="395">
        <f t="shared" si="180"/>
        <v>0</v>
      </c>
    </row>
    <row r="1361" spans="6:33" ht="15.75">
      <c r="F1361" s="370">
        <v>2.2000000000000002</v>
      </c>
      <c r="G1361" s="368" t="s">
        <v>223</v>
      </c>
      <c r="H1361" s="356" t="s">
        <v>153</v>
      </c>
      <c r="I1361" s="370">
        <f>(C12)</f>
        <v>781.19999999999993</v>
      </c>
      <c r="J1361" s="356" t="s">
        <v>223</v>
      </c>
      <c r="K1361" s="370">
        <f t="shared" si="185"/>
        <v>1718.64</v>
      </c>
      <c r="N1361" s="358"/>
      <c r="Q1361" s="361"/>
      <c r="S1361" s="407">
        <v>6</v>
      </c>
      <c r="T1361" s="368" t="s">
        <v>223</v>
      </c>
      <c r="U1361" s="356" t="s">
        <v>2133</v>
      </c>
      <c r="V1361" s="370">
        <f t="shared" si="183"/>
        <v>57.65</v>
      </c>
      <c r="W1361" s="357" t="s">
        <v>223</v>
      </c>
      <c r="X1361" s="370">
        <f t="shared" si="184"/>
        <v>345.9</v>
      </c>
      <c r="Y1361" s="370"/>
      <c r="Z1361" s="461">
        <v>4</v>
      </c>
      <c r="AA1361" s="368" t="s">
        <v>223</v>
      </c>
      <c r="AB1361" s="368"/>
      <c r="AC1361" s="356" t="s">
        <v>2137</v>
      </c>
      <c r="AD1361" s="370">
        <f t="shared" si="181"/>
        <v>20</v>
      </c>
      <c r="AE1361" s="368" t="s">
        <v>223</v>
      </c>
      <c r="AF1361" s="370">
        <f t="shared" si="182"/>
        <v>80</v>
      </c>
      <c r="AG1361" s="395">
        <f t="shared" si="180"/>
        <v>0</v>
      </c>
    </row>
    <row r="1362" spans="6:33" ht="15.75">
      <c r="F1362" s="370">
        <v>1.1000000000000001</v>
      </c>
      <c r="G1362" s="368" t="s">
        <v>223</v>
      </c>
      <c r="H1362" s="356" t="s">
        <v>154</v>
      </c>
      <c r="I1362" s="370">
        <f>(C13)</f>
        <v>640.79999999999995</v>
      </c>
      <c r="J1362" s="356" t="s">
        <v>223</v>
      </c>
      <c r="K1362" s="370">
        <f t="shared" si="185"/>
        <v>704.88</v>
      </c>
      <c r="M1362" s="35">
        <v>2</v>
      </c>
      <c r="N1362" s="358" t="s">
        <v>192</v>
      </c>
      <c r="O1362" s="35" t="s">
        <v>196</v>
      </c>
      <c r="P1362" s="35">
        <f>C12</f>
        <v>781.19999999999993</v>
      </c>
      <c r="Q1362" s="361" t="s">
        <v>32</v>
      </c>
      <c r="R1362" s="35">
        <f>P1362*M1362</f>
        <v>1562.3999999999999</v>
      </c>
      <c r="S1362" s="407">
        <v>6</v>
      </c>
      <c r="T1362" s="368" t="s">
        <v>223</v>
      </c>
      <c r="U1362" s="356" t="s">
        <v>2136</v>
      </c>
      <c r="V1362" s="370">
        <f t="shared" si="183"/>
        <v>30</v>
      </c>
      <c r="W1362" s="357" t="s">
        <v>223</v>
      </c>
      <c r="X1362" s="370">
        <f t="shared" si="184"/>
        <v>180</v>
      </c>
      <c r="Y1362" s="370"/>
      <c r="Z1362" s="461">
        <v>4</v>
      </c>
      <c r="AA1362" s="368" t="s">
        <v>223</v>
      </c>
      <c r="AB1362" s="368"/>
      <c r="AC1362" s="356" t="s">
        <v>2138</v>
      </c>
      <c r="AD1362" s="370">
        <f t="shared" si="181"/>
        <v>15</v>
      </c>
      <c r="AE1362" s="368" t="s">
        <v>223</v>
      </c>
      <c r="AF1362" s="370">
        <f t="shared" si="182"/>
        <v>60</v>
      </c>
      <c r="AG1362" s="395">
        <f t="shared" si="180"/>
        <v>0</v>
      </c>
    </row>
    <row r="1363" spans="6:33" ht="15.75">
      <c r="G1363" s="368" t="s">
        <v>128</v>
      </c>
      <c r="H1363" s="356" t="s">
        <v>129</v>
      </c>
      <c r="J1363" s="356" t="s">
        <v>128</v>
      </c>
      <c r="K1363" s="370">
        <v>0</v>
      </c>
      <c r="N1363" s="358"/>
      <c r="Q1363" s="361"/>
      <c r="S1363" s="407">
        <v>6</v>
      </c>
      <c r="T1363" s="368" t="s">
        <v>223</v>
      </c>
      <c r="U1363" s="356" t="s">
        <v>2137</v>
      </c>
      <c r="V1363" s="370">
        <f t="shared" si="183"/>
        <v>20</v>
      </c>
      <c r="W1363" s="357" t="s">
        <v>223</v>
      </c>
      <c r="X1363" s="370">
        <f t="shared" si="184"/>
        <v>120</v>
      </c>
      <c r="Y1363" s="370"/>
      <c r="Z1363" s="461">
        <v>0.94499999999999995</v>
      </c>
      <c r="AA1363" s="368" t="s">
        <v>262</v>
      </c>
      <c r="AB1363" s="368"/>
      <c r="AC1363" s="356" t="s">
        <v>2139</v>
      </c>
      <c r="AD1363" s="370">
        <f t="shared" si="181"/>
        <v>2397.6</v>
      </c>
      <c r="AE1363" s="368" t="s">
        <v>262</v>
      </c>
      <c r="AF1363" s="370">
        <f t="shared" si="182"/>
        <v>2265.732</v>
      </c>
      <c r="AG1363" s="395">
        <f t="shared" si="180"/>
        <v>0</v>
      </c>
    </row>
    <row r="1364" spans="6:33" ht="15.75">
      <c r="K1364" s="363" t="s">
        <v>117</v>
      </c>
      <c r="N1364" s="358"/>
      <c r="O1364" s="35" t="s">
        <v>2140</v>
      </c>
      <c r="P1364" s="35" t="s">
        <v>265</v>
      </c>
      <c r="Q1364" s="361"/>
      <c r="R1364" s="35">
        <v>11.5</v>
      </c>
      <c r="S1364" s="407">
        <v>4</v>
      </c>
      <c r="T1364" s="368" t="s">
        <v>223</v>
      </c>
      <c r="U1364" s="356" t="s">
        <v>2138</v>
      </c>
      <c r="V1364" s="370">
        <f t="shared" si="183"/>
        <v>15</v>
      </c>
      <c r="W1364" s="357" t="s">
        <v>223</v>
      </c>
      <c r="X1364" s="370">
        <f t="shared" si="184"/>
        <v>60</v>
      </c>
      <c r="Y1364" s="370"/>
      <c r="AA1364" s="358"/>
      <c r="AB1364" s="358"/>
      <c r="AC1364" s="356" t="s">
        <v>2141</v>
      </c>
      <c r="AE1364" s="361"/>
      <c r="AF1364" s="370">
        <v>0.81</v>
      </c>
      <c r="AG1364" s="395">
        <f t="shared" si="180"/>
        <v>0</v>
      </c>
    </row>
    <row r="1365" spans="6:33" ht="15.75">
      <c r="H1365" s="356" t="s">
        <v>176</v>
      </c>
      <c r="K1365" s="370">
        <f>SUM(K1355:K1363)</f>
        <v>13643.963301999998</v>
      </c>
      <c r="N1365" s="358"/>
      <c r="O1365" s="580" t="s">
        <v>2142</v>
      </c>
      <c r="Q1365" s="361"/>
      <c r="R1365" s="35">
        <f>SUM(R1360:R1364)</f>
        <v>2332.8999999999996</v>
      </c>
      <c r="S1365" s="407">
        <v>1.4179999999999999</v>
      </c>
      <c r="T1365" s="368" t="s">
        <v>262</v>
      </c>
      <c r="U1365" s="356" t="s">
        <v>2139</v>
      </c>
      <c r="V1365" s="370">
        <f t="shared" si="183"/>
        <v>2397.6</v>
      </c>
      <c r="W1365" s="357" t="s">
        <v>262</v>
      </c>
      <c r="X1365" s="370">
        <f t="shared" si="184"/>
        <v>3399.7967999999996</v>
      </c>
      <c r="Y1365" s="370"/>
      <c r="AC1365" s="367" t="s">
        <v>2143</v>
      </c>
      <c r="AF1365" s="369">
        <f>SUM(AF1352:AF1364)</f>
        <v>7338.1244000000006</v>
      </c>
      <c r="AG1365" s="395">
        <f t="shared" si="180"/>
        <v>0</v>
      </c>
    </row>
    <row r="1366" spans="6:33" ht="15.75">
      <c r="K1366" s="363" t="s">
        <v>117</v>
      </c>
      <c r="N1366" s="358"/>
      <c r="Q1366" s="361"/>
      <c r="T1366" s="358"/>
      <c r="U1366" s="356" t="s">
        <v>2141</v>
      </c>
      <c r="W1366" s="361"/>
      <c r="X1366" s="370"/>
      <c r="Y1366" s="370"/>
      <c r="AG1366" s="395">
        <f t="shared" si="180"/>
        <v>0</v>
      </c>
    </row>
    <row r="1367" spans="6:33" ht="15.75">
      <c r="H1367" s="372" t="s">
        <v>177</v>
      </c>
      <c r="K1367" s="369">
        <f>(K1365/10)</f>
        <v>1364.3963301999997</v>
      </c>
      <c r="N1367" s="358"/>
      <c r="O1367" s="580" t="s">
        <v>2144</v>
      </c>
      <c r="Q1367" s="361"/>
      <c r="R1367" s="411">
        <f>R1365/6</f>
        <v>388.81666666666661</v>
      </c>
      <c r="U1367" s="367" t="s">
        <v>2143</v>
      </c>
      <c r="W1367" s="361"/>
      <c r="X1367" s="369">
        <f>SUM(X1354:X1366)</f>
        <v>10915.978299999999</v>
      </c>
      <c r="Y1367" s="369"/>
      <c r="AG1367" s="395">
        <f t="shared" si="180"/>
        <v>0</v>
      </c>
    </row>
    <row r="1368" spans="6:33" ht="19.5">
      <c r="K1368" s="363" t="s">
        <v>156</v>
      </c>
      <c r="N1368" s="358"/>
      <c r="Q1368" s="361"/>
      <c r="W1368" s="361"/>
      <c r="AA1368" s="358"/>
      <c r="AB1368" s="358"/>
      <c r="AC1368" s="546" t="s">
        <v>2145</v>
      </c>
      <c r="AE1368" s="360"/>
      <c r="AG1368" s="395">
        <f t="shared" si="180"/>
        <v>0</v>
      </c>
    </row>
    <row r="1369" spans="6:33" ht="15.75">
      <c r="K1369" s="363"/>
      <c r="N1369" s="358"/>
      <c r="Q1369" s="360"/>
      <c r="W1369" s="361"/>
      <c r="Z1369" s="461">
        <v>3.72</v>
      </c>
      <c r="AA1369" s="368" t="s">
        <v>480</v>
      </c>
      <c r="AB1369" s="368"/>
      <c r="AC1369" s="356" t="s">
        <v>2120</v>
      </c>
      <c r="AD1369" s="370">
        <f>AD1352</f>
        <v>325</v>
      </c>
      <c r="AE1369" s="368" t="s">
        <v>480</v>
      </c>
      <c r="AF1369" s="370">
        <f t="shared" ref="AF1369:AF1380" si="186">AD1369*Z1369</f>
        <v>1209</v>
      </c>
      <c r="AG1369" s="395">
        <f t="shared" si="180"/>
        <v>0</v>
      </c>
    </row>
    <row r="1370" spans="6:33" ht="19.5">
      <c r="K1370" s="363"/>
      <c r="M1370" s="412">
        <v>29.5</v>
      </c>
      <c r="N1370" s="368" t="s">
        <v>122</v>
      </c>
      <c r="O1370" s="356" t="s">
        <v>2146</v>
      </c>
      <c r="Q1370" s="361"/>
      <c r="T1370" s="358"/>
      <c r="U1370" s="546" t="s">
        <v>2147</v>
      </c>
      <c r="W1370" s="361"/>
      <c r="Z1370" s="461">
        <v>2.69</v>
      </c>
      <c r="AA1370" s="368" t="s">
        <v>480</v>
      </c>
      <c r="AB1370" s="368"/>
      <c r="AC1370" s="356" t="s">
        <v>2120</v>
      </c>
      <c r="AD1370" s="370">
        <f t="shared" ref="AD1370:AD1380" si="187">AD1353</f>
        <v>325</v>
      </c>
      <c r="AE1370" s="368" t="s">
        <v>480</v>
      </c>
      <c r="AF1370" s="370">
        <f t="shared" si="186"/>
        <v>874.25</v>
      </c>
      <c r="AG1370" s="395">
        <f t="shared" si="180"/>
        <v>0</v>
      </c>
    </row>
    <row r="1371" spans="6:33" ht="15.75">
      <c r="F1371" s="412">
        <v>32.200000000000003</v>
      </c>
      <c r="G1371" s="368" t="s">
        <v>122</v>
      </c>
      <c r="H1371" s="356" t="s">
        <v>2116</v>
      </c>
      <c r="K1371" s="363"/>
      <c r="N1371" s="358"/>
      <c r="O1371" s="356" t="s">
        <v>218</v>
      </c>
      <c r="Q1371" s="361"/>
      <c r="S1371" s="407">
        <v>3.49</v>
      </c>
      <c r="T1371" s="368" t="s">
        <v>480</v>
      </c>
      <c r="U1371" s="356" t="s">
        <v>2120</v>
      </c>
      <c r="V1371" s="370">
        <f>P1410</f>
        <v>325</v>
      </c>
      <c r="W1371" s="357" t="s">
        <v>480</v>
      </c>
      <c r="X1371" s="370">
        <f>V1371*S1371</f>
        <v>1134.25</v>
      </c>
      <c r="Y1371" s="370"/>
      <c r="Z1371" s="461">
        <v>6.15</v>
      </c>
      <c r="AA1371" s="368" t="s">
        <v>480</v>
      </c>
      <c r="AB1371" s="368"/>
      <c r="AC1371" s="356" t="s">
        <v>2120</v>
      </c>
      <c r="AD1371" s="370">
        <f t="shared" si="187"/>
        <v>325</v>
      </c>
      <c r="AE1371" s="368" t="s">
        <v>480</v>
      </c>
      <c r="AF1371" s="370">
        <f t="shared" si="186"/>
        <v>1998.7500000000002</v>
      </c>
      <c r="AG1371" s="395">
        <f t="shared" si="180"/>
        <v>0</v>
      </c>
    </row>
    <row r="1372" spans="6:33" ht="15.75">
      <c r="H1372" s="356" t="s">
        <v>2117</v>
      </c>
      <c r="K1372" s="363"/>
      <c r="N1372" s="358"/>
      <c r="O1372" s="356" t="s">
        <v>219</v>
      </c>
      <c r="Q1372" s="361"/>
      <c r="S1372" s="407">
        <v>2.5299999999999998</v>
      </c>
      <c r="T1372" s="368" t="s">
        <v>480</v>
      </c>
      <c r="U1372" s="356" t="s">
        <v>2120</v>
      </c>
      <c r="V1372" s="370">
        <f t="shared" ref="V1372:V1382" si="188">P1411</f>
        <v>325</v>
      </c>
      <c r="W1372" s="357" t="s">
        <v>480</v>
      </c>
      <c r="X1372" s="370">
        <f t="shared" ref="X1372:X1382" si="189">V1372*S1372</f>
        <v>822.24999999999989</v>
      </c>
      <c r="Y1372" s="370"/>
      <c r="Z1372" s="461">
        <v>1.07</v>
      </c>
      <c r="AA1372" s="368" t="s">
        <v>480</v>
      </c>
      <c r="AB1372" s="368"/>
      <c r="AC1372" s="356" t="s">
        <v>2120</v>
      </c>
      <c r="AD1372" s="370">
        <f t="shared" si="187"/>
        <v>325</v>
      </c>
      <c r="AE1372" s="368" t="s">
        <v>480</v>
      </c>
      <c r="AF1372" s="370">
        <f t="shared" si="186"/>
        <v>347.75</v>
      </c>
      <c r="AG1372" s="395">
        <f t="shared" si="180"/>
        <v>0</v>
      </c>
    </row>
    <row r="1373" spans="6:33" ht="15.75">
      <c r="H1373" s="356" t="s">
        <v>2118</v>
      </c>
      <c r="K1373" s="363"/>
      <c r="N1373" s="358"/>
      <c r="O1373" s="363" t="s">
        <v>117</v>
      </c>
      <c r="P1373" s="363" t="s">
        <v>117</v>
      </c>
      <c r="Q1373" s="361"/>
      <c r="R1373" s="370"/>
      <c r="S1373" s="407">
        <v>5.75</v>
      </c>
      <c r="T1373" s="368" t="s">
        <v>480</v>
      </c>
      <c r="U1373" s="356" t="s">
        <v>2120</v>
      </c>
      <c r="V1373" s="370">
        <f t="shared" si="188"/>
        <v>325</v>
      </c>
      <c r="W1373" s="357" t="s">
        <v>480</v>
      </c>
      <c r="X1373" s="370">
        <f t="shared" si="189"/>
        <v>1868.75</v>
      </c>
      <c r="Y1373" s="370"/>
      <c r="Z1373" s="461">
        <v>1.153</v>
      </c>
      <c r="AA1373" s="368" t="s">
        <v>478</v>
      </c>
      <c r="AB1373" s="368"/>
      <c r="AC1373" s="356" t="s">
        <v>2126</v>
      </c>
      <c r="AD1373" s="370">
        <f t="shared" si="187"/>
        <v>306.89999999999998</v>
      </c>
      <c r="AE1373" s="368" t="s">
        <v>478</v>
      </c>
      <c r="AF1373" s="370">
        <f t="shared" si="186"/>
        <v>353.85569999999996</v>
      </c>
      <c r="AG1373" s="395">
        <f t="shared" si="180"/>
        <v>0</v>
      </c>
    </row>
    <row r="1374" spans="6:33" ht="15.75">
      <c r="H1374" s="356" t="s">
        <v>2119</v>
      </c>
      <c r="K1374" s="363"/>
      <c r="M1374" s="370">
        <v>10</v>
      </c>
      <c r="N1374" s="368" t="s">
        <v>107</v>
      </c>
      <c r="O1374" s="356" t="s">
        <v>2148</v>
      </c>
      <c r="P1374" s="498">
        <f>P1334</f>
        <v>1626</v>
      </c>
      <c r="Q1374" s="357" t="s">
        <v>107</v>
      </c>
      <c r="R1374" s="370">
        <f>M1374*P1374</f>
        <v>16260</v>
      </c>
      <c r="S1374" s="407">
        <v>1</v>
      </c>
      <c r="T1374" s="368" t="s">
        <v>480</v>
      </c>
      <c r="U1374" s="356" t="s">
        <v>2120</v>
      </c>
      <c r="V1374" s="370">
        <f t="shared" si="188"/>
        <v>325</v>
      </c>
      <c r="W1374" s="357" t="s">
        <v>480</v>
      </c>
      <c r="X1374" s="370">
        <f t="shared" si="189"/>
        <v>325</v>
      </c>
      <c r="Y1374" s="370"/>
      <c r="Z1374" s="461">
        <v>8.6720000000000006</v>
      </c>
      <c r="AA1374" s="368" t="s">
        <v>31</v>
      </c>
      <c r="AB1374" s="368"/>
      <c r="AC1374" s="356" t="s">
        <v>2129</v>
      </c>
      <c r="AD1374" s="370">
        <f t="shared" si="187"/>
        <v>29.05</v>
      </c>
      <c r="AE1374" s="368" t="s">
        <v>31</v>
      </c>
      <c r="AF1374" s="370">
        <f t="shared" si="186"/>
        <v>251.92160000000001</v>
      </c>
      <c r="AG1374" s="395">
        <f t="shared" si="180"/>
        <v>0</v>
      </c>
    </row>
    <row r="1375" spans="6:33" ht="15.75">
      <c r="H1375" s="356" t="s">
        <v>2121</v>
      </c>
      <c r="K1375" s="363"/>
      <c r="M1375" s="370">
        <v>0.21</v>
      </c>
      <c r="N1375" s="368" t="s">
        <v>108</v>
      </c>
      <c r="O1375" s="356" t="s">
        <v>221</v>
      </c>
      <c r="P1375" s="370">
        <f>P1335</f>
        <v>4976.9571999999998</v>
      </c>
      <c r="Q1375" s="357" t="s">
        <v>108</v>
      </c>
      <c r="R1375" s="370">
        <f>(M1375*P1375)</f>
        <v>1045.161012</v>
      </c>
      <c r="S1375" s="407">
        <v>0.96699999999999997</v>
      </c>
      <c r="T1375" s="368" t="s">
        <v>478</v>
      </c>
      <c r="U1375" s="356" t="s">
        <v>2126</v>
      </c>
      <c r="V1375" s="370">
        <f t="shared" si="188"/>
        <v>306.89999999999998</v>
      </c>
      <c r="W1375" s="357" t="s">
        <v>478</v>
      </c>
      <c r="X1375" s="370">
        <f t="shared" si="189"/>
        <v>296.77229999999997</v>
      </c>
      <c r="Y1375" s="370"/>
      <c r="Z1375" s="461">
        <v>8</v>
      </c>
      <c r="AA1375" s="368" t="s">
        <v>223</v>
      </c>
      <c r="AB1375" s="368"/>
      <c r="AC1375" s="356" t="s">
        <v>2131</v>
      </c>
      <c r="AD1375" s="370">
        <f t="shared" si="187"/>
        <v>71.900000000000006</v>
      </c>
      <c r="AE1375" s="368" t="s">
        <v>223</v>
      </c>
      <c r="AF1375" s="370">
        <f t="shared" si="186"/>
        <v>575.20000000000005</v>
      </c>
      <c r="AG1375" s="395">
        <f t="shared" si="180"/>
        <v>0</v>
      </c>
    </row>
    <row r="1376" spans="6:33" ht="15.75">
      <c r="H1376" s="363" t="s">
        <v>117</v>
      </c>
      <c r="K1376" s="363"/>
      <c r="N1376" s="358"/>
      <c r="O1376" s="356" t="s">
        <v>222</v>
      </c>
      <c r="P1376" s="356" t="s">
        <v>114</v>
      </c>
      <c r="Q1376" s="361"/>
      <c r="R1376" s="356" t="s">
        <v>114</v>
      </c>
      <c r="S1376" s="407">
        <v>8.0719999999999992</v>
      </c>
      <c r="T1376" s="368" t="s">
        <v>31</v>
      </c>
      <c r="U1376" s="356" t="s">
        <v>2129</v>
      </c>
      <c r="V1376" s="370">
        <f t="shared" si="188"/>
        <v>29.05</v>
      </c>
      <c r="W1376" s="357" t="s">
        <v>31</v>
      </c>
      <c r="X1376" s="370">
        <f t="shared" si="189"/>
        <v>234.49159999999998</v>
      </c>
      <c r="Y1376" s="370"/>
      <c r="Z1376" s="461">
        <v>4</v>
      </c>
      <c r="AA1376" s="368" t="s">
        <v>223</v>
      </c>
      <c r="AB1376" s="368"/>
      <c r="AC1376" s="356" t="s">
        <v>2133</v>
      </c>
      <c r="AD1376" s="370">
        <f t="shared" si="187"/>
        <v>57.65</v>
      </c>
      <c r="AE1376" s="368" t="s">
        <v>223</v>
      </c>
      <c r="AF1376" s="370">
        <f t="shared" si="186"/>
        <v>230.6</v>
      </c>
      <c r="AG1376" s="395">
        <f t="shared" si="180"/>
        <v>0</v>
      </c>
    </row>
    <row r="1377" spans="6:33" ht="15.75">
      <c r="F1377" s="370">
        <v>190</v>
      </c>
      <c r="G1377" s="368" t="s">
        <v>3</v>
      </c>
      <c r="H1377" s="356" t="s">
        <v>2149</v>
      </c>
      <c r="I1377" s="404">
        <f>C83</f>
        <v>16500.485000000001</v>
      </c>
      <c r="J1377" s="356" t="s">
        <v>883</v>
      </c>
      <c r="K1377" s="370">
        <f>(F1377*I1377)/1000</f>
        <v>3135.0921499999999</v>
      </c>
      <c r="M1377" s="370">
        <v>1.1000000000000001</v>
      </c>
      <c r="N1377" s="368" t="s">
        <v>223</v>
      </c>
      <c r="O1377" s="356" t="s">
        <v>162</v>
      </c>
      <c r="P1377" s="370">
        <f>AG9</f>
        <v>1198.8</v>
      </c>
      <c r="Q1377" s="357" t="s">
        <v>223</v>
      </c>
      <c r="R1377" s="370">
        <f>(M1377*P1377)</f>
        <v>1318.68</v>
      </c>
      <c r="S1377" s="407">
        <v>8</v>
      </c>
      <c r="T1377" s="368" t="s">
        <v>223</v>
      </c>
      <c r="U1377" s="356" t="s">
        <v>2131</v>
      </c>
      <c r="V1377" s="370">
        <f t="shared" si="188"/>
        <v>71.900000000000006</v>
      </c>
      <c r="W1377" s="357" t="s">
        <v>223</v>
      </c>
      <c r="X1377" s="370">
        <f t="shared" si="189"/>
        <v>575.20000000000005</v>
      </c>
      <c r="Y1377" s="370"/>
      <c r="Z1377" s="461">
        <v>4</v>
      </c>
      <c r="AA1377" s="368" t="s">
        <v>223</v>
      </c>
      <c r="AB1377" s="368"/>
      <c r="AC1377" s="356" t="s">
        <v>2136</v>
      </c>
      <c r="AD1377" s="370">
        <f t="shared" si="187"/>
        <v>30</v>
      </c>
      <c r="AE1377" s="368" t="s">
        <v>223</v>
      </c>
      <c r="AF1377" s="370">
        <f t="shared" si="186"/>
        <v>120</v>
      </c>
      <c r="AG1377" s="395">
        <f t="shared" si="180"/>
        <v>0</v>
      </c>
    </row>
    <row r="1378" spans="6:33" ht="15.75">
      <c r="F1378" s="370">
        <v>0.12</v>
      </c>
      <c r="G1378" s="368" t="s">
        <v>108</v>
      </c>
      <c r="H1378" s="356" t="s">
        <v>221</v>
      </c>
      <c r="I1378" s="35">
        <f>K32</f>
        <v>4976.9571999999998</v>
      </c>
      <c r="J1378" s="356" t="s">
        <v>108</v>
      </c>
      <c r="K1378" s="370">
        <f t="shared" ref="K1378:K1384" si="190">(F1378*I1378)</f>
        <v>597.2348639999999</v>
      </c>
      <c r="M1378" s="370">
        <v>1.1000000000000001</v>
      </c>
      <c r="N1378" s="368" t="s">
        <v>223</v>
      </c>
      <c r="O1378" s="356" t="s">
        <v>152</v>
      </c>
      <c r="P1378" s="370">
        <f>AG10</f>
        <v>1118.3999999999999</v>
      </c>
      <c r="Q1378" s="357" t="s">
        <v>223</v>
      </c>
      <c r="R1378" s="370">
        <f>(M1378*P1378)</f>
        <v>1230.24</v>
      </c>
      <c r="S1378" s="407">
        <v>4</v>
      </c>
      <c r="T1378" s="368" t="s">
        <v>223</v>
      </c>
      <c r="U1378" s="356" t="s">
        <v>2133</v>
      </c>
      <c r="V1378" s="370">
        <f t="shared" si="188"/>
        <v>57.65</v>
      </c>
      <c r="W1378" s="357" t="s">
        <v>223</v>
      </c>
      <c r="X1378" s="370">
        <f t="shared" si="189"/>
        <v>230.6</v>
      </c>
      <c r="Y1378" s="370"/>
      <c r="Z1378" s="461">
        <v>4</v>
      </c>
      <c r="AA1378" s="368" t="s">
        <v>223</v>
      </c>
      <c r="AB1378" s="368"/>
      <c r="AC1378" s="356" t="s">
        <v>2137</v>
      </c>
      <c r="AD1378" s="370">
        <f t="shared" si="187"/>
        <v>20</v>
      </c>
      <c r="AE1378" s="368" t="s">
        <v>223</v>
      </c>
      <c r="AF1378" s="370">
        <f t="shared" si="186"/>
        <v>80</v>
      </c>
      <c r="AG1378" s="395">
        <f t="shared" si="180"/>
        <v>0</v>
      </c>
    </row>
    <row r="1379" spans="6:33" ht="15.75">
      <c r="F1379" s="370">
        <v>10</v>
      </c>
      <c r="G1379" s="368" t="s">
        <v>107</v>
      </c>
      <c r="H1379" s="356" t="s">
        <v>2127</v>
      </c>
      <c r="I1379" s="35">
        <f>K1346</f>
        <v>375.50382880000001</v>
      </c>
      <c r="J1379" s="356" t="s">
        <v>107</v>
      </c>
      <c r="K1379" s="370">
        <f t="shared" si="190"/>
        <v>3755.0382880000002</v>
      </c>
      <c r="M1379" s="370">
        <v>2.2000000000000002</v>
      </c>
      <c r="N1379" s="368" t="s">
        <v>223</v>
      </c>
      <c r="O1379" s="356" t="s">
        <v>153</v>
      </c>
      <c r="P1379" s="370">
        <f>AG11</f>
        <v>781.19999999999993</v>
      </c>
      <c r="Q1379" s="357" t="s">
        <v>223</v>
      </c>
      <c r="R1379" s="370">
        <f>(M1379*P1379)</f>
        <v>1718.64</v>
      </c>
      <c r="S1379" s="407">
        <v>4</v>
      </c>
      <c r="T1379" s="368" t="s">
        <v>223</v>
      </c>
      <c r="U1379" s="356" t="s">
        <v>2136</v>
      </c>
      <c r="V1379" s="370">
        <f t="shared" si="188"/>
        <v>30</v>
      </c>
      <c r="W1379" s="357" t="s">
        <v>223</v>
      </c>
      <c r="X1379" s="370">
        <f t="shared" si="189"/>
        <v>120</v>
      </c>
      <c r="Y1379" s="370"/>
      <c r="Z1379" s="461">
        <v>4</v>
      </c>
      <c r="AA1379" s="368" t="s">
        <v>223</v>
      </c>
      <c r="AB1379" s="368"/>
      <c r="AC1379" s="356" t="s">
        <v>2138</v>
      </c>
      <c r="AD1379" s="370">
        <f t="shared" si="187"/>
        <v>15</v>
      </c>
      <c r="AE1379" s="368" t="s">
        <v>223</v>
      </c>
      <c r="AF1379" s="370">
        <f t="shared" si="186"/>
        <v>60</v>
      </c>
      <c r="AG1379" s="395">
        <f t="shared" si="180"/>
        <v>0</v>
      </c>
    </row>
    <row r="1380" spans="6:33" ht="15.75">
      <c r="F1380" s="370">
        <v>5.8</v>
      </c>
      <c r="G1380" s="368" t="s">
        <v>213</v>
      </c>
      <c r="H1380" s="356" t="s">
        <v>2130</v>
      </c>
      <c r="I1380" s="35">
        <f>C655</f>
        <v>42.7</v>
      </c>
      <c r="J1380" s="356" t="s">
        <v>213</v>
      </c>
      <c r="K1380" s="370">
        <f t="shared" si="190"/>
        <v>247.66</v>
      </c>
      <c r="M1380" s="370">
        <v>2.2000000000000002</v>
      </c>
      <c r="N1380" s="368" t="s">
        <v>223</v>
      </c>
      <c r="O1380" s="356" t="s">
        <v>154</v>
      </c>
      <c r="P1380" s="370">
        <f>AG12</f>
        <v>640.79999999999995</v>
      </c>
      <c r="Q1380" s="357" t="s">
        <v>223</v>
      </c>
      <c r="R1380" s="370">
        <f>(M1380*P1380)</f>
        <v>1409.76</v>
      </c>
      <c r="S1380" s="407">
        <v>4</v>
      </c>
      <c r="T1380" s="368" t="s">
        <v>223</v>
      </c>
      <c r="U1380" s="356" t="s">
        <v>2137</v>
      </c>
      <c r="V1380" s="370">
        <f t="shared" si="188"/>
        <v>20</v>
      </c>
      <c r="W1380" s="357" t="s">
        <v>223</v>
      </c>
      <c r="X1380" s="370">
        <f t="shared" si="189"/>
        <v>80</v>
      </c>
      <c r="Y1380" s="370"/>
      <c r="Z1380" s="461">
        <v>1.42</v>
      </c>
      <c r="AA1380" s="368" t="s">
        <v>262</v>
      </c>
      <c r="AB1380" s="368"/>
      <c r="AC1380" s="356" t="s">
        <v>2139</v>
      </c>
      <c r="AD1380" s="370">
        <f t="shared" si="187"/>
        <v>2397.6</v>
      </c>
      <c r="AE1380" s="368" t="s">
        <v>262</v>
      </c>
      <c r="AF1380" s="370">
        <f t="shared" si="186"/>
        <v>3404.5919999999996</v>
      </c>
      <c r="AG1380" s="395">
        <f t="shared" si="180"/>
        <v>0</v>
      </c>
    </row>
    <row r="1381" spans="6:33" ht="15.75">
      <c r="F1381" s="370">
        <v>1.1000000000000001</v>
      </c>
      <c r="G1381" s="368" t="s">
        <v>223</v>
      </c>
      <c r="H1381" s="356" t="s">
        <v>162</v>
      </c>
      <c r="I1381" s="35">
        <f>C10</f>
        <v>1198.8</v>
      </c>
      <c r="J1381" s="356" t="s">
        <v>223</v>
      </c>
      <c r="K1381" s="370">
        <f t="shared" si="190"/>
        <v>1318.68</v>
      </c>
      <c r="M1381" s="407">
        <v>20</v>
      </c>
      <c r="N1381" s="368" t="s">
        <v>213</v>
      </c>
      <c r="O1381" s="356" t="s">
        <v>125</v>
      </c>
      <c r="P1381" s="370">
        <f>AE31</f>
        <v>6372.14</v>
      </c>
      <c r="Q1381" s="357" t="s">
        <v>124</v>
      </c>
      <c r="R1381" s="370">
        <f>(M1381*P1381)/1000</f>
        <v>127.44280000000001</v>
      </c>
      <c r="S1381" s="407">
        <v>4</v>
      </c>
      <c r="T1381" s="368" t="s">
        <v>223</v>
      </c>
      <c r="U1381" s="356" t="s">
        <v>2138</v>
      </c>
      <c r="V1381" s="370">
        <f t="shared" si="188"/>
        <v>15</v>
      </c>
      <c r="W1381" s="357" t="s">
        <v>223</v>
      </c>
      <c r="X1381" s="370">
        <f t="shared" si="189"/>
        <v>60</v>
      </c>
      <c r="Y1381" s="370"/>
      <c r="AA1381" s="358"/>
      <c r="AB1381" s="358"/>
      <c r="AC1381" s="356" t="s">
        <v>2141</v>
      </c>
      <c r="AE1381" s="361"/>
      <c r="AF1381" s="370">
        <v>0.85</v>
      </c>
      <c r="AG1381" s="395">
        <f t="shared" si="180"/>
        <v>0</v>
      </c>
    </row>
    <row r="1382" spans="6:33" ht="15.75">
      <c r="F1382" s="370">
        <v>2.1</v>
      </c>
      <c r="G1382" s="368" t="s">
        <v>223</v>
      </c>
      <c r="H1382" s="356" t="s">
        <v>152</v>
      </c>
      <c r="I1382" s="35">
        <f>C11</f>
        <v>1118.3999999999999</v>
      </c>
      <c r="J1382" s="356" t="s">
        <v>223</v>
      </c>
      <c r="K1382" s="370">
        <f t="shared" si="190"/>
        <v>2348.64</v>
      </c>
      <c r="M1382" s="407">
        <v>2</v>
      </c>
      <c r="N1382" s="368" t="s">
        <v>213</v>
      </c>
      <c r="O1382" s="356" t="s">
        <v>228</v>
      </c>
      <c r="P1382" s="392">
        <f>P1266</f>
        <v>36.1</v>
      </c>
      <c r="Q1382" s="357" t="s">
        <v>213</v>
      </c>
      <c r="R1382" s="370">
        <f>(M1382*P1382)</f>
        <v>72.2</v>
      </c>
      <c r="S1382" s="407">
        <v>1.2150000000000001</v>
      </c>
      <c r="T1382" s="368" t="s">
        <v>262</v>
      </c>
      <c r="U1382" s="356" t="s">
        <v>2139</v>
      </c>
      <c r="V1382" s="370">
        <f t="shared" si="188"/>
        <v>2397.6</v>
      </c>
      <c r="W1382" s="357" t="s">
        <v>262</v>
      </c>
      <c r="X1382" s="370">
        <f t="shared" si="189"/>
        <v>2913.0840000000003</v>
      </c>
      <c r="Y1382" s="370"/>
      <c r="AC1382" s="367" t="s">
        <v>2143</v>
      </c>
      <c r="AF1382" s="369">
        <f>SUM(AF1369:AF1381)</f>
        <v>9506.7692999999999</v>
      </c>
      <c r="AG1382" s="395">
        <f t="shared" si="180"/>
        <v>0</v>
      </c>
    </row>
    <row r="1383" spans="6:33" ht="15.75">
      <c r="F1383" s="370">
        <v>2.2000000000000002</v>
      </c>
      <c r="G1383" s="368" t="s">
        <v>223</v>
      </c>
      <c r="H1383" s="356" t="s">
        <v>153</v>
      </c>
      <c r="I1383" s="35">
        <f>C12</f>
        <v>781.19999999999993</v>
      </c>
      <c r="J1383" s="356" t="s">
        <v>223</v>
      </c>
      <c r="K1383" s="370">
        <f t="shared" si="190"/>
        <v>1718.64</v>
      </c>
      <c r="M1383" s="370">
        <v>1.6</v>
      </c>
      <c r="N1383" s="368" t="s">
        <v>223</v>
      </c>
      <c r="O1383" s="356" t="s">
        <v>152</v>
      </c>
      <c r="P1383" s="370">
        <f>P1267</f>
        <v>1118.3999999999999</v>
      </c>
      <c r="Q1383" s="357" t="s">
        <v>223</v>
      </c>
      <c r="R1383" s="370">
        <f>(M1383*P1383)</f>
        <v>1789.4399999999998</v>
      </c>
      <c r="T1383" s="358"/>
      <c r="U1383" s="356" t="s">
        <v>2141</v>
      </c>
      <c r="W1383" s="361"/>
      <c r="X1383" s="370">
        <v>0.23</v>
      </c>
      <c r="Y1383" s="370"/>
      <c r="AG1383" s="395">
        <f t="shared" si="180"/>
        <v>0</v>
      </c>
    </row>
    <row r="1384" spans="6:33" ht="15.75">
      <c r="F1384" s="370">
        <v>1.1000000000000001</v>
      </c>
      <c r="G1384" s="368" t="s">
        <v>223</v>
      </c>
      <c r="H1384" s="356" t="s">
        <v>154</v>
      </c>
      <c r="I1384" s="35">
        <f>C13</f>
        <v>640.79999999999995</v>
      </c>
      <c r="J1384" s="356" t="s">
        <v>223</v>
      </c>
      <c r="K1384" s="370">
        <f t="shared" si="190"/>
        <v>704.88</v>
      </c>
      <c r="M1384" s="370">
        <v>0.5</v>
      </c>
      <c r="N1384" s="368" t="s">
        <v>223</v>
      </c>
      <c r="O1384" s="356" t="s">
        <v>153</v>
      </c>
      <c r="P1384" s="370">
        <f>P1268</f>
        <v>781.19999999999993</v>
      </c>
      <c r="Q1384" s="357" t="s">
        <v>223</v>
      </c>
      <c r="R1384" s="370">
        <f>(M1384*P1384)</f>
        <v>390.59999999999997</v>
      </c>
      <c r="U1384" s="367" t="s">
        <v>2143</v>
      </c>
      <c r="W1384" s="361"/>
      <c r="X1384" s="369">
        <f>SUM(X1371:X1383)</f>
        <v>8660.6278999999995</v>
      </c>
      <c r="Y1384" s="369"/>
      <c r="AG1384" s="395">
        <f t="shared" si="180"/>
        <v>0</v>
      </c>
    </row>
    <row r="1385" spans="6:33" ht="19.5">
      <c r="G1385" s="368" t="s">
        <v>128</v>
      </c>
      <c r="H1385" s="356" t="s">
        <v>129</v>
      </c>
      <c r="J1385" s="356" t="s">
        <v>128</v>
      </c>
      <c r="K1385" s="370">
        <v>0</v>
      </c>
      <c r="M1385" s="370">
        <v>1.1000000000000001</v>
      </c>
      <c r="N1385" s="368" t="s">
        <v>223</v>
      </c>
      <c r="O1385" s="356" t="s">
        <v>154</v>
      </c>
      <c r="P1385" s="370">
        <f>P1269</f>
        <v>640.79999999999995</v>
      </c>
      <c r="Q1385" s="357" t="s">
        <v>223</v>
      </c>
      <c r="R1385" s="370">
        <f>(M1385*P1385)</f>
        <v>704.88</v>
      </c>
      <c r="W1385" s="361"/>
      <c r="AA1385" s="358"/>
      <c r="AB1385" s="358"/>
      <c r="AC1385" s="546" t="s">
        <v>2150</v>
      </c>
      <c r="AE1385" s="360"/>
      <c r="AG1385" s="395">
        <f t="shared" si="180"/>
        <v>0</v>
      </c>
    </row>
    <row r="1386" spans="6:33" ht="15.75">
      <c r="K1386" s="363" t="s">
        <v>117</v>
      </c>
      <c r="N1386" s="368" t="s">
        <v>128</v>
      </c>
      <c r="O1386" s="356" t="s">
        <v>129</v>
      </c>
      <c r="P1386" s="370"/>
      <c r="Q1386" s="357" t="s">
        <v>128</v>
      </c>
      <c r="R1386" s="370">
        <v>0.28000000000000003</v>
      </c>
      <c r="W1386" s="361"/>
      <c r="Z1386" s="461">
        <v>2.87</v>
      </c>
      <c r="AA1386" s="368" t="s">
        <v>480</v>
      </c>
      <c r="AB1386" s="368"/>
      <c r="AC1386" s="356" t="s">
        <v>2120</v>
      </c>
      <c r="AD1386" s="370">
        <f>AD1369</f>
        <v>325</v>
      </c>
      <c r="AE1386" s="368" t="s">
        <v>480</v>
      </c>
      <c r="AF1386" s="370">
        <f t="shared" ref="AF1386:AF1397" si="191">AD1386*Z1386</f>
        <v>932.75</v>
      </c>
      <c r="AG1386" s="395">
        <f t="shared" si="180"/>
        <v>0</v>
      </c>
    </row>
    <row r="1387" spans="6:33" ht="19.5">
      <c r="H1387" s="356" t="s">
        <v>176</v>
      </c>
      <c r="K1387" s="370">
        <f>SUM(K1377:K1385)</f>
        <v>13825.865301999998</v>
      </c>
      <c r="N1387" s="358"/>
      <c r="Q1387" s="361"/>
      <c r="R1387" s="363" t="s">
        <v>117</v>
      </c>
      <c r="T1387" s="358"/>
      <c r="U1387" s="546" t="s">
        <v>2151</v>
      </c>
      <c r="W1387" s="361"/>
      <c r="Z1387" s="461">
        <v>0.56000000000000005</v>
      </c>
      <c r="AA1387" s="368" t="s">
        <v>480</v>
      </c>
      <c r="AB1387" s="368"/>
      <c r="AC1387" s="356" t="s">
        <v>2120</v>
      </c>
      <c r="AD1387" s="370">
        <f t="shared" ref="AD1387:AD1397" si="192">AD1370</f>
        <v>325</v>
      </c>
      <c r="AE1387" s="368" t="s">
        <v>480</v>
      </c>
      <c r="AF1387" s="370">
        <f t="shared" si="191"/>
        <v>182.00000000000003</v>
      </c>
      <c r="AG1387" s="395">
        <f t="shared" si="180"/>
        <v>0</v>
      </c>
    </row>
    <row r="1388" spans="6:33" ht="15.75">
      <c r="K1388" s="363" t="s">
        <v>117</v>
      </c>
      <c r="N1388" s="358"/>
      <c r="O1388" s="356" t="s">
        <v>176</v>
      </c>
      <c r="Q1388" s="361"/>
      <c r="R1388" s="370">
        <f>SUM(R1374:R1386)</f>
        <v>26067.323811999999</v>
      </c>
      <c r="S1388" s="407">
        <v>4.88</v>
      </c>
      <c r="T1388" s="368" t="s">
        <v>480</v>
      </c>
      <c r="U1388" s="356" t="s">
        <v>2120</v>
      </c>
      <c r="V1388" s="370">
        <f>V1371</f>
        <v>325</v>
      </c>
      <c r="W1388" s="357" t="s">
        <v>480</v>
      </c>
      <c r="X1388" s="370">
        <f>V1388*S1388</f>
        <v>1586</v>
      </c>
      <c r="Y1388" s="370"/>
      <c r="Z1388" s="461">
        <v>2.98</v>
      </c>
      <c r="AA1388" s="368" t="s">
        <v>480</v>
      </c>
      <c r="AB1388" s="368"/>
      <c r="AC1388" s="356" t="s">
        <v>2120</v>
      </c>
      <c r="AD1388" s="370">
        <f t="shared" si="192"/>
        <v>325</v>
      </c>
      <c r="AE1388" s="368" t="s">
        <v>480</v>
      </c>
      <c r="AF1388" s="370">
        <f t="shared" si="191"/>
        <v>968.5</v>
      </c>
      <c r="AG1388" s="395">
        <f t="shared" si="180"/>
        <v>0</v>
      </c>
    </row>
    <row r="1389" spans="6:33" ht="15.75">
      <c r="H1389" s="372" t="s">
        <v>177</v>
      </c>
      <c r="K1389" s="369">
        <f>(K1387/10)</f>
        <v>1382.5865301999997</v>
      </c>
      <c r="N1389" s="358"/>
      <c r="Q1389" s="361"/>
      <c r="R1389" s="363" t="s">
        <v>117</v>
      </c>
      <c r="S1389" s="407">
        <v>6.57</v>
      </c>
      <c r="T1389" s="368" t="s">
        <v>480</v>
      </c>
      <c r="U1389" s="356" t="s">
        <v>2120</v>
      </c>
      <c r="V1389" s="370">
        <f t="shared" ref="V1389:V1399" si="193">V1372</f>
        <v>325</v>
      </c>
      <c r="W1389" s="357" t="s">
        <v>480</v>
      </c>
      <c r="X1389" s="370">
        <f t="shared" ref="X1389:X1399" si="194">V1389*S1389</f>
        <v>2135.25</v>
      </c>
      <c r="Y1389" s="370"/>
      <c r="Z1389" s="461">
        <v>0.52</v>
      </c>
      <c r="AA1389" s="368" t="s">
        <v>480</v>
      </c>
      <c r="AB1389" s="368"/>
      <c r="AC1389" s="356" t="s">
        <v>2120</v>
      </c>
      <c r="AD1389" s="370">
        <f t="shared" si="192"/>
        <v>325</v>
      </c>
      <c r="AE1389" s="368" t="s">
        <v>480</v>
      </c>
      <c r="AF1389" s="370">
        <f t="shared" si="191"/>
        <v>169</v>
      </c>
      <c r="AG1389" s="395">
        <f t="shared" si="180"/>
        <v>0</v>
      </c>
    </row>
    <row r="1390" spans="6:33" ht="15.75">
      <c r="K1390" s="363" t="s">
        <v>156</v>
      </c>
      <c r="N1390" s="358"/>
      <c r="O1390" s="356" t="s">
        <v>177</v>
      </c>
      <c r="Q1390" s="361"/>
      <c r="R1390" s="370">
        <f>(R1388/10)</f>
        <v>2606.7323812</v>
      </c>
      <c r="S1390" s="407">
        <v>11.56</v>
      </c>
      <c r="T1390" s="368" t="s">
        <v>480</v>
      </c>
      <c r="U1390" s="356" t="s">
        <v>2120</v>
      </c>
      <c r="V1390" s="370">
        <f t="shared" si="193"/>
        <v>325</v>
      </c>
      <c r="W1390" s="357" t="s">
        <v>480</v>
      </c>
      <c r="X1390" s="370">
        <f t="shared" si="194"/>
        <v>3757</v>
      </c>
      <c r="Y1390" s="370"/>
      <c r="Z1390" s="461">
        <v>0.53300000000000003</v>
      </c>
      <c r="AA1390" s="368" t="s">
        <v>478</v>
      </c>
      <c r="AB1390" s="368"/>
      <c r="AC1390" s="356" t="s">
        <v>2126</v>
      </c>
      <c r="AD1390" s="370">
        <f t="shared" si="192"/>
        <v>306.89999999999998</v>
      </c>
      <c r="AE1390" s="368" t="s">
        <v>478</v>
      </c>
      <c r="AF1390" s="370">
        <f t="shared" si="191"/>
        <v>163.57769999999999</v>
      </c>
      <c r="AG1390" s="395">
        <f t="shared" si="180"/>
        <v>0</v>
      </c>
    </row>
    <row r="1391" spans="6:33" ht="15.75">
      <c r="K1391" s="363"/>
      <c r="N1391" s="358"/>
      <c r="Q1391" s="361"/>
      <c r="R1391" s="363" t="s">
        <v>156</v>
      </c>
      <c r="S1391" s="407">
        <v>2.0099999999999998</v>
      </c>
      <c r="T1391" s="368" t="s">
        <v>480</v>
      </c>
      <c r="U1391" s="356" t="s">
        <v>2120</v>
      </c>
      <c r="V1391" s="370">
        <f t="shared" si="193"/>
        <v>325</v>
      </c>
      <c r="W1391" s="357" t="s">
        <v>480</v>
      </c>
      <c r="X1391" s="370">
        <f t="shared" si="194"/>
        <v>653.24999999999989</v>
      </c>
      <c r="Y1391" s="370"/>
      <c r="Z1391" s="461">
        <v>4.1959999999999997</v>
      </c>
      <c r="AA1391" s="368" t="s">
        <v>31</v>
      </c>
      <c r="AB1391" s="368"/>
      <c r="AC1391" s="356" t="s">
        <v>2129</v>
      </c>
      <c r="AD1391" s="370">
        <f t="shared" si="192"/>
        <v>29.05</v>
      </c>
      <c r="AE1391" s="368" t="s">
        <v>31</v>
      </c>
      <c r="AF1391" s="370">
        <f t="shared" si="191"/>
        <v>121.8938</v>
      </c>
      <c r="AG1391" s="395">
        <f t="shared" si="180"/>
        <v>0</v>
      </c>
    </row>
    <row r="1392" spans="6:33" ht="19.5">
      <c r="F1392" s="357" t="s">
        <v>2152</v>
      </c>
      <c r="G1392" s="368" t="s">
        <v>122</v>
      </c>
      <c r="H1392" s="356" t="s">
        <v>2153</v>
      </c>
      <c r="N1392" s="358"/>
      <c r="O1392" s="546" t="s">
        <v>2154</v>
      </c>
      <c r="Q1392" s="360"/>
      <c r="S1392" s="407">
        <v>1.96</v>
      </c>
      <c r="T1392" s="368" t="s">
        <v>478</v>
      </c>
      <c r="U1392" s="356" t="s">
        <v>2126</v>
      </c>
      <c r="V1392" s="370">
        <f t="shared" si="193"/>
        <v>306.89999999999998</v>
      </c>
      <c r="W1392" s="357" t="s">
        <v>478</v>
      </c>
      <c r="X1392" s="370">
        <f t="shared" si="194"/>
        <v>601.524</v>
      </c>
      <c r="Y1392" s="370"/>
      <c r="Z1392" s="461">
        <v>4</v>
      </c>
      <c r="AA1392" s="368" t="s">
        <v>223</v>
      </c>
      <c r="AB1392" s="368"/>
      <c r="AC1392" s="356" t="s">
        <v>2131</v>
      </c>
      <c r="AD1392" s="370">
        <f t="shared" si="192"/>
        <v>71.900000000000006</v>
      </c>
      <c r="AE1392" s="368" t="s">
        <v>223</v>
      </c>
      <c r="AF1392" s="370">
        <f t="shared" si="191"/>
        <v>287.60000000000002</v>
      </c>
      <c r="AG1392" s="395">
        <f t="shared" si="180"/>
        <v>0</v>
      </c>
    </row>
    <row r="1393" spans="6:33" ht="15.75">
      <c r="H1393" s="363" t="s">
        <v>117</v>
      </c>
      <c r="M1393" s="461">
        <v>4.1849999999999996</v>
      </c>
      <c r="N1393" s="368" t="s">
        <v>480</v>
      </c>
      <c r="O1393" s="450" t="s">
        <v>2155</v>
      </c>
      <c r="P1393" s="394">
        <v>325</v>
      </c>
      <c r="Q1393" s="368" t="s">
        <v>480</v>
      </c>
      <c r="R1393" s="370">
        <f>P1393*M1393</f>
        <v>1360.1249999999998</v>
      </c>
      <c r="S1393" s="407">
        <v>16.224</v>
      </c>
      <c r="T1393" s="368" t="s">
        <v>31</v>
      </c>
      <c r="U1393" s="356" t="s">
        <v>2129</v>
      </c>
      <c r="V1393" s="370">
        <f t="shared" si="193"/>
        <v>29.05</v>
      </c>
      <c r="W1393" s="357" t="s">
        <v>31</v>
      </c>
      <c r="X1393" s="370">
        <f t="shared" si="194"/>
        <v>471.30720000000002</v>
      </c>
      <c r="Y1393" s="370"/>
      <c r="Z1393" s="461">
        <v>2</v>
      </c>
      <c r="AA1393" s="368" t="s">
        <v>223</v>
      </c>
      <c r="AB1393" s="368"/>
      <c r="AC1393" s="356" t="s">
        <v>2133</v>
      </c>
      <c r="AD1393" s="370">
        <f t="shared" si="192"/>
        <v>57.65</v>
      </c>
      <c r="AE1393" s="368" t="s">
        <v>223</v>
      </c>
      <c r="AF1393" s="370">
        <f t="shared" si="191"/>
        <v>115.3</v>
      </c>
      <c r="AG1393" s="395">
        <f t="shared" si="180"/>
        <v>0</v>
      </c>
    </row>
    <row r="1394" spans="6:33" ht="15.75">
      <c r="F1394" s="370">
        <v>0.14000000000000001</v>
      </c>
      <c r="G1394" s="368" t="s">
        <v>108</v>
      </c>
      <c r="H1394" s="356" t="s">
        <v>134</v>
      </c>
      <c r="I1394" s="370">
        <f>(K49)</f>
        <v>3753.50632</v>
      </c>
      <c r="J1394" s="356" t="s">
        <v>108</v>
      </c>
      <c r="K1394" s="370">
        <f>(F1394*I1394)</f>
        <v>525.4908848</v>
      </c>
      <c r="M1394" s="461">
        <v>4.55</v>
      </c>
      <c r="N1394" s="368" t="s">
        <v>480</v>
      </c>
      <c r="O1394" s="356" t="s">
        <v>2120</v>
      </c>
      <c r="P1394" s="370">
        <f>P1393</f>
        <v>325</v>
      </c>
      <c r="Q1394" s="368" t="s">
        <v>480</v>
      </c>
      <c r="R1394" s="370">
        <f t="shared" ref="R1394:R1404" si="195">P1394*M1394</f>
        <v>1478.75</v>
      </c>
      <c r="S1394" s="407">
        <v>16</v>
      </c>
      <c r="T1394" s="368" t="s">
        <v>223</v>
      </c>
      <c r="U1394" s="356" t="s">
        <v>2131</v>
      </c>
      <c r="V1394" s="370">
        <f t="shared" si="193"/>
        <v>71.900000000000006</v>
      </c>
      <c r="W1394" s="357" t="s">
        <v>223</v>
      </c>
      <c r="X1394" s="370">
        <f t="shared" si="194"/>
        <v>1150.4000000000001</v>
      </c>
      <c r="Y1394" s="370"/>
      <c r="Z1394" s="461">
        <v>2</v>
      </c>
      <c r="AA1394" s="368" t="s">
        <v>223</v>
      </c>
      <c r="AB1394" s="368"/>
      <c r="AC1394" s="356" t="s">
        <v>2136</v>
      </c>
      <c r="AD1394" s="370">
        <f t="shared" si="192"/>
        <v>30</v>
      </c>
      <c r="AE1394" s="368" t="s">
        <v>223</v>
      </c>
      <c r="AF1394" s="370">
        <f t="shared" si="191"/>
        <v>60</v>
      </c>
      <c r="AG1394" s="395">
        <f t="shared" si="180"/>
        <v>0</v>
      </c>
    </row>
    <row r="1395" spans="6:33" ht="15.75">
      <c r="F1395" s="370">
        <v>1.1000000000000001</v>
      </c>
      <c r="G1395" s="368" t="s">
        <v>151</v>
      </c>
      <c r="H1395" s="356" t="s">
        <v>162</v>
      </c>
      <c r="I1395" s="370">
        <f>(C10)</f>
        <v>1198.8</v>
      </c>
      <c r="J1395" s="356" t="s">
        <v>151</v>
      </c>
      <c r="K1395" s="370">
        <f>(F1395*I1395)</f>
        <v>1318.68</v>
      </c>
      <c r="M1395" s="461">
        <v>8.66</v>
      </c>
      <c r="N1395" s="368" t="s">
        <v>480</v>
      </c>
      <c r="O1395" s="356" t="s">
        <v>2120</v>
      </c>
      <c r="P1395" s="370">
        <f>P1393</f>
        <v>325</v>
      </c>
      <c r="Q1395" s="368" t="s">
        <v>480</v>
      </c>
      <c r="R1395" s="370">
        <f t="shared" si="195"/>
        <v>2814.5</v>
      </c>
      <c r="S1395" s="407">
        <v>8</v>
      </c>
      <c r="T1395" s="368" t="s">
        <v>223</v>
      </c>
      <c r="U1395" s="356" t="s">
        <v>2133</v>
      </c>
      <c r="V1395" s="370">
        <f t="shared" si="193"/>
        <v>57.65</v>
      </c>
      <c r="W1395" s="357" t="s">
        <v>223</v>
      </c>
      <c r="X1395" s="370">
        <f t="shared" si="194"/>
        <v>461.2</v>
      </c>
      <c r="Y1395" s="370"/>
      <c r="Z1395" s="461">
        <v>2</v>
      </c>
      <c r="AA1395" s="368" t="s">
        <v>223</v>
      </c>
      <c r="AB1395" s="368"/>
      <c r="AC1395" s="356" t="s">
        <v>2137</v>
      </c>
      <c r="AD1395" s="370">
        <f t="shared" si="192"/>
        <v>20</v>
      </c>
      <c r="AE1395" s="368" t="s">
        <v>223</v>
      </c>
      <c r="AF1395" s="370">
        <f t="shared" si="191"/>
        <v>40</v>
      </c>
      <c r="AG1395" s="395">
        <f t="shared" si="180"/>
        <v>0</v>
      </c>
    </row>
    <row r="1396" spans="6:33" ht="15.75">
      <c r="F1396" s="370">
        <v>0.5</v>
      </c>
      <c r="G1396" s="368" t="s">
        <v>151</v>
      </c>
      <c r="H1396" s="356" t="s">
        <v>153</v>
      </c>
      <c r="I1396" s="370">
        <f>(C12)</f>
        <v>781.19999999999993</v>
      </c>
      <c r="J1396" s="356" t="s">
        <v>151</v>
      </c>
      <c r="K1396" s="370">
        <f>(F1396*I1396)</f>
        <v>390.59999999999997</v>
      </c>
      <c r="M1396" s="461">
        <v>1.51</v>
      </c>
      <c r="N1396" s="368" t="s">
        <v>480</v>
      </c>
      <c r="O1396" s="356" t="s">
        <v>2120</v>
      </c>
      <c r="P1396" s="370">
        <f>P1393</f>
        <v>325</v>
      </c>
      <c r="Q1396" s="368" t="s">
        <v>480</v>
      </c>
      <c r="R1396" s="370">
        <f t="shared" si="195"/>
        <v>490.75</v>
      </c>
      <c r="S1396" s="407">
        <v>8</v>
      </c>
      <c r="T1396" s="368" t="s">
        <v>223</v>
      </c>
      <c r="U1396" s="356" t="s">
        <v>2136</v>
      </c>
      <c r="V1396" s="370">
        <f t="shared" si="193"/>
        <v>30</v>
      </c>
      <c r="W1396" s="357" t="s">
        <v>223</v>
      </c>
      <c r="X1396" s="370">
        <f t="shared" si="194"/>
        <v>240</v>
      </c>
      <c r="Y1396" s="370"/>
      <c r="Z1396" s="461">
        <v>4</v>
      </c>
      <c r="AA1396" s="368" t="s">
        <v>223</v>
      </c>
      <c r="AB1396" s="368"/>
      <c r="AC1396" s="356" t="s">
        <v>2138</v>
      </c>
      <c r="AD1396" s="370">
        <f t="shared" si="192"/>
        <v>15</v>
      </c>
      <c r="AE1396" s="368" t="s">
        <v>223</v>
      </c>
      <c r="AF1396" s="370">
        <f t="shared" si="191"/>
        <v>60</v>
      </c>
      <c r="AG1396" s="395">
        <f t="shared" si="180"/>
        <v>0</v>
      </c>
    </row>
    <row r="1397" spans="6:33" ht="15.75">
      <c r="F1397" s="370">
        <v>1.1000000000000001</v>
      </c>
      <c r="G1397" s="368" t="s">
        <v>151</v>
      </c>
      <c r="H1397" s="356" t="s">
        <v>154</v>
      </c>
      <c r="I1397" s="370">
        <f>(C13)</f>
        <v>640.79999999999995</v>
      </c>
      <c r="J1397" s="356" t="s">
        <v>151</v>
      </c>
      <c r="K1397" s="370">
        <f>(F1397*I1397)</f>
        <v>704.88</v>
      </c>
      <c r="M1397" s="461">
        <v>1.462</v>
      </c>
      <c r="N1397" s="368" t="s">
        <v>478</v>
      </c>
      <c r="O1397" s="450" t="s">
        <v>2126</v>
      </c>
      <c r="P1397" s="394">
        <v>306.89999999999998</v>
      </c>
      <c r="Q1397" s="368" t="s">
        <v>478</v>
      </c>
      <c r="R1397" s="370">
        <f t="shared" si="195"/>
        <v>448.68779999999998</v>
      </c>
      <c r="S1397" s="407">
        <v>8</v>
      </c>
      <c r="T1397" s="368" t="s">
        <v>223</v>
      </c>
      <c r="U1397" s="356" t="s">
        <v>2137</v>
      </c>
      <c r="V1397" s="370">
        <f t="shared" si="193"/>
        <v>20</v>
      </c>
      <c r="W1397" s="357" t="s">
        <v>223</v>
      </c>
      <c r="X1397" s="370">
        <f t="shared" si="194"/>
        <v>160</v>
      </c>
      <c r="Y1397" s="370"/>
      <c r="Z1397" s="461">
        <v>0.67500000000000004</v>
      </c>
      <c r="AA1397" s="368" t="s">
        <v>262</v>
      </c>
      <c r="AB1397" s="368"/>
      <c r="AC1397" s="356" t="s">
        <v>2139</v>
      </c>
      <c r="AD1397" s="370">
        <f t="shared" si="192"/>
        <v>2397.6</v>
      </c>
      <c r="AE1397" s="368" t="s">
        <v>262</v>
      </c>
      <c r="AF1397" s="370">
        <f t="shared" si="191"/>
        <v>1618.38</v>
      </c>
      <c r="AG1397" s="395">
        <f t="shared" si="180"/>
        <v>0</v>
      </c>
    </row>
    <row r="1398" spans="6:33" ht="15.75">
      <c r="G1398" s="368" t="s">
        <v>128</v>
      </c>
      <c r="H1398" s="356" t="s">
        <v>129</v>
      </c>
      <c r="I1398" s="356" t="s">
        <v>114</v>
      </c>
      <c r="J1398" s="356" t="s">
        <v>128</v>
      </c>
      <c r="K1398" s="370">
        <v>5</v>
      </c>
      <c r="M1398" s="461">
        <v>12.144</v>
      </c>
      <c r="N1398" s="368" t="s">
        <v>31</v>
      </c>
      <c r="O1398" s="450" t="s">
        <v>2156</v>
      </c>
      <c r="P1398" s="394">
        <v>29.05</v>
      </c>
      <c r="Q1398" s="368" t="s">
        <v>31</v>
      </c>
      <c r="R1398" s="370">
        <f t="shared" si="195"/>
        <v>352.78320000000002</v>
      </c>
      <c r="S1398" s="407">
        <v>4</v>
      </c>
      <c r="T1398" s="368" t="s">
        <v>223</v>
      </c>
      <c r="U1398" s="356" t="s">
        <v>2138</v>
      </c>
      <c r="V1398" s="370">
        <f t="shared" si="193"/>
        <v>15</v>
      </c>
      <c r="W1398" s="357" t="s">
        <v>223</v>
      </c>
      <c r="X1398" s="370">
        <f t="shared" si="194"/>
        <v>60</v>
      </c>
      <c r="Y1398" s="370"/>
      <c r="AA1398" s="358"/>
      <c r="AB1398" s="358"/>
      <c r="AC1398" s="356" t="s">
        <v>2141</v>
      </c>
      <c r="AE1398" s="361"/>
      <c r="AF1398" s="370">
        <v>0.39</v>
      </c>
      <c r="AG1398" s="395">
        <f t="shared" si="180"/>
        <v>0</v>
      </c>
    </row>
    <row r="1399" spans="6:33" ht="15.75">
      <c r="K1399" s="363" t="s">
        <v>117</v>
      </c>
      <c r="M1399" s="461">
        <v>12</v>
      </c>
      <c r="N1399" s="368" t="s">
        <v>223</v>
      </c>
      <c r="O1399" s="450" t="s">
        <v>2157</v>
      </c>
      <c r="P1399" s="394">
        <v>71.900000000000006</v>
      </c>
      <c r="Q1399" s="368" t="s">
        <v>223</v>
      </c>
      <c r="R1399" s="370">
        <f t="shared" si="195"/>
        <v>862.80000000000007</v>
      </c>
      <c r="S1399" s="407">
        <v>2.4300000000000002</v>
      </c>
      <c r="T1399" s="368" t="s">
        <v>262</v>
      </c>
      <c r="U1399" s="356" t="s">
        <v>2139</v>
      </c>
      <c r="V1399" s="370">
        <f t="shared" si="193"/>
        <v>2397.6</v>
      </c>
      <c r="W1399" s="357" t="s">
        <v>262</v>
      </c>
      <c r="X1399" s="370">
        <f t="shared" si="194"/>
        <v>5826.1680000000006</v>
      </c>
      <c r="Y1399" s="370"/>
      <c r="AC1399" s="367" t="s">
        <v>2143</v>
      </c>
      <c r="AF1399" s="369">
        <f>SUM(AF1386:AF1398)</f>
        <v>4719.3915000000006</v>
      </c>
      <c r="AG1399" s="395">
        <f t="shared" si="180"/>
        <v>0</v>
      </c>
    </row>
    <row r="1400" spans="6:33" ht="15.75">
      <c r="H1400" s="356" t="s">
        <v>176</v>
      </c>
      <c r="K1400" s="370">
        <f>SUM(K1394:K1399)</f>
        <v>2944.6508848000003</v>
      </c>
      <c r="M1400" s="461">
        <v>6</v>
      </c>
      <c r="N1400" s="368" t="s">
        <v>223</v>
      </c>
      <c r="O1400" s="450" t="s">
        <v>2158</v>
      </c>
      <c r="P1400" s="381">
        <f>P1096</f>
        <v>57.65</v>
      </c>
      <c r="Q1400" s="368" t="s">
        <v>223</v>
      </c>
      <c r="R1400" s="370">
        <f t="shared" si="195"/>
        <v>345.9</v>
      </c>
      <c r="T1400" s="358"/>
      <c r="U1400" s="356" t="s">
        <v>2141</v>
      </c>
      <c r="W1400" s="361"/>
      <c r="X1400" s="370"/>
      <c r="Y1400" s="370"/>
      <c r="AG1400" s="395">
        <f t="shared" si="180"/>
        <v>0</v>
      </c>
    </row>
    <row r="1401" spans="6:33" ht="19.5">
      <c r="K1401" s="363" t="s">
        <v>117</v>
      </c>
      <c r="M1401" s="461">
        <v>6</v>
      </c>
      <c r="N1401" s="368" t="s">
        <v>223</v>
      </c>
      <c r="O1401" s="356" t="s">
        <v>2159</v>
      </c>
      <c r="P1401" s="392">
        <v>30</v>
      </c>
      <c r="Q1401" s="368" t="s">
        <v>223</v>
      </c>
      <c r="R1401" s="370">
        <f t="shared" si="195"/>
        <v>180</v>
      </c>
      <c r="U1401" s="367" t="s">
        <v>2143</v>
      </c>
      <c r="W1401" s="361"/>
      <c r="X1401" s="369">
        <f>SUM(X1388:X1400)</f>
        <v>17102.099200000001</v>
      </c>
      <c r="Y1401" s="369"/>
      <c r="AA1401" s="358"/>
      <c r="AB1401" s="358"/>
      <c r="AC1401" s="546" t="s">
        <v>2160</v>
      </c>
      <c r="AE1401" s="360"/>
      <c r="AG1401" s="395">
        <f t="shared" si="180"/>
        <v>0</v>
      </c>
    </row>
    <row r="1402" spans="6:33" ht="15.75">
      <c r="H1402" s="372" t="s">
        <v>177</v>
      </c>
      <c r="K1402" s="369">
        <f>(K1400/10)</f>
        <v>294.46508848000002</v>
      </c>
      <c r="M1402" s="461">
        <v>6</v>
      </c>
      <c r="N1402" s="368" t="s">
        <v>223</v>
      </c>
      <c r="O1402" s="356" t="s">
        <v>2137</v>
      </c>
      <c r="P1402" s="402">
        <v>20</v>
      </c>
      <c r="Q1402" s="368" t="s">
        <v>223</v>
      </c>
      <c r="R1402" s="370">
        <f t="shared" si="195"/>
        <v>120</v>
      </c>
      <c r="W1402" s="361"/>
      <c r="Z1402" s="461">
        <v>2.33</v>
      </c>
      <c r="AA1402" s="368" t="s">
        <v>480</v>
      </c>
      <c r="AB1402" s="368"/>
      <c r="AC1402" s="356" t="s">
        <v>2120</v>
      </c>
      <c r="AD1402" s="370">
        <f t="shared" ref="AD1402:AD1413" si="196">V1404</f>
        <v>325</v>
      </c>
      <c r="AE1402" s="368" t="s">
        <v>480</v>
      </c>
      <c r="AF1402" s="370">
        <f t="shared" ref="AF1402:AF1413" si="197">AD1402*Z1402</f>
        <v>757.25</v>
      </c>
      <c r="AG1402" s="395">
        <f t="shared" si="180"/>
        <v>0</v>
      </c>
    </row>
    <row r="1403" spans="6:33" ht="19.5">
      <c r="F1403" s="356" t="s">
        <v>114</v>
      </c>
      <c r="M1403" s="461">
        <v>4</v>
      </c>
      <c r="N1403" s="368" t="s">
        <v>223</v>
      </c>
      <c r="O1403" s="356" t="s">
        <v>2138</v>
      </c>
      <c r="P1403" s="402">
        <v>15</v>
      </c>
      <c r="Q1403" s="368" t="s">
        <v>223</v>
      </c>
      <c r="R1403" s="370">
        <f t="shared" si="195"/>
        <v>60</v>
      </c>
      <c r="T1403" s="358"/>
      <c r="U1403" s="546" t="s">
        <v>2161</v>
      </c>
      <c r="W1403" s="361"/>
      <c r="Z1403" s="461">
        <v>0.67</v>
      </c>
      <c r="AA1403" s="368" t="s">
        <v>480</v>
      </c>
      <c r="AB1403" s="368"/>
      <c r="AC1403" s="356" t="s">
        <v>2120</v>
      </c>
      <c r="AD1403" s="370">
        <f t="shared" si="196"/>
        <v>325</v>
      </c>
      <c r="AE1403" s="368" t="s">
        <v>480</v>
      </c>
      <c r="AF1403" s="370">
        <f t="shared" si="197"/>
        <v>217.75</v>
      </c>
      <c r="AG1403" s="395">
        <f t="shared" si="180"/>
        <v>0</v>
      </c>
    </row>
    <row r="1404" spans="6:33" ht="15.75">
      <c r="K1404" s="363" t="s">
        <v>156</v>
      </c>
      <c r="M1404" s="461">
        <v>1.823</v>
      </c>
      <c r="N1404" s="368" t="s">
        <v>262</v>
      </c>
      <c r="O1404" s="356" t="s">
        <v>2139</v>
      </c>
      <c r="P1404" s="35">
        <f>ROUND(AG17+AG11+(AG20*0.5),2)</f>
        <v>2397.6</v>
      </c>
      <c r="Q1404" s="368" t="s">
        <v>262</v>
      </c>
      <c r="R1404" s="370">
        <f t="shared" si="195"/>
        <v>4370.8247999999994</v>
      </c>
      <c r="S1404" s="407">
        <f>8*0.775</f>
        <v>6.2</v>
      </c>
      <c r="T1404" s="368" t="s">
        <v>480</v>
      </c>
      <c r="U1404" s="356" t="s">
        <v>2120</v>
      </c>
      <c r="V1404" s="370">
        <f>V1388</f>
        <v>325</v>
      </c>
      <c r="W1404" s="357" t="s">
        <v>480</v>
      </c>
      <c r="X1404" s="370">
        <f>V1404*S1404</f>
        <v>2015</v>
      </c>
      <c r="Y1404" s="370"/>
      <c r="Z1404" s="461">
        <v>2.65</v>
      </c>
      <c r="AA1404" s="368" t="s">
        <v>480</v>
      </c>
      <c r="AB1404" s="368"/>
      <c r="AC1404" s="356" t="s">
        <v>2120</v>
      </c>
      <c r="AD1404" s="370">
        <f t="shared" si="196"/>
        <v>325</v>
      </c>
      <c r="AE1404" s="368" t="s">
        <v>480</v>
      </c>
      <c r="AF1404" s="370">
        <f t="shared" si="197"/>
        <v>861.25</v>
      </c>
      <c r="AG1404" s="395">
        <f t="shared" si="180"/>
        <v>0</v>
      </c>
    </row>
    <row r="1405" spans="6:33" ht="15.75">
      <c r="F1405" s="357" t="s">
        <v>2162</v>
      </c>
      <c r="G1405" s="368" t="s">
        <v>122</v>
      </c>
      <c r="H1405" s="356" t="s">
        <v>2163</v>
      </c>
      <c r="N1405" s="358"/>
      <c r="O1405" s="356" t="s">
        <v>2141</v>
      </c>
      <c r="Q1405" s="361"/>
      <c r="R1405" s="370">
        <v>0.51</v>
      </c>
      <c r="S1405" s="407">
        <f>8.4*1.123</f>
        <v>9.4332000000000011</v>
      </c>
      <c r="T1405" s="368" t="s">
        <v>480</v>
      </c>
      <c r="U1405" s="356" t="s">
        <v>2120</v>
      </c>
      <c r="V1405" s="370">
        <f t="shared" ref="V1405:V1415" si="198">V1389</f>
        <v>325</v>
      </c>
      <c r="W1405" s="357" t="s">
        <v>480</v>
      </c>
      <c r="X1405" s="370">
        <f t="shared" ref="X1405:X1415" si="199">V1405*S1405</f>
        <v>3065.7900000000004</v>
      </c>
      <c r="Y1405" s="370"/>
      <c r="Z1405" s="461">
        <v>0.46</v>
      </c>
      <c r="AA1405" s="368" t="s">
        <v>480</v>
      </c>
      <c r="AB1405" s="368"/>
      <c r="AC1405" s="356" t="s">
        <v>2120</v>
      </c>
      <c r="AD1405" s="370">
        <f t="shared" si="196"/>
        <v>325</v>
      </c>
      <c r="AE1405" s="368" t="s">
        <v>480</v>
      </c>
      <c r="AF1405" s="370">
        <f t="shared" si="197"/>
        <v>149.5</v>
      </c>
      <c r="AG1405" s="395">
        <f t="shared" si="180"/>
        <v>0</v>
      </c>
    </row>
    <row r="1406" spans="6:33" ht="15.75">
      <c r="H1406" s="363" t="s">
        <v>117</v>
      </c>
      <c r="L1406" s="35">
        <f>5.85*1.123</f>
        <v>6.5695499999999996</v>
      </c>
      <c r="R1406" s="369">
        <f>SUM(R1393:R1405)</f>
        <v>12885.630799999997</v>
      </c>
      <c r="S1406" s="407">
        <f>24.24*0.663</f>
        <v>16.071120000000001</v>
      </c>
      <c r="T1406" s="368" t="s">
        <v>480</v>
      </c>
      <c r="U1406" s="356" t="s">
        <v>2120</v>
      </c>
      <c r="V1406" s="370">
        <f t="shared" si="198"/>
        <v>325</v>
      </c>
      <c r="W1406" s="357" t="s">
        <v>480</v>
      </c>
      <c r="X1406" s="370">
        <f t="shared" si="199"/>
        <v>5223.1140000000005</v>
      </c>
      <c r="Y1406" s="370"/>
      <c r="Z1406" s="461">
        <v>0.41699999999999998</v>
      </c>
      <c r="AA1406" s="368" t="s">
        <v>478</v>
      </c>
      <c r="AB1406" s="368"/>
      <c r="AC1406" s="356" t="s">
        <v>2126</v>
      </c>
      <c r="AD1406" s="370">
        <f t="shared" si="196"/>
        <v>306.89999999999998</v>
      </c>
      <c r="AE1406" s="368" t="s">
        <v>478</v>
      </c>
      <c r="AF1406" s="370">
        <f t="shared" si="197"/>
        <v>127.97729999999999</v>
      </c>
      <c r="AG1406" s="395">
        <f t="shared" si="180"/>
        <v>0</v>
      </c>
    </row>
    <row r="1407" spans="6:33" ht="15.75">
      <c r="F1407" s="370">
        <v>0.14000000000000001</v>
      </c>
      <c r="G1407" s="368" t="s">
        <v>108</v>
      </c>
      <c r="H1407" s="356" t="s">
        <v>133</v>
      </c>
      <c r="I1407" s="370">
        <f>(K40)</f>
        <v>4212.3004000000001</v>
      </c>
      <c r="J1407" s="356" t="s">
        <v>108</v>
      </c>
      <c r="K1407" s="370">
        <f>(F1407*I1407)</f>
        <v>589.72205600000007</v>
      </c>
      <c r="O1407" s="419"/>
      <c r="S1407" s="407">
        <f>23.02*0.124</f>
        <v>2.8544800000000001</v>
      </c>
      <c r="T1407" s="368" t="s">
        <v>480</v>
      </c>
      <c r="U1407" s="356" t="s">
        <v>2120</v>
      </c>
      <c r="V1407" s="370">
        <f t="shared" si="198"/>
        <v>325</v>
      </c>
      <c r="W1407" s="357" t="s">
        <v>480</v>
      </c>
      <c r="X1407" s="370">
        <f t="shared" si="199"/>
        <v>927.70600000000002</v>
      </c>
      <c r="Y1407" s="370"/>
      <c r="Z1407" s="461">
        <v>3.6960000000000002</v>
      </c>
      <c r="AA1407" s="368" t="s">
        <v>31</v>
      </c>
      <c r="AB1407" s="368"/>
      <c r="AC1407" s="356" t="s">
        <v>2129</v>
      </c>
      <c r="AD1407" s="370">
        <f t="shared" si="196"/>
        <v>29.05</v>
      </c>
      <c r="AE1407" s="368" t="s">
        <v>31</v>
      </c>
      <c r="AF1407" s="370">
        <f t="shared" si="197"/>
        <v>107.36880000000001</v>
      </c>
      <c r="AG1407" s="395">
        <f t="shared" si="180"/>
        <v>0</v>
      </c>
    </row>
    <row r="1408" spans="6:33" ht="15.75">
      <c r="F1408" s="370">
        <v>1.1000000000000001</v>
      </c>
      <c r="G1408" s="368" t="s">
        <v>151</v>
      </c>
      <c r="H1408" s="356" t="s">
        <v>162</v>
      </c>
      <c r="I1408" s="370">
        <f>(C10)</f>
        <v>1198.8</v>
      </c>
      <c r="J1408" s="356" t="s">
        <v>151</v>
      </c>
      <c r="K1408" s="370">
        <f>(F1408*I1408)</f>
        <v>1318.68</v>
      </c>
      <c r="S1408" s="407">
        <f>3.31</f>
        <v>3.31</v>
      </c>
      <c r="T1408" s="368" t="s">
        <v>478</v>
      </c>
      <c r="U1408" s="356" t="s">
        <v>2126</v>
      </c>
      <c r="V1408" s="370">
        <f t="shared" si="198"/>
        <v>306.89999999999998</v>
      </c>
      <c r="W1408" s="357" t="s">
        <v>478</v>
      </c>
      <c r="X1408" s="370">
        <f t="shared" si="199"/>
        <v>1015.8389999999999</v>
      </c>
      <c r="Y1408" s="370"/>
      <c r="Z1408" s="461">
        <v>4</v>
      </c>
      <c r="AA1408" s="368" t="s">
        <v>223</v>
      </c>
      <c r="AB1408" s="368"/>
      <c r="AC1408" s="356" t="s">
        <v>2131</v>
      </c>
      <c r="AD1408" s="370">
        <f t="shared" si="196"/>
        <v>71.900000000000006</v>
      </c>
      <c r="AE1408" s="368" t="s">
        <v>223</v>
      </c>
      <c r="AF1408" s="370">
        <f t="shared" si="197"/>
        <v>287.60000000000002</v>
      </c>
      <c r="AG1408" s="395">
        <f t="shared" ref="AG1408:AG1471" si="200">AI1408</f>
        <v>0</v>
      </c>
    </row>
    <row r="1409" spans="6:33" ht="19.5">
      <c r="F1409" s="370">
        <v>0.5</v>
      </c>
      <c r="G1409" s="368" t="s">
        <v>151</v>
      </c>
      <c r="H1409" s="356" t="s">
        <v>153</v>
      </c>
      <c r="I1409" s="370">
        <f>(C12)</f>
        <v>781.19999999999993</v>
      </c>
      <c r="J1409" s="356" t="s">
        <v>151</v>
      </c>
      <c r="K1409" s="370">
        <f>(F1409*I1409)</f>
        <v>390.59999999999997</v>
      </c>
      <c r="N1409" s="358"/>
      <c r="O1409" s="546" t="s">
        <v>2164</v>
      </c>
      <c r="Q1409" s="360"/>
      <c r="S1409" s="407">
        <v>23.02</v>
      </c>
      <c r="T1409" s="368" t="s">
        <v>31</v>
      </c>
      <c r="U1409" s="356" t="s">
        <v>2129</v>
      </c>
      <c r="V1409" s="370">
        <f t="shared" si="198"/>
        <v>29.05</v>
      </c>
      <c r="W1409" s="357" t="s">
        <v>31</v>
      </c>
      <c r="X1409" s="370">
        <f t="shared" si="199"/>
        <v>668.73099999999999</v>
      </c>
      <c r="Y1409" s="370"/>
      <c r="Z1409" s="461">
        <v>2</v>
      </c>
      <c r="AA1409" s="368" t="s">
        <v>223</v>
      </c>
      <c r="AB1409" s="368"/>
      <c r="AC1409" s="356" t="s">
        <v>2133</v>
      </c>
      <c r="AD1409" s="370">
        <f t="shared" si="196"/>
        <v>57.65</v>
      </c>
      <c r="AE1409" s="368" t="s">
        <v>223</v>
      </c>
      <c r="AF1409" s="370">
        <f t="shared" si="197"/>
        <v>115.3</v>
      </c>
      <c r="AG1409" s="395">
        <f t="shared" si="200"/>
        <v>0</v>
      </c>
    </row>
    <row r="1410" spans="6:33" ht="15.75">
      <c r="F1410" s="370">
        <v>1.1000000000000001</v>
      </c>
      <c r="G1410" s="368" t="s">
        <v>151</v>
      </c>
      <c r="H1410" s="356" t="s">
        <v>154</v>
      </c>
      <c r="I1410" s="370">
        <f>(C13)</f>
        <v>640.79999999999995</v>
      </c>
      <c r="J1410" s="356" t="s">
        <v>151</v>
      </c>
      <c r="K1410" s="370">
        <f>(F1410*I1410)</f>
        <v>704.88</v>
      </c>
      <c r="M1410" s="461">
        <v>3.95</v>
      </c>
      <c r="N1410" s="368" t="s">
        <v>480</v>
      </c>
      <c r="O1410" s="450" t="s">
        <v>2165</v>
      </c>
      <c r="P1410" s="370">
        <f>P1393</f>
        <v>325</v>
      </c>
      <c r="Q1410" s="368" t="s">
        <v>480</v>
      </c>
      <c r="R1410" s="370">
        <f>P1410*M1410</f>
        <v>1283.75</v>
      </c>
      <c r="S1410" s="407">
        <v>16</v>
      </c>
      <c r="T1410" s="368" t="s">
        <v>223</v>
      </c>
      <c r="U1410" s="356" t="s">
        <v>2131</v>
      </c>
      <c r="V1410" s="370">
        <f t="shared" si="198"/>
        <v>71.900000000000006</v>
      </c>
      <c r="W1410" s="357" t="s">
        <v>223</v>
      </c>
      <c r="X1410" s="370">
        <f t="shared" si="199"/>
        <v>1150.4000000000001</v>
      </c>
      <c r="Y1410" s="370"/>
      <c r="Z1410" s="461">
        <v>2</v>
      </c>
      <c r="AA1410" s="368" t="s">
        <v>223</v>
      </c>
      <c r="AB1410" s="368"/>
      <c r="AC1410" s="356" t="s">
        <v>2136</v>
      </c>
      <c r="AD1410" s="370">
        <f t="shared" si="196"/>
        <v>30</v>
      </c>
      <c r="AE1410" s="368" t="s">
        <v>223</v>
      </c>
      <c r="AF1410" s="370">
        <f t="shared" si="197"/>
        <v>60</v>
      </c>
      <c r="AG1410" s="395">
        <f t="shared" si="200"/>
        <v>0</v>
      </c>
    </row>
    <row r="1411" spans="6:33" ht="15.75">
      <c r="G1411" s="368" t="s">
        <v>128</v>
      </c>
      <c r="H1411" s="356" t="s">
        <v>129</v>
      </c>
      <c r="I1411" s="356" t="s">
        <v>114</v>
      </c>
      <c r="J1411" s="356" t="s">
        <v>128</v>
      </c>
      <c r="K1411" s="370">
        <v>5</v>
      </c>
      <c r="M1411" s="461">
        <v>2.86</v>
      </c>
      <c r="N1411" s="368" t="s">
        <v>480</v>
      </c>
      <c r="O1411" s="356" t="s">
        <v>2120</v>
      </c>
      <c r="P1411" s="370">
        <f t="shared" ref="P1411:P1421" si="201">P1394</f>
        <v>325</v>
      </c>
      <c r="Q1411" s="368" t="s">
        <v>480</v>
      </c>
      <c r="R1411" s="370">
        <f t="shared" ref="R1411:R1421" si="202">P1411*M1411</f>
        <v>929.5</v>
      </c>
      <c r="S1411" s="407">
        <v>8</v>
      </c>
      <c r="T1411" s="368" t="s">
        <v>223</v>
      </c>
      <c r="U1411" s="356" t="s">
        <v>2133</v>
      </c>
      <c r="V1411" s="370">
        <f t="shared" si="198"/>
        <v>57.65</v>
      </c>
      <c r="W1411" s="357" t="s">
        <v>223</v>
      </c>
      <c r="X1411" s="370">
        <f t="shared" si="199"/>
        <v>461.2</v>
      </c>
      <c r="Y1411" s="370"/>
      <c r="Z1411" s="461">
        <v>2</v>
      </c>
      <c r="AA1411" s="368" t="s">
        <v>223</v>
      </c>
      <c r="AB1411" s="368"/>
      <c r="AC1411" s="356" t="s">
        <v>2137</v>
      </c>
      <c r="AD1411" s="370">
        <f t="shared" si="196"/>
        <v>20</v>
      </c>
      <c r="AE1411" s="368" t="s">
        <v>223</v>
      </c>
      <c r="AF1411" s="370">
        <f t="shared" si="197"/>
        <v>40</v>
      </c>
      <c r="AG1411" s="395">
        <f t="shared" si="200"/>
        <v>0</v>
      </c>
    </row>
    <row r="1412" spans="6:33" ht="15.75">
      <c r="G1412" s="368"/>
      <c r="H1412" s="356"/>
      <c r="I1412" s="356"/>
      <c r="J1412" s="356"/>
      <c r="K1412" s="370"/>
      <c r="M1412" s="461">
        <v>6.55</v>
      </c>
      <c r="N1412" s="368" t="s">
        <v>480</v>
      </c>
      <c r="O1412" s="356" t="s">
        <v>2120</v>
      </c>
      <c r="P1412" s="370">
        <f t="shared" si="201"/>
        <v>325</v>
      </c>
      <c r="Q1412" s="368" t="s">
        <v>480</v>
      </c>
      <c r="R1412" s="370">
        <f t="shared" si="202"/>
        <v>2128.75</v>
      </c>
      <c r="S1412" s="407">
        <v>8</v>
      </c>
      <c r="T1412" s="368" t="s">
        <v>223</v>
      </c>
      <c r="U1412" s="356" t="s">
        <v>2136</v>
      </c>
      <c r="V1412" s="370">
        <f t="shared" si="198"/>
        <v>30</v>
      </c>
      <c r="W1412" s="357" t="s">
        <v>223</v>
      </c>
      <c r="X1412" s="370">
        <f t="shared" si="199"/>
        <v>240</v>
      </c>
      <c r="Y1412" s="370"/>
      <c r="Z1412" s="461">
        <v>2</v>
      </c>
      <c r="AA1412" s="368" t="s">
        <v>223</v>
      </c>
      <c r="AB1412" s="368"/>
      <c r="AC1412" s="356" t="s">
        <v>2138</v>
      </c>
      <c r="AD1412" s="370">
        <f t="shared" si="196"/>
        <v>15</v>
      </c>
      <c r="AE1412" s="368" t="s">
        <v>223</v>
      </c>
      <c r="AF1412" s="370">
        <f t="shared" si="197"/>
        <v>30</v>
      </c>
      <c r="AG1412" s="395">
        <f t="shared" si="200"/>
        <v>0</v>
      </c>
    </row>
    <row r="1413" spans="6:33" ht="15.75">
      <c r="K1413" s="363" t="s">
        <v>117</v>
      </c>
      <c r="M1413" s="461">
        <v>1.1499999999999999</v>
      </c>
      <c r="N1413" s="368" t="s">
        <v>480</v>
      </c>
      <c r="O1413" s="356" t="s">
        <v>2120</v>
      </c>
      <c r="P1413" s="370">
        <f t="shared" si="201"/>
        <v>325</v>
      </c>
      <c r="Q1413" s="368" t="s">
        <v>480</v>
      </c>
      <c r="R1413" s="370">
        <f t="shared" si="202"/>
        <v>373.74999999999994</v>
      </c>
      <c r="S1413" s="407">
        <v>8</v>
      </c>
      <c r="T1413" s="368" t="s">
        <v>223</v>
      </c>
      <c r="U1413" s="356" t="s">
        <v>2137</v>
      </c>
      <c r="V1413" s="370">
        <f t="shared" si="198"/>
        <v>20</v>
      </c>
      <c r="W1413" s="357" t="s">
        <v>223</v>
      </c>
      <c r="X1413" s="370">
        <f t="shared" si="199"/>
        <v>160</v>
      </c>
      <c r="Y1413" s="370"/>
      <c r="Z1413" s="461">
        <v>0.54</v>
      </c>
      <c r="AA1413" s="368" t="s">
        <v>262</v>
      </c>
      <c r="AB1413" s="368"/>
      <c r="AC1413" s="356" t="s">
        <v>2139</v>
      </c>
      <c r="AD1413" s="370">
        <f t="shared" si="196"/>
        <v>2397.6</v>
      </c>
      <c r="AE1413" s="368" t="s">
        <v>262</v>
      </c>
      <c r="AF1413" s="370">
        <f t="shared" si="197"/>
        <v>1294.704</v>
      </c>
      <c r="AG1413" s="395">
        <f t="shared" si="200"/>
        <v>0</v>
      </c>
    </row>
    <row r="1414" spans="6:33" ht="15.75">
      <c r="H1414" s="356" t="s">
        <v>176</v>
      </c>
      <c r="K1414" s="370">
        <f>SUM(K1407:K1411)</f>
        <v>3008.8820560000004</v>
      </c>
      <c r="L1414" s="35">
        <f>SUM(K1435:K1438)</f>
        <v>3110.9340080000002</v>
      </c>
      <c r="M1414" s="461">
        <v>1.3380000000000001</v>
      </c>
      <c r="N1414" s="368" t="s">
        <v>478</v>
      </c>
      <c r="O1414" s="356" t="s">
        <v>2126</v>
      </c>
      <c r="P1414" s="370">
        <f t="shared" si="201"/>
        <v>306.89999999999998</v>
      </c>
      <c r="Q1414" s="368" t="s">
        <v>478</v>
      </c>
      <c r="R1414" s="370">
        <f t="shared" si="202"/>
        <v>410.63220000000001</v>
      </c>
      <c r="S1414" s="407">
        <v>4</v>
      </c>
      <c r="T1414" s="368" t="s">
        <v>223</v>
      </c>
      <c r="U1414" s="356" t="s">
        <v>2138</v>
      </c>
      <c r="V1414" s="370">
        <f t="shared" si="198"/>
        <v>15</v>
      </c>
      <c r="W1414" s="357" t="s">
        <v>223</v>
      </c>
      <c r="X1414" s="370">
        <f t="shared" si="199"/>
        <v>60</v>
      </c>
      <c r="Y1414" s="370"/>
      <c r="AA1414" s="358"/>
      <c r="AB1414" s="358"/>
      <c r="AC1414" s="356" t="s">
        <v>2141</v>
      </c>
      <c r="AE1414" s="361"/>
      <c r="AF1414" s="370">
        <v>0.7</v>
      </c>
      <c r="AG1414" s="395">
        <f t="shared" si="200"/>
        <v>0</v>
      </c>
    </row>
    <row r="1415" spans="6:33" ht="15.75">
      <c r="K1415" s="363" t="s">
        <v>117</v>
      </c>
      <c r="M1415" s="461">
        <v>9.2720000000000002</v>
      </c>
      <c r="N1415" s="368" t="s">
        <v>31</v>
      </c>
      <c r="O1415" s="450" t="s">
        <v>2166</v>
      </c>
      <c r="P1415" s="370">
        <f t="shared" si="201"/>
        <v>29.05</v>
      </c>
      <c r="Q1415" s="368" t="s">
        <v>31</v>
      </c>
      <c r="R1415" s="370">
        <f t="shared" si="202"/>
        <v>269.35160000000002</v>
      </c>
      <c r="S1415" s="407">
        <v>3.96</v>
      </c>
      <c r="T1415" s="368" t="s">
        <v>262</v>
      </c>
      <c r="U1415" s="356" t="s">
        <v>2139</v>
      </c>
      <c r="V1415" s="370">
        <f t="shared" si="198"/>
        <v>2397.6</v>
      </c>
      <c r="W1415" s="357" t="s">
        <v>262</v>
      </c>
      <c r="X1415" s="370">
        <f t="shared" si="199"/>
        <v>9494.4959999999992</v>
      </c>
      <c r="Y1415" s="370"/>
      <c r="AC1415" s="367" t="s">
        <v>2143</v>
      </c>
      <c r="AF1415" s="369">
        <f>SUM(AF1402:AF1414)</f>
        <v>4049.4000999999998</v>
      </c>
      <c r="AG1415" s="395">
        <f t="shared" si="200"/>
        <v>0</v>
      </c>
    </row>
    <row r="1416" spans="6:33" ht="15.75">
      <c r="H1416" s="372" t="s">
        <v>177</v>
      </c>
      <c r="K1416" s="369">
        <f>(K1414/10)</f>
        <v>300.88820560000005</v>
      </c>
      <c r="M1416" s="461">
        <v>8</v>
      </c>
      <c r="N1416" s="368" t="s">
        <v>223</v>
      </c>
      <c r="O1416" s="450" t="s">
        <v>2167</v>
      </c>
      <c r="P1416" s="370">
        <f t="shared" si="201"/>
        <v>71.900000000000006</v>
      </c>
      <c r="Q1416" s="368" t="s">
        <v>223</v>
      </c>
      <c r="R1416" s="370">
        <f t="shared" si="202"/>
        <v>575.20000000000005</v>
      </c>
      <c r="T1416" s="358"/>
      <c r="U1416" s="356" t="s">
        <v>2141</v>
      </c>
      <c r="W1416" s="361"/>
      <c r="X1416" s="370">
        <v>0.09</v>
      </c>
      <c r="Y1416" s="370"/>
      <c r="AG1416" s="395">
        <f t="shared" si="200"/>
        <v>0</v>
      </c>
    </row>
    <row r="1417" spans="6:33" ht="15.75">
      <c r="K1417" s="363" t="s">
        <v>156</v>
      </c>
      <c r="M1417" s="461">
        <v>4</v>
      </c>
      <c r="N1417" s="368" t="s">
        <v>223</v>
      </c>
      <c r="O1417" s="450" t="s">
        <v>2158</v>
      </c>
      <c r="P1417" s="370">
        <f t="shared" si="201"/>
        <v>57.65</v>
      </c>
      <c r="Q1417" s="368" t="s">
        <v>223</v>
      </c>
      <c r="R1417" s="370">
        <f t="shared" si="202"/>
        <v>230.6</v>
      </c>
      <c r="U1417" s="367" t="s">
        <v>2143</v>
      </c>
      <c r="W1417" s="361"/>
      <c r="X1417" s="369">
        <f>SUM(X1404:X1416)</f>
        <v>24482.366000000002</v>
      </c>
      <c r="Y1417" s="369"/>
      <c r="AG1417" s="395">
        <f t="shared" si="200"/>
        <v>0</v>
      </c>
    </row>
    <row r="1418" spans="6:33" ht="19.5">
      <c r="F1418" s="357" t="s">
        <v>2168</v>
      </c>
      <c r="G1418" s="368" t="s">
        <v>122</v>
      </c>
      <c r="H1418" s="356" t="s">
        <v>2169</v>
      </c>
      <c r="M1418" s="461">
        <v>4</v>
      </c>
      <c r="N1418" s="368" t="s">
        <v>223</v>
      </c>
      <c r="O1418" s="356" t="s">
        <v>2136</v>
      </c>
      <c r="P1418" s="370">
        <f t="shared" si="201"/>
        <v>30</v>
      </c>
      <c r="Q1418" s="368" t="s">
        <v>223</v>
      </c>
      <c r="R1418" s="370">
        <f t="shared" si="202"/>
        <v>120</v>
      </c>
      <c r="W1418" s="361"/>
      <c r="AA1418" s="358"/>
      <c r="AB1418" s="358"/>
      <c r="AC1418" s="546" t="s">
        <v>2170</v>
      </c>
      <c r="AE1418" s="360"/>
      <c r="AG1418" s="395">
        <f t="shared" si="200"/>
        <v>0</v>
      </c>
    </row>
    <row r="1419" spans="6:33" ht="15.75">
      <c r="H1419" s="363" t="s">
        <v>117</v>
      </c>
      <c r="M1419" s="461">
        <v>4</v>
      </c>
      <c r="N1419" s="368" t="s">
        <v>223</v>
      </c>
      <c r="O1419" s="356" t="s">
        <v>2137</v>
      </c>
      <c r="P1419" s="370">
        <f t="shared" si="201"/>
        <v>20</v>
      </c>
      <c r="Q1419" s="368" t="s">
        <v>223</v>
      </c>
      <c r="R1419" s="370">
        <f t="shared" si="202"/>
        <v>80</v>
      </c>
      <c r="W1419" s="361"/>
      <c r="Z1419" s="461">
        <f>4.2*0.775</f>
        <v>3.2550000000000003</v>
      </c>
      <c r="AA1419" s="368" t="s">
        <v>480</v>
      </c>
      <c r="AB1419" s="368"/>
      <c r="AC1419" s="356" t="s">
        <v>2120</v>
      </c>
      <c r="AD1419" s="370">
        <f>AD1402</f>
        <v>325</v>
      </c>
      <c r="AE1419" s="368" t="s">
        <v>480</v>
      </c>
      <c r="AF1419" s="370">
        <f t="shared" ref="AF1419:AF1430" si="203">AD1419*Z1419</f>
        <v>1057.875</v>
      </c>
      <c r="AG1419" s="395">
        <f t="shared" si="200"/>
        <v>0</v>
      </c>
    </row>
    <row r="1420" spans="6:33" ht="15.75">
      <c r="F1420" s="370">
        <v>0.1</v>
      </c>
      <c r="G1420" s="368" t="s">
        <v>108</v>
      </c>
      <c r="H1420" s="356" t="s">
        <v>132</v>
      </c>
      <c r="I1420" s="370">
        <f>(K32)</f>
        <v>4976.9571999999998</v>
      </c>
      <c r="J1420" s="356" t="s">
        <v>108</v>
      </c>
      <c r="K1420" s="370">
        <f>(F1420*I1420)</f>
        <v>497.69571999999999</v>
      </c>
      <c r="M1420" s="461">
        <v>4</v>
      </c>
      <c r="N1420" s="368" t="s">
        <v>223</v>
      </c>
      <c r="O1420" s="356" t="s">
        <v>2138</v>
      </c>
      <c r="P1420" s="370">
        <f t="shared" si="201"/>
        <v>15</v>
      </c>
      <c r="Q1420" s="368" t="s">
        <v>223</v>
      </c>
      <c r="R1420" s="370">
        <f t="shared" si="202"/>
        <v>60</v>
      </c>
      <c r="U1420" s="411" t="s">
        <v>2171</v>
      </c>
      <c r="W1420" s="361"/>
      <c r="Z1420" s="461">
        <v>2.3580000000000001</v>
      </c>
      <c r="AA1420" s="368" t="s">
        <v>480</v>
      </c>
      <c r="AB1420" s="368"/>
      <c r="AC1420" s="356" t="s">
        <v>2120</v>
      </c>
      <c r="AD1420" s="370">
        <f t="shared" ref="AD1420:AD1430" si="204">AD1403</f>
        <v>325</v>
      </c>
      <c r="AE1420" s="368" t="s">
        <v>480</v>
      </c>
      <c r="AF1420" s="370">
        <f t="shared" si="203"/>
        <v>766.35</v>
      </c>
      <c r="AG1420" s="395">
        <f t="shared" si="200"/>
        <v>0</v>
      </c>
    </row>
    <row r="1421" spans="6:33" ht="15.75">
      <c r="F1421" s="370">
        <v>1.1000000000000001</v>
      </c>
      <c r="G1421" s="368" t="s">
        <v>151</v>
      </c>
      <c r="H1421" s="356" t="s">
        <v>162</v>
      </c>
      <c r="I1421" s="370">
        <f>(C10)</f>
        <v>1198.8</v>
      </c>
      <c r="J1421" s="356" t="s">
        <v>151</v>
      </c>
      <c r="K1421" s="370">
        <f>(F1421*I1421)</f>
        <v>1318.68</v>
      </c>
      <c r="L1421" s="35">
        <f>M1460+M1461+M1462</f>
        <v>11.742000000000001</v>
      </c>
      <c r="M1421" s="461">
        <v>1.62</v>
      </c>
      <c r="N1421" s="368" t="s">
        <v>262</v>
      </c>
      <c r="O1421" s="356" t="s">
        <v>2139</v>
      </c>
      <c r="P1421" s="370">
        <f t="shared" si="201"/>
        <v>2397.6</v>
      </c>
      <c r="Q1421" s="368" t="s">
        <v>262</v>
      </c>
      <c r="R1421" s="370">
        <f t="shared" si="202"/>
        <v>3884.1120000000001</v>
      </c>
      <c r="S1421" s="407">
        <v>4.42</v>
      </c>
      <c r="T1421" s="368" t="s">
        <v>480</v>
      </c>
      <c r="U1421" s="356" t="s">
        <v>2120</v>
      </c>
      <c r="V1421" s="370">
        <f>P1460</f>
        <v>325</v>
      </c>
      <c r="W1421" s="357" t="s">
        <v>480</v>
      </c>
      <c r="X1421" s="395">
        <f>V1421*S1421</f>
        <v>1436.5</v>
      </c>
      <c r="Y1421" s="395"/>
      <c r="Z1421" s="461">
        <f>8.08*0.663</f>
        <v>5.3570400000000005</v>
      </c>
      <c r="AA1421" s="368" t="s">
        <v>480</v>
      </c>
      <c r="AB1421" s="368"/>
      <c r="AC1421" s="356" t="s">
        <v>2120</v>
      </c>
      <c r="AD1421" s="370">
        <f t="shared" si="204"/>
        <v>325</v>
      </c>
      <c r="AE1421" s="368" t="s">
        <v>480</v>
      </c>
      <c r="AF1421" s="370">
        <f t="shared" si="203"/>
        <v>1741.0380000000002</v>
      </c>
      <c r="AG1421" s="395">
        <f t="shared" si="200"/>
        <v>0</v>
      </c>
    </row>
    <row r="1422" spans="6:33" ht="15.75">
      <c r="F1422" s="370">
        <v>1.1000000000000001</v>
      </c>
      <c r="G1422" s="368" t="s">
        <v>151</v>
      </c>
      <c r="H1422" s="356" t="s">
        <v>153</v>
      </c>
      <c r="I1422" s="370">
        <f>(C12)</f>
        <v>781.19999999999993</v>
      </c>
      <c r="J1422" s="356" t="s">
        <v>151</v>
      </c>
      <c r="K1422" s="370">
        <f>(F1422*I1422)</f>
        <v>859.32</v>
      </c>
      <c r="N1422" s="358"/>
      <c r="O1422" s="356" t="s">
        <v>2141</v>
      </c>
      <c r="Q1422" s="361"/>
      <c r="R1422" s="370">
        <v>0.25</v>
      </c>
      <c r="S1422" s="407">
        <v>4.72</v>
      </c>
      <c r="T1422" s="368" t="s">
        <v>480</v>
      </c>
      <c r="U1422" s="356" t="s">
        <v>2120</v>
      </c>
      <c r="V1422" s="370">
        <f>P1461</f>
        <v>325</v>
      </c>
      <c r="W1422" s="357" t="s">
        <v>480</v>
      </c>
      <c r="X1422" s="395">
        <f t="shared" ref="X1422:X1432" si="205">V1422*S1422</f>
        <v>1534</v>
      </c>
      <c r="Y1422" s="395"/>
      <c r="Z1422" s="461">
        <v>0.92600000000000005</v>
      </c>
      <c r="AA1422" s="368" t="s">
        <v>480</v>
      </c>
      <c r="AB1422" s="368"/>
      <c r="AC1422" s="356" t="s">
        <v>2120</v>
      </c>
      <c r="AD1422" s="370">
        <f t="shared" si="204"/>
        <v>325</v>
      </c>
      <c r="AE1422" s="368" t="s">
        <v>480</v>
      </c>
      <c r="AF1422" s="370">
        <f t="shared" si="203"/>
        <v>300.95</v>
      </c>
      <c r="AG1422" s="395">
        <f t="shared" si="200"/>
        <v>0</v>
      </c>
    </row>
    <row r="1423" spans="6:33" ht="15.75">
      <c r="F1423" s="370">
        <v>1.1000000000000001</v>
      </c>
      <c r="G1423" s="368" t="s">
        <v>151</v>
      </c>
      <c r="H1423" s="356" t="s">
        <v>154</v>
      </c>
      <c r="I1423" s="370">
        <f>(C13)</f>
        <v>640.79999999999995</v>
      </c>
      <c r="J1423" s="356" t="s">
        <v>151</v>
      </c>
      <c r="K1423" s="370">
        <f>(F1423*I1423)</f>
        <v>704.88</v>
      </c>
      <c r="R1423" s="369">
        <f>SUM(R1410:R1422)</f>
        <v>10345.8958</v>
      </c>
      <c r="S1423" s="407">
        <v>9.06</v>
      </c>
      <c r="T1423" s="368" t="s">
        <v>480</v>
      </c>
      <c r="U1423" s="356" t="s">
        <v>2120</v>
      </c>
      <c r="V1423" s="370">
        <f>P1462</f>
        <v>325</v>
      </c>
      <c r="W1423" s="357" t="s">
        <v>480</v>
      </c>
      <c r="X1423" s="395">
        <f t="shared" si="205"/>
        <v>2944.5</v>
      </c>
      <c r="Y1423" s="395"/>
      <c r="Z1423" s="461">
        <v>0.85</v>
      </c>
      <c r="AA1423" s="368" t="s">
        <v>478</v>
      </c>
      <c r="AB1423" s="368"/>
      <c r="AC1423" s="356" t="s">
        <v>2126</v>
      </c>
      <c r="AD1423" s="370">
        <f t="shared" si="204"/>
        <v>306.89999999999998</v>
      </c>
      <c r="AE1423" s="368" t="s">
        <v>478</v>
      </c>
      <c r="AF1423" s="370">
        <f t="shared" si="203"/>
        <v>260.86499999999995</v>
      </c>
      <c r="AG1423" s="395">
        <f t="shared" si="200"/>
        <v>0</v>
      </c>
    </row>
    <row r="1424" spans="6:33" ht="15.75">
      <c r="G1424" s="368" t="s">
        <v>128</v>
      </c>
      <c r="H1424" s="356" t="s">
        <v>129</v>
      </c>
      <c r="I1424" s="356" t="s">
        <v>114</v>
      </c>
      <c r="J1424" s="356" t="s">
        <v>128</v>
      </c>
      <c r="K1424" s="370">
        <v>5</v>
      </c>
      <c r="M1424" s="370"/>
      <c r="N1424" s="368"/>
      <c r="O1424" s="356"/>
      <c r="P1424" s="370"/>
      <c r="Q1424" s="357"/>
      <c r="R1424" s="370"/>
      <c r="S1424" s="407">
        <v>1.58</v>
      </c>
      <c r="T1424" s="368" t="s">
        <v>480</v>
      </c>
      <c r="U1424" s="356" t="s">
        <v>2120</v>
      </c>
      <c r="V1424" s="370">
        <f>P1463</f>
        <v>325</v>
      </c>
      <c r="W1424" s="357" t="s">
        <v>480</v>
      </c>
      <c r="X1424" s="395">
        <f t="shared" si="205"/>
        <v>513.5</v>
      </c>
      <c r="Y1424" s="395"/>
      <c r="Z1424" s="461">
        <v>7.4720000000000004</v>
      </c>
      <c r="AA1424" s="368" t="s">
        <v>31</v>
      </c>
      <c r="AB1424" s="368"/>
      <c r="AC1424" s="356" t="s">
        <v>2129</v>
      </c>
      <c r="AD1424" s="370">
        <f t="shared" si="204"/>
        <v>29.05</v>
      </c>
      <c r="AE1424" s="368" t="s">
        <v>31</v>
      </c>
      <c r="AF1424" s="370">
        <f t="shared" si="203"/>
        <v>217.06160000000003</v>
      </c>
      <c r="AG1424" s="395">
        <f t="shared" si="200"/>
        <v>0</v>
      </c>
    </row>
    <row r="1425" spans="6:33" ht="15.75">
      <c r="K1425" s="363" t="s">
        <v>117</v>
      </c>
      <c r="M1425" s="370"/>
      <c r="N1425" s="368"/>
      <c r="O1425" s="356"/>
      <c r="P1425" s="370"/>
      <c r="Q1425" s="357"/>
      <c r="R1425" s="370"/>
      <c r="S1425" s="407">
        <v>1.65</v>
      </c>
      <c r="T1425" s="368" t="s">
        <v>478</v>
      </c>
      <c r="U1425" s="356" t="s">
        <v>2126</v>
      </c>
      <c r="V1425" s="370">
        <f>P1431</f>
        <v>306.89999999999998</v>
      </c>
      <c r="W1425" s="357" t="s">
        <v>478</v>
      </c>
      <c r="X1425" s="395">
        <f t="shared" si="205"/>
        <v>506.38499999999993</v>
      </c>
      <c r="Y1425" s="395"/>
      <c r="Z1425" s="461">
        <v>8</v>
      </c>
      <c r="AA1425" s="368" t="s">
        <v>223</v>
      </c>
      <c r="AB1425" s="368"/>
      <c r="AC1425" s="356" t="s">
        <v>2131</v>
      </c>
      <c r="AD1425" s="370">
        <f t="shared" si="204"/>
        <v>71.900000000000006</v>
      </c>
      <c r="AE1425" s="368" t="s">
        <v>223</v>
      </c>
      <c r="AF1425" s="370">
        <f t="shared" si="203"/>
        <v>575.20000000000005</v>
      </c>
      <c r="AG1425" s="395">
        <f t="shared" si="200"/>
        <v>0</v>
      </c>
    </row>
    <row r="1426" spans="6:33" ht="19.5">
      <c r="H1426" s="356" t="s">
        <v>176</v>
      </c>
      <c r="K1426" s="370">
        <f>SUM(K1420:K1424)</f>
        <v>3385.5757200000003</v>
      </c>
      <c r="N1426" s="358"/>
      <c r="O1426" s="546" t="s">
        <v>2172</v>
      </c>
      <c r="Q1426" s="360"/>
      <c r="S1426" s="407">
        <v>12.74</v>
      </c>
      <c r="T1426" s="368" t="s">
        <v>31</v>
      </c>
      <c r="U1426" s="356" t="s">
        <v>2129</v>
      </c>
      <c r="V1426" s="370">
        <f>P1465</f>
        <v>29.05</v>
      </c>
      <c r="W1426" s="357" t="s">
        <v>31</v>
      </c>
      <c r="X1426" s="395">
        <f t="shared" si="205"/>
        <v>370.09700000000004</v>
      </c>
      <c r="Y1426" s="395"/>
      <c r="Z1426" s="461">
        <v>4</v>
      </c>
      <c r="AA1426" s="368" t="s">
        <v>223</v>
      </c>
      <c r="AB1426" s="368"/>
      <c r="AC1426" s="356" t="s">
        <v>2133</v>
      </c>
      <c r="AD1426" s="370">
        <f t="shared" si="204"/>
        <v>57.65</v>
      </c>
      <c r="AE1426" s="368" t="s">
        <v>223</v>
      </c>
      <c r="AF1426" s="370">
        <f t="shared" si="203"/>
        <v>230.6</v>
      </c>
      <c r="AG1426" s="395">
        <f t="shared" si="200"/>
        <v>0</v>
      </c>
    </row>
    <row r="1427" spans="6:33" ht="15.75">
      <c r="H1427" s="361"/>
      <c r="K1427" s="363" t="s">
        <v>117</v>
      </c>
      <c r="M1427" s="461">
        <v>2.79</v>
      </c>
      <c r="N1427" s="368" t="s">
        <v>480</v>
      </c>
      <c r="O1427" s="450" t="s">
        <v>2165</v>
      </c>
      <c r="P1427" s="370">
        <f>P1410</f>
        <v>325</v>
      </c>
      <c r="Q1427" s="368" t="s">
        <v>480</v>
      </c>
      <c r="R1427" s="370">
        <f>P1427*M1427</f>
        <v>906.75</v>
      </c>
      <c r="S1427" s="407">
        <v>12</v>
      </c>
      <c r="T1427" s="368" t="s">
        <v>223</v>
      </c>
      <c r="U1427" s="356" t="s">
        <v>2131</v>
      </c>
      <c r="V1427" s="370">
        <f>P1466</f>
        <v>71.900000000000006</v>
      </c>
      <c r="W1427" s="357" t="s">
        <v>223</v>
      </c>
      <c r="X1427" s="395">
        <f t="shared" si="205"/>
        <v>862.80000000000007</v>
      </c>
      <c r="Y1427" s="395"/>
      <c r="Z1427" s="461">
        <v>4</v>
      </c>
      <c r="AA1427" s="368" t="s">
        <v>223</v>
      </c>
      <c r="AB1427" s="368"/>
      <c r="AC1427" s="356" t="s">
        <v>2136</v>
      </c>
      <c r="AD1427" s="370">
        <f t="shared" si="204"/>
        <v>30</v>
      </c>
      <c r="AE1427" s="368" t="s">
        <v>223</v>
      </c>
      <c r="AF1427" s="370">
        <f t="shared" si="203"/>
        <v>120</v>
      </c>
      <c r="AG1427" s="395">
        <f t="shared" si="200"/>
        <v>0</v>
      </c>
    </row>
    <row r="1428" spans="6:33" ht="15.75">
      <c r="H1428" s="372" t="s">
        <v>177</v>
      </c>
      <c r="I1428" s="411"/>
      <c r="J1428" s="436"/>
      <c r="K1428" s="369">
        <f>(K1426/10)</f>
        <v>338.55757200000005</v>
      </c>
      <c r="M1428" s="461">
        <v>0.5</v>
      </c>
      <c r="N1428" s="368" t="s">
        <v>480</v>
      </c>
      <c r="O1428" s="356" t="s">
        <v>2120</v>
      </c>
      <c r="P1428" s="370">
        <f t="shared" ref="P1428:P1438" si="206">P1411</f>
        <v>325</v>
      </c>
      <c r="Q1428" s="368" t="s">
        <v>480</v>
      </c>
      <c r="R1428" s="370">
        <f t="shared" ref="R1428:R1438" si="207">P1428*M1428</f>
        <v>162.5</v>
      </c>
      <c r="S1428" s="407">
        <v>6</v>
      </c>
      <c r="T1428" s="368" t="s">
        <v>223</v>
      </c>
      <c r="U1428" s="356" t="s">
        <v>2133</v>
      </c>
      <c r="V1428" s="370">
        <f>P1467</f>
        <v>57.65</v>
      </c>
      <c r="W1428" s="357" t="s">
        <v>223</v>
      </c>
      <c r="X1428" s="395">
        <f t="shared" si="205"/>
        <v>345.9</v>
      </c>
      <c r="Y1428" s="395"/>
      <c r="Z1428" s="461">
        <v>4</v>
      </c>
      <c r="AA1428" s="368" t="s">
        <v>223</v>
      </c>
      <c r="AB1428" s="368"/>
      <c r="AC1428" s="356" t="s">
        <v>2137</v>
      </c>
      <c r="AD1428" s="370">
        <f t="shared" si="204"/>
        <v>20</v>
      </c>
      <c r="AE1428" s="368" t="s">
        <v>223</v>
      </c>
      <c r="AF1428" s="370">
        <f t="shared" si="203"/>
        <v>80</v>
      </c>
      <c r="AG1428" s="395">
        <f t="shared" si="200"/>
        <v>0</v>
      </c>
    </row>
    <row r="1429" spans="6:33" ht="15.75">
      <c r="K1429" s="363" t="s">
        <v>156</v>
      </c>
      <c r="M1429" s="461">
        <v>2.85</v>
      </c>
      <c r="N1429" s="368" t="s">
        <v>480</v>
      </c>
      <c r="O1429" s="356" t="s">
        <v>2120</v>
      </c>
      <c r="P1429" s="370">
        <f t="shared" si="206"/>
        <v>325</v>
      </c>
      <c r="Q1429" s="368" t="s">
        <v>480</v>
      </c>
      <c r="R1429" s="370">
        <f t="shared" si="207"/>
        <v>926.25</v>
      </c>
      <c r="S1429" s="407">
        <v>6</v>
      </c>
      <c r="T1429" s="368" t="s">
        <v>223</v>
      </c>
      <c r="U1429" s="356" t="s">
        <v>2136</v>
      </c>
      <c r="V1429" s="402">
        <v>30</v>
      </c>
      <c r="W1429" s="357" t="s">
        <v>223</v>
      </c>
      <c r="X1429" s="395">
        <f t="shared" si="205"/>
        <v>180</v>
      </c>
      <c r="Y1429" s="395"/>
      <c r="Z1429" s="461">
        <v>4</v>
      </c>
      <c r="AA1429" s="368" t="s">
        <v>223</v>
      </c>
      <c r="AB1429" s="368"/>
      <c r="AC1429" s="356" t="s">
        <v>2138</v>
      </c>
      <c r="AD1429" s="370">
        <f t="shared" si="204"/>
        <v>15</v>
      </c>
      <c r="AE1429" s="368" t="s">
        <v>223</v>
      </c>
      <c r="AF1429" s="370">
        <f t="shared" si="203"/>
        <v>60</v>
      </c>
      <c r="AG1429" s="395">
        <f t="shared" si="200"/>
        <v>0</v>
      </c>
    </row>
    <row r="1430" spans="6:33" ht="15.75">
      <c r="M1430" s="461">
        <v>0.5</v>
      </c>
      <c r="N1430" s="368" t="s">
        <v>480</v>
      </c>
      <c r="O1430" s="356" t="s">
        <v>2120</v>
      </c>
      <c r="P1430" s="370">
        <f t="shared" si="206"/>
        <v>325</v>
      </c>
      <c r="Q1430" s="368" t="s">
        <v>480</v>
      </c>
      <c r="R1430" s="370">
        <f t="shared" si="207"/>
        <v>162.5</v>
      </c>
      <c r="S1430" s="407">
        <v>6</v>
      </c>
      <c r="T1430" s="368" t="s">
        <v>223</v>
      </c>
      <c r="U1430" s="356" t="s">
        <v>2137</v>
      </c>
      <c r="V1430" s="402">
        <v>20</v>
      </c>
      <c r="W1430" s="357" t="s">
        <v>223</v>
      </c>
      <c r="X1430" s="395">
        <f t="shared" si="205"/>
        <v>120</v>
      </c>
      <c r="Y1430" s="395"/>
      <c r="Z1430" s="461">
        <v>1.08</v>
      </c>
      <c r="AA1430" s="368" t="s">
        <v>262</v>
      </c>
      <c r="AB1430" s="368"/>
      <c r="AC1430" s="356" t="s">
        <v>2139</v>
      </c>
      <c r="AD1430" s="370">
        <f t="shared" si="204"/>
        <v>2397.6</v>
      </c>
      <c r="AE1430" s="368" t="s">
        <v>262</v>
      </c>
      <c r="AF1430" s="370">
        <f t="shared" si="203"/>
        <v>2589.4079999999999</v>
      </c>
      <c r="AG1430" s="395">
        <f t="shared" si="200"/>
        <v>0</v>
      </c>
    </row>
    <row r="1431" spans="6:33" ht="15.75">
      <c r="G1431" s="368" t="s">
        <v>122</v>
      </c>
      <c r="H1431" s="356" t="s">
        <v>2173</v>
      </c>
      <c r="M1431" s="461">
        <v>0.47099999999999997</v>
      </c>
      <c r="N1431" s="368" t="s">
        <v>478</v>
      </c>
      <c r="O1431" s="356" t="s">
        <v>2126</v>
      </c>
      <c r="P1431" s="402">
        <f t="shared" si="206"/>
        <v>306.89999999999998</v>
      </c>
      <c r="Q1431" s="368" t="s">
        <v>478</v>
      </c>
      <c r="R1431" s="370">
        <f t="shared" si="207"/>
        <v>144.54989999999998</v>
      </c>
      <c r="S1431" s="407">
        <v>4</v>
      </c>
      <c r="T1431" s="368" t="s">
        <v>223</v>
      </c>
      <c r="U1431" s="356" t="s">
        <v>2138</v>
      </c>
      <c r="V1431" s="402">
        <v>15</v>
      </c>
      <c r="W1431" s="357" t="s">
        <v>223</v>
      </c>
      <c r="X1431" s="395">
        <f t="shared" si="205"/>
        <v>60</v>
      </c>
      <c r="Y1431" s="395"/>
      <c r="AA1431" s="358"/>
      <c r="AB1431" s="358"/>
      <c r="AC1431" s="356" t="s">
        <v>2141</v>
      </c>
      <c r="AE1431" s="361"/>
      <c r="AF1431" s="370">
        <v>0.96</v>
      </c>
      <c r="AG1431" s="395">
        <f t="shared" si="200"/>
        <v>0</v>
      </c>
    </row>
    <row r="1432" spans="6:33" ht="15.75">
      <c r="H1432" s="356" t="s">
        <v>2174</v>
      </c>
      <c r="M1432" s="461">
        <v>3.996</v>
      </c>
      <c r="N1432" s="368" t="s">
        <v>31</v>
      </c>
      <c r="O1432" s="450" t="s">
        <v>2166</v>
      </c>
      <c r="P1432" s="370">
        <f t="shared" si="206"/>
        <v>29.05</v>
      </c>
      <c r="Q1432" s="368" t="s">
        <v>31</v>
      </c>
      <c r="R1432" s="370">
        <f t="shared" si="207"/>
        <v>116.0838</v>
      </c>
      <c r="S1432" s="407">
        <f>1.5*1.35</f>
        <v>2.0250000000000004</v>
      </c>
      <c r="T1432" s="368" t="s">
        <v>262</v>
      </c>
      <c r="U1432" s="356" t="s">
        <v>2139</v>
      </c>
      <c r="V1432" s="370">
        <f>P1471</f>
        <v>2397.6</v>
      </c>
      <c r="W1432" s="357" t="s">
        <v>262</v>
      </c>
      <c r="X1432" s="370">
        <f t="shared" si="205"/>
        <v>4855.1400000000003</v>
      </c>
      <c r="Y1432" s="370"/>
      <c r="AC1432" s="367" t="s">
        <v>2143</v>
      </c>
      <c r="AF1432" s="369">
        <f>SUM(AF1419:AF1431)</f>
        <v>8000.3075999999992</v>
      </c>
      <c r="AG1432" s="395">
        <f t="shared" si="200"/>
        <v>0</v>
      </c>
    </row>
    <row r="1433" spans="6:33" ht="15.75">
      <c r="H1433" s="356" t="s">
        <v>2175</v>
      </c>
      <c r="M1433" s="461">
        <v>4</v>
      </c>
      <c r="N1433" s="368" t="s">
        <v>223</v>
      </c>
      <c r="O1433" s="450" t="s">
        <v>2167</v>
      </c>
      <c r="P1433" s="370">
        <f t="shared" si="206"/>
        <v>71.900000000000006</v>
      </c>
      <c r="Q1433" s="368" t="s">
        <v>223</v>
      </c>
      <c r="R1433" s="370">
        <f t="shared" si="207"/>
        <v>287.60000000000002</v>
      </c>
      <c r="T1433" s="358"/>
      <c r="U1433" s="356" t="s">
        <v>2141</v>
      </c>
      <c r="W1433" s="361"/>
      <c r="X1433" s="370">
        <v>0.31</v>
      </c>
      <c r="Y1433" s="370"/>
      <c r="AG1433" s="395">
        <f t="shared" si="200"/>
        <v>0</v>
      </c>
    </row>
    <row r="1434" spans="6:33" ht="15.75">
      <c r="H1434" s="363" t="s">
        <v>117</v>
      </c>
      <c r="M1434" s="461">
        <v>2</v>
      </c>
      <c r="N1434" s="368" t="s">
        <v>223</v>
      </c>
      <c r="O1434" s="450" t="s">
        <v>2158</v>
      </c>
      <c r="P1434" s="370">
        <f t="shared" si="206"/>
        <v>57.65</v>
      </c>
      <c r="Q1434" s="368" t="s">
        <v>223</v>
      </c>
      <c r="R1434" s="370">
        <f t="shared" si="207"/>
        <v>115.3</v>
      </c>
      <c r="U1434" s="367" t="s">
        <v>2143</v>
      </c>
      <c r="W1434" s="361"/>
      <c r="X1434" s="369">
        <f>SUM(X1421:X1433)</f>
        <v>13729.132</v>
      </c>
      <c r="Y1434" s="369"/>
      <c r="AG1434" s="395">
        <f t="shared" si="200"/>
        <v>0</v>
      </c>
    </row>
    <row r="1435" spans="6:33" ht="19.5">
      <c r="F1435" s="370">
        <v>0.14000000000000001</v>
      </c>
      <c r="G1435" s="368" t="s">
        <v>108</v>
      </c>
      <c r="H1435" s="356" t="s">
        <v>132</v>
      </c>
      <c r="I1435" s="370">
        <f>(K32)</f>
        <v>4976.9571999999998</v>
      </c>
      <c r="J1435" s="356" t="s">
        <v>108</v>
      </c>
      <c r="K1435" s="370">
        <f>(F1435*I1435)</f>
        <v>696.77400800000009</v>
      </c>
      <c r="M1435" s="461">
        <v>2</v>
      </c>
      <c r="N1435" s="368" t="s">
        <v>223</v>
      </c>
      <c r="O1435" s="356" t="s">
        <v>2136</v>
      </c>
      <c r="P1435" s="370">
        <f t="shared" si="206"/>
        <v>30</v>
      </c>
      <c r="Q1435" s="368" t="s">
        <v>223</v>
      </c>
      <c r="R1435" s="370">
        <f t="shared" si="207"/>
        <v>60</v>
      </c>
      <c r="U1435" s="35">
        <f>2.025</f>
        <v>2.0249999999999999</v>
      </c>
      <c r="W1435" s="361"/>
      <c r="Z1435" s="36"/>
      <c r="AA1435" s="358"/>
      <c r="AB1435" s="358"/>
      <c r="AC1435" s="546" t="s">
        <v>2176</v>
      </c>
      <c r="AD1435" s="455" t="s">
        <v>2177</v>
      </c>
      <c r="AE1435" s="455"/>
      <c r="AF1435" s="455"/>
      <c r="AG1435" s="395">
        <f t="shared" si="200"/>
        <v>0</v>
      </c>
    </row>
    <row r="1436" spans="6:33" ht="15.75">
      <c r="F1436" s="370">
        <v>1.1000000000000001</v>
      </c>
      <c r="G1436" s="368" t="s">
        <v>151</v>
      </c>
      <c r="H1436" s="356" t="s">
        <v>162</v>
      </c>
      <c r="I1436" s="370">
        <f>(C10)</f>
        <v>1198.8</v>
      </c>
      <c r="J1436" s="356" t="s">
        <v>151</v>
      </c>
      <c r="K1436" s="370">
        <f>(F1436*I1436)</f>
        <v>1318.68</v>
      </c>
      <c r="M1436" s="461">
        <v>2</v>
      </c>
      <c r="N1436" s="368" t="s">
        <v>223</v>
      </c>
      <c r="O1436" s="356" t="s">
        <v>2137</v>
      </c>
      <c r="P1436" s="370">
        <f t="shared" si="206"/>
        <v>20</v>
      </c>
      <c r="Q1436" s="368" t="s">
        <v>223</v>
      </c>
      <c r="R1436" s="370">
        <f t="shared" si="207"/>
        <v>40</v>
      </c>
      <c r="W1436" s="361"/>
      <c r="Z1436" s="407">
        <v>4.21</v>
      </c>
      <c r="AA1436" s="368" t="s">
        <v>480</v>
      </c>
      <c r="AB1436" s="368"/>
      <c r="AC1436" s="356" t="s">
        <v>2120</v>
      </c>
      <c r="AD1436" s="370">
        <f>V1438</f>
        <v>325</v>
      </c>
      <c r="AE1436" s="368" t="s">
        <v>480</v>
      </c>
      <c r="AF1436" s="370">
        <f>AD1436*Z1436</f>
        <v>1368.25</v>
      </c>
      <c r="AG1436" s="395">
        <f t="shared" si="200"/>
        <v>0</v>
      </c>
    </row>
    <row r="1437" spans="6:33" ht="19.5">
      <c r="F1437" s="370">
        <v>0.5</v>
      </c>
      <c r="G1437" s="368" t="s">
        <v>151</v>
      </c>
      <c r="H1437" s="356" t="s">
        <v>153</v>
      </c>
      <c r="I1437" s="370">
        <f>(C12)</f>
        <v>781.19999999999993</v>
      </c>
      <c r="J1437" s="356" t="s">
        <v>151</v>
      </c>
      <c r="K1437" s="370">
        <f>(F1437*I1437)</f>
        <v>390.59999999999997</v>
      </c>
      <c r="M1437" s="461">
        <v>4</v>
      </c>
      <c r="N1437" s="368" t="s">
        <v>223</v>
      </c>
      <c r="O1437" s="356" t="s">
        <v>2138</v>
      </c>
      <c r="P1437" s="370">
        <f t="shared" si="206"/>
        <v>15</v>
      </c>
      <c r="Q1437" s="368" t="s">
        <v>223</v>
      </c>
      <c r="R1437" s="370">
        <f t="shared" si="207"/>
        <v>60</v>
      </c>
      <c r="T1437" s="358"/>
      <c r="U1437" s="546" t="s">
        <v>2178</v>
      </c>
      <c r="V1437" s="455" t="s">
        <v>2177</v>
      </c>
      <c r="W1437" s="437"/>
      <c r="X1437" s="455"/>
      <c r="Y1437" s="455"/>
      <c r="Z1437" s="407">
        <v>0.40500000000000003</v>
      </c>
      <c r="AA1437" s="368" t="s">
        <v>478</v>
      </c>
      <c r="AB1437" s="368"/>
      <c r="AC1437" s="356" t="s">
        <v>2126</v>
      </c>
      <c r="AD1437" s="370">
        <f>V1439</f>
        <v>306.89999999999998</v>
      </c>
      <c r="AE1437" s="368" t="s">
        <v>480</v>
      </c>
      <c r="AF1437" s="370">
        <f>AD1437*Z1437</f>
        <v>124.2945</v>
      </c>
      <c r="AG1437" s="395">
        <f t="shared" si="200"/>
        <v>0</v>
      </c>
    </row>
    <row r="1438" spans="6:33" ht="15.75">
      <c r="F1438" s="370">
        <v>1.1000000000000001</v>
      </c>
      <c r="G1438" s="368" t="s">
        <v>151</v>
      </c>
      <c r="H1438" s="356" t="s">
        <v>154</v>
      </c>
      <c r="I1438" s="370">
        <f>(C13)</f>
        <v>640.79999999999995</v>
      </c>
      <c r="J1438" s="356" t="s">
        <v>151</v>
      </c>
      <c r="K1438" s="370">
        <f>(F1438*I1438)</f>
        <v>704.88</v>
      </c>
      <c r="M1438" s="461">
        <v>0.60799999999999998</v>
      </c>
      <c r="N1438" s="368" t="s">
        <v>262</v>
      </c>
      <c r="O1438" s="356" t="s">
        <v>2139</v>
      </c>
      <c r="P1438" s="370">
        <f t="shared" si="206"/>
        <v>2397.6</v>
      </c>
      <c r="Q1438" s="368" t="s">
        <v>262</v>
      </c>
      <c r="R1438" s="370">
        <f t="shared" si="207"/>
        <v>1457.7407999999998</v>
      </c>
      <c r="S1438" s="407">
        <v>3.7389999999999999</v>
      </c>
      <c r="T1438" s="368" t="s">
        <v>480</v>
      </c>
      <c r="U1438" s="356" t="s">
        <v>2120</v>
      </c>
      <c r="V1438" s="370">
        <f>P1477</f>
        <v>325</v>
      </c>
      <c r="W1438" s="357" t="s">
        <v>480</v>
      </c>
      <c r="X1438" s="370">
        <f>V1438*S1438</f>
        <v>1215.175</v>
      </c>
      <c r="Y1438" s="370"/>
      <c r="Z1438" s="407">
        <v>0.40500000000000003</v>
      </c>
      <c r="AA1438" s="368" t="s">
        <v>478</v>
      </c>
      <c r="AB1438" s="368"/>
      <c r="AC1438" s="356" t="s">
        <v>2139</v>
      </c>
      <c r="AD1438" s="370">
        <f>V1440</f>
        <v>2397.6</v>
      </c>
      <c r="AE1438" s="368" t="s">
        <v>480</v>
      </c>
      <c r="AF1438" s="370">
        <f>AD1438*Z1438</f>
        <v>971.02800000000002</v>
      </c>
      <c r="AG1438" s="395">
        <f t="shared" si="200"/>
        <v>0</v>
      </c>
    </row>
    <row r="1439" spans="6:33" ht="15.75">
      <c r="F1439" s="370">
        <v>2</v>
      </c>
      <c r="G1439" s="368" t="s">
        <v>213</v>
      </c>
      <c r="H1439" s="356" t="s">
        <v>2179</v>
      </c>
      <c r="I1439" s="370">
        <f>(C655)</f>
        <v>42.7</v>
      </c>
      <c r="J1439" s="356" t="s">
        <v>213</v>
      </c>
      <c r="K1439" s="370">
        <f>(F1439*I1439)</f>
        <v>85.4</v>
      </c>
      <c r="N1439" s="358"/>
      <c r="O1439" s="356" t="s">
        <v>2141</v>
      </c>
      <c r="Q1439" s="361"/>
      <c r="R1439" s="370">
        <v>0.57999999999999996</v>
      </c>
      <c r="S1439" s="407">
        <v>0.36</v>
      </c>
      <c r="T1439" s="368" t="s">
        <v>478</v>
      </c>
      <c r="U1439" s="356" t="s">
        <v>2126</v>
      </c>
      <c r="V1439" s="370">
        <f>P1478</f>
        <v>306.89999999999998</v>
      </c>
      <c r="W1439" s="357" t="s">
        <v>480</v>
      </c>
      <c r="X1439" s="370">
        <f>V1439*S1439</f>
        <v>110.48399999999999</v>
      </c>
      <c r="Y1439" s="370"/>
      <c r="Z1439" s="407"/>
      <c r="AA1439" s="368"/>
      <c r="AB1439" s="368"/>
      <c r="AC1439" s="356"/>
      <c r="AD1439" s="370"/>
      <c r="AE1439" s="368"/>
      <c r="AF1439" s="370">
        <f>SUM(AF1436:AF1438)</f>
        <v>2463.5725000000002</v>
      </c>
      <c r="AG1439" s="395">
        <f t="shared" si="200"/>
        <v>0</v>
      </c>
    </row>
    <row r="1440" spans="6:33" ht="15.75">
      <c r="G1440" s="368" t="s">
        <v>128</v>
      </c>
      <c r="H1440" s="356" t="s">
        <v>129</v>
      </c>
      <c r="I1440" s="356" t="s">
        <v>114</v>
      </c>
      <c r="J1440" s="356" t="s">
        <v>128</v>
      </c>
      <c r="K1440" s="370">
        <v>5</v>
      </c>
      <c r="R1440" s="369">
        <f>SUM(R1427:R1439)</f>
        <v>4439.8544999999995</v>
      </c>
      <c r="S1440" s="407">
        <v>0.36</v>
      </c>
      <c r="T1440" s="368" t="s">
        <v>478</v>
      </c>
      <c r="U1440" s="356" t="s">
        <v>2139</v>
      </c>
      <c r="V1440" s="370">
        <f>P1479</f>
        <v>2397.6</v>
      </c>
      <c r="W1440" s="357" t="s">
        <v>480</v>
      </c>
      <c r="X1440" s="370">
        <f>V1440*S1440</f>
        <v>863.13599999999997</v>
      </c>
      <c r="Y1440" s="370"/>
      <c r="Z1440" s="407"/>
      <c r="AA1440" s="368"/>
      <c r="AB1440" s="368"/>
      <c r="AC1440" s="367" t="s">
        <v>2180</v>
      </c>
      <c r="AD1440" s="370"/>
      <c r="AE1440" s="368"/>
      <c r="AF1440" s="369">
        <f>AF1439/Z1438</f>
        <v>6082.8950617283954</v>
      </c>
      <c r="AG1440" s="395">
        <f t="shared" si="200"/>
        <v>0</v>
      </c>
    </row>
    <row r="1441" spans="6:33" ht="15.75">
      <c r="K1441" s="363" t="s">
        <v>117</v>
      </c>
      <c r="M1441" s="370"/>
      <c r="N1441" s="368"/>
      <c r="O1441" s="356"/>
      <c r="P1441" s="370"/>
      <c r="Q1441" s="357"/>
      <c r="R1441" s="370"/>
      <c r="S1441" s="407"/>
      <c r="T1441" s="368"/>
      <c r="U1441" s="356"/>
      <c r="V1441" s="370"/>
      <c r="W1441" s="357"/>
      <c r="X1441" s="370">
        <f>SUM(X1438:X1440)</f>
        <v>2188.7950000000001</v>
      </c>
      <c r="Y1441" s="370"/>
      <c r="AG1441" s="395">
        <f t="shared" si="200"/>
        <v>0</v>
      </c>
    </row>
    <row r="1442" spans="6:33" ht="19.5">
      <c r="F1442" s="356" t="s">
        <v>114</v>
      </c>
      <c r="H1442" s="356" t="s">
        <v>176</v>
      </c>
      <c r="K1442" s="370">
        <f>SUM(K1435:K1440)</f>
        <v>3201.3340080000003</v>
      </c>
      <c r="N1442" s="358"/>
      <c r="O1442" s="546" t="s">
        <v>2181</v>
      </c>
      <c r="Q1442" s="360"/>
      <c r="S1442" s="407"/>
      <c r="T1442" s="368"/>
      <c r="U1442" s="367" t="s">
        <v>2180</v>
      </c>
      <c r="V1442" s="370"/>
      <c r="W1442" s="357"/>
      <c r="X1442" s="369">
        <f>X1441/S1440</f>
        <v>6079.9861111111113</v>
      </c>
      <c r="Y1442" s="369"/>
      <c r="AG1442" s="395">
        <f t="shared" si="200"/>
        <v>0</v>
      </c>
    </row>
    <row r="1443" spans="6:33" ht="15.75">
      <c r="H1443" s="411"/>
      <c r="I1443" s="411"/>
      <c r="J1443" s="436"/>
      <c r="K1443" s="439" t="s">
        <v>117</v>
      </c>
      <c r="M1443" s="461">
        <v>5.35</v>
      </c>
      <c r="N1443" s="368" t="s">
        <v>480</v>
      </c>
      <c r="O1443" s="450" t="s">
        <v>2165</v>
      </c>
      <c r="P1443" s="370">
        <f>P1427</f>
        <v>325</v>
      </c>
      <c r="Q1443" s="368" t="s">
        <v>480</v>
      </c>
      <c r="R1443" s="370">
        <f>P1443*M1443</f>
        <v>1738.7499999999998</v>
      </c>
      <c r="W1443" s="361"/>
      <c r="AG1443" s="395">
        <f t="shared" si="200"/>
        <v>0</v>
      </c>
    </row>
    <row r="1444" spans="6:33" ht="19.5">
      <c r="H1444" s="372" t="s">
        <v>177</v>
      </c>
      <c r="I1444" s="411"/>
      <c r="J1444" s="436"/>
      <c r="K1444" s="369">
        <f>(K1442/10)</f>
        <v>320.1334008</v>
      </c>
      <c r="M1444" s="461">
        <v>7.58</v>
      </c>
      <c r="N1444" s="368" t="s">
        <v>480</v>
      </c>
      <c r="O1444" s="356" t="s">
        <v>2120</v>
      </c>
      <c r="P1444" s="370">
        <f t="shared" ref="P1444:P1454" si="208">P1428</f>
        <v>325</v>
      </c>
      <c r="Q1444" s="368" t="s">
        <v>480</v>
      </c>
      <c r="R1444" s="370">
        <f t="shared" ref="R1444:R1454" si="209">P1444*M1444</f>
        <v>2463.5</v>
      </c>
      <c r="T1444" s="358"/>
      <c r="U1444" s="546" t="s">
        <v>2182</v>
      </c>
      <c r="V1444" s="455" t="s">
        <v>2177</v>
      </c>
      <c r="W1444" s="361"/>
      <c r="AG1444" s="395">
        <f t="shared" si="200"/>
        <v>0</v>
      </c>
    </row>
    <row r="1445" spans="6:33" ht="15.75">
      <c r="K1445" s="363" t="s">
        <v>156</v>
      </c>
      <c r="M1445" s="461">
        <v>13.15</v>
      </c>
      <c r="N1445" s="368" t="s">
        <v>480</v>
      </c>
      <c r="O1445" s="356" t="s">
        <v>2120</v>
      </c>
      <c r="P1445" s="370">
        <f t="shared" si="208"/>
        <v>325</v>
      </c>
      <c r="Q1445" s="368" t="s">
        <v>480</v>
      </c>
      <c r="R1445" s="370">
        <f t="shared" si="209"/>
        <v>4273.75</v>
      </c>
      <c r="S1445" s="407">
        <v>4.21</v>
      </c>
      <c r="T1445" s="368" t="s">
        <v>480</v>
      </c>
      <c r="U1445" s="356" t="s">
        <v>2120</v>
      </c>
      <c r="V1445" s="370">
        <f>P1484</f>
        <v>325</v>
      </c>
      <c r="W1445" s="357" t="s">
        <v>480</v>
      </c>
      <c r="X1445" s="370">
        <f>V1445*S1445</f>
        <v>1368.25</v>
      </c>
      <c r="Y1445" s="370"/>
      <c r="AG1445" s="395">
        <f t="shared" si="200"/>
        <v>0</v>
      </c>
    </row>
    <row r="1446" spans="6:33" ht="15.75">
      <c r="H1446" s="356" t="s">
        <v>114</v>
      </c>
      <c r="M1446" s="461">
        <v>2.31</v>
      </c>
      <c r="N1446" s="368" t="s">
        <v>480</v>
      </c>
      <c r="O1446" s="356" t="s">
        <v>2120</v>
      </c>
      <c r="P1446" s="370">
        <f t="shared" si="208"/>
        <v>325</v>
      </c>
      <c r="Q1446" s="368" t="s">
        <v>480</v>
      </c>
      <c r="R1446" s="370">
        <f t="shared" si="209"/>
        <v>750.75</v>
      </c>
      <c r="S1446" s="407">
        <v>0.45</v>
      </c>
      <c r="T1446" s="368" t="s">
        <v>478</v>
      </c>
      <c r="U1446" s="356" t="s">
        <v>2126</v>
      </c>
      <c r="V1446" s="370">
        <f>P1485</f>
        <v>306.89999999999998</v>
      </c>
      <c r="W1446" s="357" t="s">
        <v>480</v>
      </c>
      <c r="X1446" s="370">
        <f>V1446*S1446</f>
        <v>138.10499999999999</v>
      </c>
      <c r="Y1446" s="370"/>
      <c r="AG1446" s="395">
        <f t="shared" si="200"/>
        <v>0</v>
      </c>
    </row>
    <row r="1447" spans="6:33" ht="15.75">
      <c r="M1447" s="461">
        <v>2.44</v>
      </c>
      <c r="N1447" s="368" t="s">
        <v>478</v>
      </c>
      <c r="O1447" s="356" t="s">
        <v>2126</v>
      </c>
      <c r="P1447" s="402">
        <f t="shared" si="208"/>
        <v>306.89999999999998</v>
      </c>
      <c r="Q1447" s="368" t="s">
        <v>478</v>
      </c>
      <c r="R1447" s="370">
        <f t="shared" si="209"/>
        <v>748.8359999999999</v>
      </c>
      <c r="S1447" s="407">
        <v>0.45</v>
      </c>
      <c r="T1447" s="368" t="s">
        <v>478</v>
      </c>
      <c r="U1447" s="356" t="s">
        <v>2139</v>
      </c>
      <c r="V1447" s="370">
        <f>P1486</f>
        <v>2397.6</v>
      </c>
      <c r="W1447" s="357" t="s">
        <v>480</v>
      </c>
      <c r="X1447" s="370">
        <f>V1447*S1447</f>
        <v>1078.92</v>
      </c>
      <c r="Y1447" s="370"/>
      <c r="AG1447" s="395">
        <f t="shared" si="200"/>
        <v>0</v>
      </c>
    </row>
    <row r="1448" spans="6:33" ht="15.75">
      <c r="F1448" s="357" t="s">
        <v>2183</v>
      </c>
      <c r="G1448" s="368" t="s">
        <v>122</v>
      </c>
      <c r="H1448" s="356" t="s">
        <v>2184</v>
      </c>
      <c r="M1448" s="461">
        <v>18.62</v>
      </c>
      <c r="N1448" s="368" t="s">
        <v>31</v>
      </c>
      <c r="O1448" s="450" t="s">
        <v>2166</v>
      </c>
      <c r="P1448" s="370">
        <f t="shared" si="208"/>
        <v>29.05</v>
      </c>
      <c r="Q1448" s="368" t="s">
        <v>31</v>
      </c>
      <c r="R1448" s="370">
        <f t="shared" si="209"/>
        <v>540.91100000000006</v>
      </c>
      <c r="S1448" s="407">
        <f>R1487-2967</f>
        <v>1502.5750000000007</v>
      </c>
      <c r="T1448" s="368"/>
      <c r="U1448" s="356"/>
      <c r="V1448" s="370"/>
      <c r="W1448" s="357"/>
      <c r="X1448" s="370">
        <f>SUM(X1445:X1447)</f>
        <v>2585.2750000000001</v>
      </c>
      <c r="Y1448" s="370"/>
      <c r="AG1448" s="395">
        <f t="shared" si="200"/>
        <v>0</v>
      </c>
    </row>
    <row r="1449" spans="6:33" ht="19.5">
      <c r="H1449" s="356" t="s">
        <v>2185</v>
      </c>
      <c r="M1449" s="461">
        <v>16</v>
      </c>
      <c r="N1449" s="368" t="s">
        <v>223</v>
      </c>
      <c r="O1449" s="450" t="s">
        <v>2167</v>
      </c>
      <c r="P1449" s="370">
        <f t="shared" si="208"/>
        <v>71.900000000000006</v>
      </c>
      <c r="Q1449" s="368" t="s">
        <v>223</v>
      </c>
      <c r="R1449" s="370">
        <f t="shared" si="209"/>
        <v>1150.4000000000001</v>
      </c>
      <c r="S1449" s="407"/>
      <c r="T1449" s="368"/>
      <c r="U1449" s="367" t="s">
        <v>2180</v>
      </c>
      <c r="V1449" s="370"/>
      <c r="W1449" s="357"/>
      <c r="X1449" s="369">
        <f>X1448/S1447</f>
        <v>5745.0555555555557</v>
      </c>
      <c r="Y1449" s="369"/>
      <c r="Z1449" s="36"/>
      <c r="AA1449" s="358"/>
      <c r="AB1449" s="358"/>
      <c r="AC1449" s="546" t="s">
        <v>2186</v>
      </c>
      <c r="AE1449" s="360"/>
      <c r="AG1449" s="395">
        <f t="shared" si="200"/>
        <v>0</v>
      </c>
    </row>
    <row r="1450" spans="6:33" ht="15.75">
      <c r="H1450" s="356" t="s">
        <v>2187</v>
      </c>
      <c r="M1450" s="461">
        <v>8</v>
      </c>
      <c r="N1450" s="368" t="s">
        <v>223</v>
      </c>
      <c r="O1450" s="450" t="s">
        <v>2158</v>
      </c>
      <c r="P1450" s="370">
        <f t="shared" si="208"/>
        <v>57.65</v>
      </c>
      <c r="Q1450" s="368" t="s">
        <v>223</v>
      </c>
      <c r="R1450" s="370">
        <f t="shared" si="209"/>
        <v>461.2</v>
      </c>
      <c r="W1450" s="361"/>
      <c r="Z1450" s="407">
        <v>3.26</v>
      </c>
      <c r="AA1450" s="368" t="s">
        <v>480</v>
      </c>
      <c r="AB1450" s="368"/>
      <c r="AC1450" s="356" t="s">
        <v>2120</v>
      </c>
      <c r="AD1450" s="370">
        <f t="shared" ref="AD1450:AD1461" si="210">V1452</f>
        <v>325</v>
      </c>
      <c r="AE1450" s="368" t="s">
        <v>480</v>
      </c>
      <c r="AF1450" s="370">
        <f t="shared" ref="AF1450:AF1461" si="211">AD1450*Z1450</f>
        <v>1059.5</v>
      </c>
      <c r="AG1450" s="395">
        <f t="shared" si="200"/>
        <v>0</v>
      </c>
    </row>
    <row r="1451" spans="6:33" ht="19.5">
      <c r="H1451" s="356" t="s">
        <v>2188</v>
      </c>
      <c r="M1451" s="461">
        <v>8</v>
      </c>
      <c r="N1451" s="368" t="s">
        <v>223</v>
      </c>
      <c r="O1451" s="356" t="s">
        <v>2136</v>
      </c>
      <c r="P1451" s="370">
        <f t="shared" si="208"/>
        <v>30</v>
      </c>
      <c r="Q1451" s="368" t="s">
        <v>223</v>
      </c>
      <c r="R1451" s="370">
        <f t="shared" si="209"/>
        <v>240</v>
      </c>
      <c r="T1451" s="358"/>
      <c r="U1451" s="546" t="s">
        <v>2189</v>
      </c>
      <c r="W1451" s="361"/>
      <c r="Z1451" s="407">
        <v>0.84</v>
      </c>
      <c r="AA1451" s="368" t="s">
        <v>480</v>
      </c>
      <c r="AB1451" s="368"/>
      <c r="AC1451" s="356" t="s">
        <v>2120</v>
      </c>
      <c r="AD1451" s="370">
        <f t="shared" si="210"/>
        <v>325</v>
      </c>
      <c r="AE1451" s="368" t="s">
        <v>480</v>
      </c>
      <c r="AF1451" s="370">
        <f t="shared" si="211"/>
        <v>273</v>
      </c>
      <c r="AG1451" s="395">
        <f t="shared" si="200"/>
        <v>0</v>
      </c>
    </row>
    <row r="1452" spans="6:33" ht="15.75">
      <c r="H1452" s="363" t="s">
        <v>117</v>
      </c>
      <c r="I1452" s="363" t="s">
        <v>117</v>
      </c>
      <c r="M1452" s="461">
        <v>8</v>
      </c>
      <c r="N1452" s="368" t="s">
        <v>223</v>
      </c>
      <c r="O1452" s="356" t="s">
        <v>2137</v>
      </c>
      <c r="P1452" s="370">
        <f t="shared" si="208"/>
        <v>20</v>
      </c>
      <c r="Q1452" s="368" t="s">
        <v>223</v>
      </c>
      <c r="R1452" s="370">
        <f t="shared" si="209"/>
        <v>160</v>
      </c>
      <c r="S1452" s="407">
        <v>3.49</v>
      </c>
      <c r="T1452" s="368" t="s">
        <v>480</v>
      </c>
      <c r="U1452" s="356" t="s">
        <v>2120</v>
      </c>
      <c r="V1452" s="370">
        <f>P1491</f>
        <v>325</v>
      </c>
      <c r="W1452" s="357" t="s">
        <v>480</v>
      </c>
      <c r="X1452" s="370">
        <f>V1452*S1452</f>
        <v>1134.25</v>
      </c>
      <c r="Y1452" s="370"/>
      <c r="Z1452" s="407">
        <v>3.65</v>
      </c>
      <c r="AA1452" s="368" t="s">
        <v>480</v>
      </c>
      <c r="AB1452" s="368"/>
      <c r="AC1452" s="356" t="s">
        <v>2120</v>
      </c>
      <c r="AD1452" s="370">
        <f t="shared" si="210"/>
        <v>325</v>
      </c>
      <c r="AE1452" s="368" t="s">
        <v>480</v>
      </c>
      <c r="AF1452" s="370">
        <f t="shared" si="211"/>
        <v>1186.25</v>
      </c>
      <c r="AG1452" s="395">
        <f t="shared" si="200"/>
        <v>0</v>
      </c>
    </row>
    <row r="1453" spans="6:33" ht="15.75">
      <c r="G1453" s="368" t="s">
        <v>438</v>
      </c>
      <c r="H1453" s="356" t="s">
        <v>2190</v>
      </c>
      <c r="M1453" s="461">
        <v>4</v>
      </c>
      <c r="N1453" s="368" t="s">
        <v>223</v>
      </c>
      <c r="O1453" s="356" t="s">
        <v>2138</v>
      </c>
      <c r="P1453" s="370">
        <f t="shared" si="208"/>
        <v>15</v>
      </c>
      <c r="Q1453" s="368" t="s">
        <v>223</v>
      </c>
      <c r="R1453" s="370">
        <f t="shared" si="209"/>
        <v>60</v>
      </c>
      <c r="S1453" s="407">
        <v>2.5299999999999998</v>
      </c>
      <c r="T1453" s="368" t="s">
        <v>480</v>
      </c>
      <c r="U1453" s="356" t="s">
        <v>2120</v>
      </c>
      <c r="V1453" s="370">
        <f t="shared" ref="V1453:V1463" si="212">P1492</f>
        <v>325</v>
      </c>
      <c r="W1453" s="357" t="s">
        <v>480</v>
      </c>
      <c r="X1453" s="370">
        <f t="shared" ref="X1453:X1463" si="213">V1453*S1453</f>
        <v>822.24999999999989</v>
      </c>
      <c r="Y1453" s="370"/>
      <c r="Z1453" s="407">
        <v>0.64</v>
      </c>
      <c r="AA1453" s="368" t="s">
        <v>480</v>
      </c>
      <c r="AB1453" s="368"/>
      <c r="AC1453" s="356" t="s">
        <v>2120</v>
      </c>
      <c r="AD1453" s="370">
        <f t="shared" si="210"/>
        <v>325</v>
      </c>
      <c r="AE1453" s="368" t="s">
        <v>480</v>
      </c>
      <c r="AF1453" s="370">
        <f t="shared" si="211"/>
        <v>208</v>
      </c>
      <c r="AG1453" s="395">
        <f t="shared" si="200"/>
        <v>0</v>
      </c>
    </row>
    <row r="1454" spans="6:33" ht="15.75">
      <c r="G1454" s="368" t="s">
        <v>117</v>
      </c>
      <c r="H1454" s="363" t="s">
        <v>117</v>
      </c>
      <c r="M1454" s="461">
        <f>1.8*1.65</f>
        <v>2.9699999999999998</v>
      </c>
      <c r="N1454" s="368" t="s">
        <v>262</v>
      </c>
      <c r="O1454" s="356" t="s">
        <v>2139</v>
      </c>
      <c r="P1454" s="370">
        <f t="shared" si="208"/>
        <v>2397.6</v>
      </c>
      <c r="Q1454" s="368" t="s">
        <v>262</v>
      </c>
      <c r="R1454" s="370">
        <f t="shared" si="209"/>
        <v>7120.8719999999994</v>
      </c>
      <c r="S1454" s="407">
        <v>5.7549999999999999</v>
      </c>
      <c r="T1454" s="368" t="s">
        <v>480</v>
      </c>
      <c r="U1454" s="356" t="s">
        <v>2120</v>
      </c>
      <c r="V1454" s="370">
        <f t="shared" si="212"/>
        <v>325</v>
      </c>
      <c r="W1454" s="357" t="s">
        <v>480</v>
      </c>
      <c r="X1454" s="370">
        <f t="shared" si="213"/>
        <v>1870.375</v>
      </c>
      <c r="Y1454" s="370"/>
      <c r="Z1454" s="407">
        <v>0.84099999999999997</v>
      </c>
      <c r="AA1454" s="368" t="s">
        <v>478</v>
      </c>
      <c r="AB1454" s="368"/>
      <c r="AC1454" s="356" t="s">
        <v>2126</v>
      </c>
      <c r="AD1454" s="370">
        <f t="shared" si="210"/>
        <v>306.89999999999998</v>
      </c>
      <c r="AE1454" s="368" t="s">
        <v>478</v>
      </c>
      <c r="AF1454" s="370">
        <f t="shared" si="211"/>
        <v>258.10289999999998</v>
      </c>
      <c r="AG1454" s="395">
        <f t="shared" si="200"/>
        <v>0</v>
      </c>
    </row>
    <row r="1455" spans="6:33" ht="15.75">
      <c r="F1455" s="461">
        <v>1.4E-2</v>
      </c>
      <c r="G1455" s="368" t="s">
        <v>793</v>
      </c>
      <c r="H1455" s="356" t="s">
        <v>2191</v>
      </c>
      <c r="I1455" s="370">
        <f>K49</f>
        <v>3753.50632</v>
      </c>
      <c r="J1455" s="356" t="s">
        <v>793</v>
      </c>
      <c r="K1455" s="370">
        <f>(F1455*I1455)</f>
        <v>52.549088480000002</v>
      </c>
      <c r="N1455" s="358"/>
      <c r="O1455" s="356" t="s">
        <v>2141</v>
      </c>
      <c r="Q1455" s="361"/>
      <c r="R1455" s="370">
        <v>0.78</v>
      </c>
      <c r="S1455" s="407">
        <v>1.0009999999999999</v>
      </c>
      <c r="T1455" s="368" t="s">
        <v>480</v>
      </c>
      <c r="U1455" s="356" t="s">
        <v>2120</v>
      </c>
      <c r="V1455" s="370">
        <f t="shared" si="212"/>
        <v>325</v>
      </c>
      <c r="W1455" s="357" t="s">
        <v>480</v>
      </c>
      <c r="X1455" s="370">
        <f t="shared" si="213"/>
        <v>325.32499999999999</v>
      </c>
      <c r="Y1455" s="370"/>
      <c r="Z1455" s="407">
        <v>5.1959999999999997</v>
      </c>
      <c r="AA1455" s="368" t="s">
        <v>31</v>
      </c>
      <c r="AB1455" s="368"/>
      <c r="AC1455" s="356" t="s">
        <v>2129</v>
      </c>
      <c r="AD1455" s="370">
        <f t="shared" si="210"/>
        <v>29.05</v>
      </c>
      <c r="AE1455" s="368" t="s">
        <v>31</v>
      </c>
      <c r="AF1455" s="370">
        <f t="shared" si="211"/>
        <v>150.94379999999998</v>
      </c>
      <c r="AG1455" s="395">
        <f t="shared" si="200"/>
        <v>0</v>
      </c>
    </row>
    <row r="1456" spans="6:33" ht="15.75">
      <c r="F1456" s="370">
        <v>0.3</v>
      </c>
      <c r="G1456" s="368" t="s">
        <v>482</v>
      </c>
      <c r="H1456" s="356" t="s">
        <v>2192</v>
      </c>
      <c r="I1456" s="370">
        <f>C10</f>
        <v>1198.8</v>
      </c>
      <c r="J1456" s="356" t="s">
        <v>482</v>
      </c>
      <c r="K1456" s="370">
        <f>(F1456*I1456)</f>
        <v>359.64</v>
      </c>
      <c r="R1456" s="369">
        <f>SUM(R1443:R1455)</f>
        <v>19709.748999999996</v>
      </c>
      <c r="S1456" s="407">
        <f>1.012</f>
        <v>1.012</v>
      </c>
      <c r="T1456" s="368" t="s">
        <v>478</v>
      </c>
      <c r="U1456" s="356" t="s">
        <v>2126</v>
      </c>
      <c r="V1456" s="370">
        <f t="shared" si="212"/>
        <v>306.89999999999998</v>
      </c>
      <c r="W1456" s="357" t="s">
        <v>478</v>
      </c>
      <c r="X1456" s="370">
        <f t="shared" si="213"/>
        <v>310.58279999999996</v>
      </c>
      <c r="Y1456" s="370"/>
      <c r="Z1456" s="407">
        <v>4</v>
      </c>
      <c r="AA1456" s="368" t="s">
        <v>223</v>
      </c>
      <c r="AB1456" s="368"/>
      <c r="AC1456" s="356" t="s">
        <v>2131</v>
      </c>
      <c r="AD1456" s="370">
        <f t="shared" si="210"/>
        <v>71.900000000000006</v>
      </c>
      <c r="AE1456" s="368" t="s">
        <v>223</v>
      </c>
      <c r="AF1456" s="370">
        <f t="shared" si="211"/>
        <v>287.60000000000002</v>
      </c>
      <c r="AG1456" s="395">
        <f t="shared" si="200"/>
        <v>0</v>
      </c>
    </row>
    <row r="1457" spans="6:33" ht="15.75">
      <c r="F1457" s="370">
        <v>0.3</v>
      </c>
      <c r="G1457" s="368" t="s">
        <v>482</v>
      </c>
      <c r="H1457" s="356" t="s">
        <v>1383</v>
      </c>
      <c r="I1457" s="370">
        <f>C12</f>
        <v>781.19999999999993</v>
      </c>
      <c r="J1457" s="356" t="s">
        <v>482</v>
      </c>
      <c r="K1457" s="370">
        <f>(F1457*I1457)</f>
        <v>234.35999999999996</v>
      </c>
      <c r="R1457" s="35">
        <f>R1456/M1454</f>
        <v>6636.2791245791241</v>
      </c>
      <c r="S1457" s="407" t="s">
        <v>262</v>
      </c>
      <c r="T1457" s="368" t="s">
        <v>31</v>
      </c>
      <c r="U1457" s="356" t="s">
        <v>2129</v>
      </c>
      <c r="V1457" s="370">
        <f t="shared" si="212"/>
        <v>29.05</v>
      </c>
      <c r="W1457" s="357" t="s">
        <v>31</v>
      </c>
      <c r="X1457" s="370" t="e">
        <f t="shared" si="213"/>
        <v>#VALUE!</v>
      </c>
      <c r="Y1457" s="370"/>
      <c r="Z1457" s="407">
        <v>2</v>
      </c>
      <c r="AA1457" s="368" t="s">
        <v>223</v>
      </c>
      <c r="AB1457" s="368"/>
      <c r="AC1457" s="356" t="s">
        <v>2133</v>
      </c>
      <c r="AD1457" s="370">
        <f t="shared" si="210"/>
        <v>57.65</v>
      </c>
      <c r="AE1457" s="368" t="s">
        <v>223</v>
      </c>
      <c r="AF1457" s="370">
        <f t="shared" si="211"/>
        <v>115.3</v>
      </c>
      <c r="AG1457" s="395">
        <f t="shared" si="200"/>
        <v>0</v>
      </c>
    </row>
    <row r="1458" spans="6:33" ht="15.75">
      <c r="G1458" s="368" t="s">
        <v>128</v>
      </c>
      <c r="H1458" s="356" t="s">
        <v>331</v>
      </c>
      <c r="J1458" s="356" t="s">
        <v>128</v>
      </c>
      <c r="K1458" s="35">
        <v>0</v>
      </c>
      <c r="S1458" s="407">
        <v>8</v>
      </c>
      <c r="T1458" s="368" t="s">
        <v>223</v>
      </c>
      <c r="U1458" s="356" t="s">
        <v>2131</v>
      </c>
      <c r="V1458" s="370">
        <f t="shared" si="212"/>
        <v>71.900000000000006</v>
      </c>
      <c r="W1458" s="357" t="s">
        <v>223</v>
      </c>
      <c r="X1458" s="370">
        <f t="shared" si="213"/>
        <v>575.20000000000005</v>
      </c>
      <c r="Y1458" s="370"/>
      <c r="Z1458" s="407">
        <v>2</v>
      </c>
      <c r="AA1458" s="368" t="s">
        <v>223</v>
      </c>
      <c r="AB1458" s="368"/>
      <c r="AC1458" s="356" t="s">
        <v>2136</v>
      </c>
      <c r="AD1458" s="370">
        <f t="shared" si="210"/>
        <v>30</v>
      </c>
      <c r="AE1458" s="368" t="s">
        <v>223</v>
      </c>
      <c r="AF1458" s="370">
        <f t="shared" si="211"/>
        <v>60</v>
      </c>
      <c r="AG1458" s="395">
        <f t="shared" si="200"/>
        <v>0</v>
      </c>
    </row>
    <row r="1459" spans="6:33" ht="19.5">
      <c r="K1459" s="363" t="s">
        <v>117</v>
      </c>
      <c r="N1459" s="358"/>
      <c r="O1459" s="546" t="s">
        <v>2193</v>
      </c>
      <c r="Q1459" s="360"/>
      <c r="S1459" s="407">
        <v>4</v>
      </c>
      <c r="T1459" s="368" t="s">
        <v>223</v>
      </c>
      <c r="U1459" s="356" t="s">
        <v>2133</v>
      </c>
      <c r="V1459" s="370">
        <f t="shared" si="212"/>
        <v>57.65</v>
      </c>
      <c r="W1459" s="357" t="s">
        <v>223</v>
      </c>
      <c r="X1459" s="370">
        <f t="shared" si="213"/>
        <v>230.6</v>
      </c>
      <c r="Y1459" s="370"/>
      <c r="Z1459" s="407">
        <v>2</v>
      </c>
      <c r="AA1459" s="368" t="s">
        <v>223</v>
      </c>
      <c r="AB1459" s="368"/>
      <c r="AC1459" s="356" t="s">
        <v>2137</v>
      </c>
      <c r="AD1459" s="370">
        <f t="shared" si="210"/>
        <v>20</v>
      </c>
      <c r="AE1459" s="368" t="s">
        <v>223</v>
      </c>
      <c r="AF1459" s="370">
        <f t="shared" si="211"/>
        <v>40</v>
      </c>
      <c r="AG1459" s="395">
        <f t="shared" si="200"/>
        <v>0</v>
      </c>
    </row>
    <row r="1460" spans="6:33" ht="15.75">
      <c r="H1460" s="357" t="s">
        <v>2194</v>
      </c>
      <c r="K1460" s="370">
        <f>SUM(K1455:K1458)</f>
        <v>646.54908847999991</v>
      </c>
      <c r="M1460" s="461">
        <v>10.75</v>
      </c>
      <c r="N1460" s="368" t="s">
        <v>480</v>
      </c>
      <c r="O1460" s="450" t="s">
        <v>2165</v>
      </c>
      <c r="P1460" s="370">
        <f>P1443</f>
        <v>325</v>
      </c>
      <c r="Q1460" s="368" t="s">
        <v>480</v>
      </c>
      <c r="R1460" s="370">
        <f>P1460*M1460</f>
        <v>3493.75</v>
      </c>
      <c r="S1460" s="407">
        <v>4</v>
      </c>
      <c r="T1460" s="368" t="s">
        <v>223</v>
      </c>
      <c r="U1460" s="356" t="s">
        <v>2136</v>
      </c>
      <c r="V1460" s="370">
        <f t="shared" si="212"/>
        <v>30</v>
      </c>
      <c r="W1460" s="357" t="s">
        <v>223</v>
      </c>
      <c r="X1460" s="370">
        <f t="shared" si="213"/>
        <v>120</v>
      </c>
      <c r="Y1460" s="370"/>
      <c r="Z1460" s="407">
        <v>4</v>
      </c>
      <c r="AA1460" s="368" t="s">
        <v>223</v>
      </c>
      <c r="AB1460" s="368"/>
      <c r="AC1460" s="356" t="s">
        <v>2138</v>
      </c>
      <c r="AD1460" s="370">
        <f t="shared" si="210"/>
        <v>15</v>
      </c>
      <c r="AE1460" s="368" t="s">
        <v>223</v>
      </c>
      <c r="AF1460" s="370">
        <f t="shared" si="211"/>
        <v>60</v>
      </c>
      <c r="AG1460" s="395">
        <f t="shared" si="200"/>
        <v>0</v>
      </c>
    </row>
    <row r="1461" spans="6:33" ht="15.75">
      <c r="K1461" s="363" t="s">
        <v>117</v>
      </c>
      <c r="M1461" s="461">
        <v>0.99199999999999999</v>
      </c>
      <c r="N1461" s="368" t="s">
        <v>480</v>
      </c>
      <c r="O1461" s="356" t="s">
        <v>2120</v>
      </c>
      <c r="P1461" s="370">
        <f t="shared" ref="P1461:P1471" si="214">P1444</f>
        <v>325</v>
      </c>
      <c r="Q1461" s="368" t="s">
        <v>480</v>
      </c>
      <c r="R1461" s="370">
        <f t="shared" ref="R1461:R1471" si="215">P1461*M1461</f>
        <v>322.39999999999998</v>
      </c>
      <c r="S1461" s="407">
        <v>4</v>
      </c>
      <c r="T1461" s="368" t="s">
        <v>223</v>
      </c>
      <c r="U1461" s="356" t="s">
        <v>2137</v>
      </c>
      <c r="V1461" s="370">
        <f t="shared" si="212"/>
        <v>20</v>
      </c>
      <c r="W1461" s="357" t="s">
        <v>223</v>
      </c>
      <c r="X1461" s="370">
        <f t="shared" si="213"/>
        <v>80</v>
      </c>
      <c r="Y1461" s="370"/>
      <c r="Z1461" s="407">
        <v>1.01</v>
      </c>
      <c r="AA1461" s="368" t="s">
        <v>262</v>
      </c>
      <c r="AB1461" s="368"/>
      <c r="AC1461" s="356" t="s">
        <v>2139</v>
      </c>
      <c r="AD1461" s="370">
        <f t="shared" si="210"/>
        <v>2397.6</v>
      </c>
      <c r="AE1461" s="368" t="s">
        <v>262</v>
      </c>
      <c r="AF1461" s="370">
        <f t="shared" si="211"/>
        <v>2421.576</v>
      </c>
      <c r="AG1461" s="395">
        <f t="shared" si="200"/>
        <v>0</v>
      </c>
    </row>
    <row r="1462" spans="6:33" ht="15.75">
      <c r="H1462" s="372" t="s">
        <v>2195</v>
      </c>
      <c r="I1462" s="411"/>
      <c r="J1462" s="436"/>
      <c r="K1462" s="369">
        <f>K1460/6.77</f>
        <v>95.502081016248141</v>
      </c>
      <c r="M1462" s="461">
        <v>0</v>
      </c>
      <c r="N1462" s="368" t="s">
        <v>480</v>
      </c>
      <c r="O1462" s="356" t="s">
        <v>2120</v>
      </c>
      <c r="P1462" s="370">
        <f t="shared" si="214"/>
        <v>325</v>
      </c>
      <c r="Q1462" s="368" t="s">
        <v>480</v>
      </c>
      <c r="R1462" s="370">
        <f t="shared" si="215"/>
        <v>0</v>
      </c>
      <c r="S1462" s="407">
        <v>4</v>
      </c>
      <c r="T1462" s="368" t="s">
        <v>223</v>
      </c>
      <c r="U1462" s="356" t="s">
        <v>2138</v>
      </c>
      <c r="V1462" s="370">
        <f t="shared" si="212"/>
        <v>15</v>
      </c>
      <c r="W1462" s="357" t="s">
        <v>223</v>
      </c>
      <c r="X1462" s="370">
        <f t="shared" si="213"/>
        <v>60</v>
      </c>
      <c r="Y1462" s="370"/>
      <c r="Z1462" s="36"/>
      <c r="AA1462" s="358"/>
      <c r="AB1462" s="358"/>
      <c r="AC1462" s="356" t="s">
        <v>2141</v>
      </c>
      <c r="AE1462" s="361"/>
      <c r="AF1462" s="370">
        <v>0.84</v>
      </c>
      <c r="AG1462" s="395">
        <f t="shared" si="200"/>
        <v>0</v>
      </c>
    </row>
    <row r="1463" spans="6:33" ht="15.75">
      <c r="F1463" s="356" t="s">
        <v>114</v>
      </c>
      <c r="M1463" s="461">
        <v>0</v>
      </c>
      <c r="N1463" s="368" t="s">
        <v>480</v>
      </c>
      <c r="O1463" s="356" t="s">
        <v>2120</v>
      </c>
      <c r="P1463" s="370">
        <f t="shared" si="214"/>
        <v>325</v>
      </c>
      <c r="Q1463" s="368" t="s">
        <v>480</v>
      </c>
      <c r="R1463" s="370">
        <f t="shared" si="215"/>
        <v>0</v>
      </c>
      <c r="S1463" s="407">
        <v>1.26</v>
      </c>
      <c r="T1463" s="368" t="s">
        <v>262</v>
      </c>
      <c r="U1463" s="356" t="s">
        <v>2139</v>
      </c>
      <c r="V1463" s="370">
        <f t="shared" si="212"/>
        <v>2397.6</v>
      </c>
      <c r="W1463" s="357" t="s">
        <v>262</v>
      </c>
      <c r="X1463" s="370">
        <f t="shared" si="213"/>
        <v>3020.9760000000001</v>
      </c>
      <c r="Y1463" s="370"/>
      <c r="Z1463" s="36"/>
      <c r="AC1463" s="367" t="s">
        <v>2143</v>
      </c>
      <c r="AF1463" s="369">
        <f>SUM(AF1450:AF1462)</f>
        <v>6121.1126999999997</v>
      </c>
      <c r="AG1463" s="395">
        <f t="shared" si="200"/>
        <v>0</v>
      </c>
    </row>
    <row r="1464" spans="6:33" ht="15.75">
      <c r="K1464" s="363" t="s">
        <v>156</v>
      </c>
      <c r="M1464" s="461">
        <v>1.89</v>
      </c>
      <c r="N1464" s="368" t="s">
        <v>478</v>
      </c>
      <c r="O1464" s="356" t="s">
        <v>2126</v>
      </c>
      <c r="P1464" s="402">
        <f t="shared" si="214"/>
        <v>306.89999999999998</v>
      </c>
      <c r="Q1464" s="368" t="s">
        <v>478</v>
      </c>
      <c r="R1464" s="370">
        <f t="shared" si="215"/>
        <v>580.04099999999994</v>
      </c>
      <c r="T1464" s="358"/>
      <c r="U1464" s="356" t="s">
        <v>2141</v>
      </c>
      <c r="W1464" s="361"/>
      <c r="X1464" s="370">
        <v>0.14000000000000001</v>
      </c>
      <c r="Y1464" s="370"/>
      <c r="AG1464" s="395">
        <f t="shared" si="200"/>
        <v>0</v>
      </c>
    </row>
    <row r="1465" spans="6:33" ht="15.75">
      <c r="G1465" s="368" t="s">
        <v>431</v>
      </c>
      <c r="H1465" s="356" t="s">
        <v>2196</v>
      </c>
      <c r="M1465" s="461">
        <v>8</v>
      </c>
      <c r="N1465" s="368" t="s">
        <v>31</v>
      </c>
      <c r="O1465" s="450" t="s">
        <v>2166</v>
      </c>
      <c r="P1465" s="370">
        <f t="shared" si="214"/>
        <v>29.05</v>
      </c>
      <c r="Q1465" s="368" t="s">
        <v>31</v>
      </c>
      <c r="R1465" s="370">
        <f t="shared" si="215"/>
        <v>232.4</v>
      </c>
      <c r="U1465" s="367" t="s">
        <v>2143</v>
      </c>
      <c r="W1465" s="361"/>
      <c r="X1465" s="369" t="e">
        <f>SUM(X1452:X1464)</f>
        <v>#VALUE!</v>
      </c>
      <c r="Y1465" s="369"/>
      <c r="AG1465" s="395">
        <f t="shared" si="200"/>
        <v>0</v>
      </c>
    </row>
    <row r="1466" spans="6:33" ht="15.75">
      <c r="G1466" s="368" t="s">
        <v>117</v>
      </c>
      <c r="H1466" s="363" t="s">
        <v>117</v>
      </c>
      <c r="M1466" s="461">
        <v>0</v>
      </c>
      <c r="N1466" s="368" t="s">
        <v>223</v>
      </c>
      <c r="O1466" s="450" t="s">
        <v>2167</v>
      </c>
      <c r="P1466" s="370">
        <f t="shared" si="214"/>
        <v>71.900000000000006</v>
      </c>
      <c r="Q1466" s="368" t="s">
        <v>223</v>
      </c>
      <c r="R1466" s="370">
        <f t="shared" si="215"/>
        <v>0</v>
      </c>
      <c r="W1466" s="361"/>
      <c r="AG1466" s="395">
        <f t="shared" si="200"/>
        <v>0</v>
      </c>
    </row>
    <row r="1467" spans="6:33" ht="15.75">
      <c r="F1467" s="461">
        <v>7.0000000000000001E-3</v>
      </c>
      <c r="G1467" s="368" t="s">
        <v>793</v>
      </c>
      <c r="H1467" s="356" t="s">
        <v>2191</v>
      </c>
      <c r="I1467" s="370">
        <f>K49</f>
        <v>3753.50632</v>
      </c>
      <c r="J1467" s="356" t="s">
        <v>793</v>
      </c>
      <c r="K1467" s="370">
        <f>(F1467*I1467)</f>
        <v>26.274544240000001</v>
      </c>
      <c r="M1467" s="461">
        <v>0</v>
      </c>
      <c r="N1467" s="368" t="s">
        <v>223</v>
      </c>
      <c r="O1467" s="450" t="s">
        <v>2158</v>
      </c>
      <c r="P1467" s="370">
        <f t="shared" si="214"/>
        <v>57.65</v>
      </c>
      <c r="Q1467" s="368" t="s">
        <v>223</v>
      </c>
      <c r="R1467" s="370">
        <f t="shared" si="215"/>
        <v>0</v>
      </c>
      <c r="W1467" s="361"/>
      <c r="AG1467" s="395">
        <f t="shared" si="200"/>
        <v>0</v>
      </c>
    </row>
    <row r="1468" spans="6:33" ht="19.5">
      <c r="F1468" s="370">
        <v>0.2</v>
      </c>
      <c r="G1468" s="368" t="s">
        <v>482</v>
      </c>
      <c r="H1468" s="356" t="s">
        <v>2192</v>
      </c>
      <c r="I1468" s="370">
        <f>C10</f>
        <v>1198.8</v>
      </c>
      <c r="J1468" s="356" t="s">
        <v>482</v>
      </c>
      <c r="K1468" s="370">
        <f>(F1468*I1468)</f>
        <v>239.76</v>
      </c>
      <c r="M1468" s="461">
        <v>0</v>
      </c>
      <c r="N1468" s="368" t="s">
        <v>223</v>
      </c>
      <c r="O1468" s="356" t="s">
        <v>2136</v>
      </c>
      <c r="P1468" s="370">
        <f t="shared" si="214"/>
        <v>30</v>
      </c>
      <c r="Q1468" s="368" t="s">
        <v>223</v>
      </c>
      <c r="R1468" s="370">
        <f t="shared" si="215"/>
        <v>0</v>
      </c>
      <c r="T1468" s="358"/>
      <c r="U1468" s="546" t="s">
        <v>2197</v>
      </c>
      <c r="V1468" s="455" t="s">
        <v>2177</v>
      </c>
      <c r="W1468" s="361"/>
      <c r="AG1468" s="395">
        <f t="shared" si="200"/>
        <v>0</v>
      </c>
    </row>
    <row r="1469" spans="6:33" ht="15.75">
      <c r="F1469" s="370">
        <v>0.2</v>
      </c>
      <c r="G1469" s="368" t="s">
        <v>482</v>
      </c>
      <c r="H1469" s="356" t="s">
        <v>1383</v>
      </c>
      <c r="I1469" s="370">
        <f>C12</f>
        <v>781.19999999999993</v>
      </c>
      <c r="J1469" s="356" t="s">
        <v>482</v>
      </c>
      <c r="K1469" s="370">
        <f>(F1469*I1469)</f>
        <v>156.24</v>
      </c>
      <c r="M1469" s="461">
        <v>0</v>
      </c>
      <c r="N1469" s="368" t="s">
        <v>223</v>
      </c>
      <c r="O1469" s="356" t="s">
        <v>2137</v>
      </c>
      <c r="P1469" s="370">
        <f t="shared" si="214"/>
        <v>20</v>
      </c>
      <c r="Q1469" s="368" t="s">
        <v>223</v>
      </c>
      <c r="R1469" s="370">
        <f t="shared" si="215"/>
        <v>0</v>
      </c>
      <c r="S1469" s="407">
        <v>6.81</v>
      </c>
      <c r="T1469" s="368" t="s">
        <v>480</v>
      </c>
      <c r="U1469" s="356" t="s">
        <v>2120</v>
      </c>
      <c r="V1469" s="370">
        <f>V1445</f>
        <v>325</v>
      </c>
      <c r="W1469" s="357" t="s">
        <v>480</v>
      </c>
      <c r="X1469" s="370">
        <f>V1469*S1469</f>
        <v>2213.25</v>
      </c>
      <c r="Y1469" s="370"/>
      <c r="AG1469" s="395">
        <f t="shared" si="200"/>
        <v>0</v>
      </c>
    </row>
    <row r="1470" spans="6:33" ht="15.75">
      <c r="H1470" s="356" t="s">
        <v>331</v>
      </c>
      <c r="K1470" s="35">
        <v>0</v>
      </c>
      <c r="M1470" s="461">
        <v>0</v>
      </c>
      <c r="N1470" s="368" t="s">
        <v>223</v>
      </c>
      <c r="O1470" s="356" t="s">
        <v>2138</v>
      </c>
      <c r="P1470" s="370">
        <f t="shared" si="214"/>
        <v>15</v>
      </c>
      <c r="Q1470" s="368" t="s">
        <v>223</v>
      </c>
      <c r="R1470" s="370">
        <f t="shared" si="215"/>
        <v>0</v>
      </c>
      <c r="S1470" s="407">
        <v>0.77100000000000002</v>
      </c>
      <c r="T1470" s="368" t="s">
        <v>478</v>
      </c>
      <c r="U1470" s="356" t="s">
        <v>2126</v>
      </c>
      <c r="V1470" s="370">
        <f>V1446</f>
        <v>306.89999999999998</v>
      </c>
      <c r="W1470" s="357" t="s">
        <v>480</v>
      </c>
      <c r="X1470" s="370">
        <f>V1470*S1470</f>
        <v>236.6199</v>
      </c>
      <c r="Y1470" s="370"/>
      <c r="AG1470" s="395">
        <f t="shared" si="200"/>
        <v>0</v>
      </c>
    </row>
    <row r="1471" spans="6:33" ht="15.75">
      <c r="K1471" s="363" t="s">
        <v>117</v>
      </c>
      <c r="M1471" s="461">
        <v>1.89</v>
      </c>
      <c r="N1471" s="368" t="s">
        <v>262</v>
      </c>
      <c r="O1471" s="356" t="s">
        <v>2139</v>
      </c>
      <c r="P1471" s="370">
        <f t="shared" si="214"/>
        <v>2397.6</v>
      </c>
      <c r="Q1471" s="368" t="s">
        <v>262</v>
      </c>
      <c r="R1471" s="370">
        <f t="shared" si="215"/>
        <v>4531.4639999999999</v>
      </c>
      <c r="S1471" s="407">
        <v>0.77100000000000002</v>
      </c>
      <c r="T1471" s="368" t="s">
        <v>478</v>
      </c>
      <c r="U1471" s="356" t="s">
        <v>2139</v>
      </c>
      <c r="V1471" s="370">
        <f>V1447</f>
        <v>2397.6</v>
      </c>
      <c r="W1471" s="357" t="s">
        <v>480</v>
      </c>
      <c r="X1471" s="370">
        <f>V1471*S1471</f>
        <v>1848.5496000000001</v>
      </c>
      <c r="Y1471" s="370"/>
      <c r="AG1471" s="395">
        <f t="shared" si="200"/>
        <v>0</v>
      </c>
    </row>
    <row r="1472" spans="6:33" ht="15.75">
      <c r="H1472" s="357" t="s">
        <v>2194</v>
      </c>
      <c r="K1472" s="370">
        <f>SUM(K1467:K1470)</f>
        <v>422.27454424000001</v>
      </c>
      <c r="N1472" s="358"/>
      <c r="O1472" s="356" t="s">
        <v>2141</v>
      </c>
      <c r="Q1472" s="361"/>
      <c r="R1472" s="370">
        <v>0.28000000000000003</v>
      </c>
      <c r="S1472" s="407"/>
      <c r="T1472" s="368"/>
      <c r="U1472" s="356"/>
      <c r="V1472" s="370"/>
      <c r="W1472" s="357"/>
      <c r="X1472" s="370">
        <f>SUM(X1469:X1471)</f>
        <v>4298.4195</v>
      </c>
      <c r="Y1472" s="370"/>
      <c r="AG1472" s="395">
        <f t="shared" ref="AG1472:AG1535" si="216">AI1472</f>
        <v>0</v>
      </c>
    </row>
    <row r="1473" spans="6:33" ht="15.75">
      <c r="K1473" s="363" t="s">
        <v>117</v>
      </c>
      <c r="R1473" s="369">
        <f>SUM(R1460:R1472)</f>
        <v>9160.3350000000009</v>
      </c>
      <c r="S1473" s="407"/>
      <c r="T1473" s="368"/>
      <c r="U1473" s="367" t="s">
        <v>2180</v>
      </c>
      <c r="V1473" s="370"/>
      <c r="W1473" s="357"/>
      <c r="X1473" s="369">
        <f>X1472/S1471</f>
        <v>5575.1225680933849</v>
      </c>
      <c r="Y1473" s="369"/>
      <c r="AG1473" s="395">
        <f t="shared" si="216"/>
        <v>0</v>
      </c>
    </row>
    <row r="1474" spans="6:33" ht="15.75">
      <c r="H1474" s="372" t="s">
        <v>2195</v>
      </c>
      <c r="I1474" s="411"/>
      <c r="J1474" s="436"/>
      <c r="K1474" s="369">
        <f>K1472/6.77</f>
        <v>62.374378765140328</v>
      </c>
      <c r="W1474" s="361"/>
      <c r="AG1474" s="395">
        <f t="shared" si="216"/>
        <v>0</v>
      </c>
    </row>
    <row r="1475" spans="6:33" ht="15.75">
      <c r="K1475" s="363" t="s">
        <v>156</v>
      </c>
      <c r="W1475" s="361"/>
      <c r="AG1475" s="395">
        <f t="shared" si="216"/>
        <v>0</v>
      </c>
    </row>
    <row r="1476" spans="6:33" ht="19.5">
      <c r="K1476" s="363"/>
      <c r="N1476" s="358"/>
      <c r="O1476" s="546" t="s">
        <v>2198</v>
      </c>
      <c r="P1476" s="581" t="s">
        <v>2177</v>
      </c>
      <c r="Q1476" s="581"/>
      <c r="R1476" s="581"/>
      <c r="S1476" s="582"/>
      <c r="T1476" s="582"/>
      <c r="U1476" s="582"/>
      <c r="V1476" s="583"/>
      <c r="W1476" s="583"/>
      <c r="AG1476" s="395">
        <f t="shared" si="216"/>
        <v>0</v>
      </c>
    </row>
    <row r="1477" spans="6:33" ht="15.75">
      <c r="K1477" s="363"/>
      <c r="M1477" s="461">
        <v>4.67</v>
      </c>
      <c r="N1477" s="368" t="s">
        <v>480</v>
      </c>
      <c r="O1477" s="450" t="s">
        <v>2165</v>
      </c>
      <c r="P1477" s="370">
        <f>P1460</f>
        <v>325</v>
      </c>
      <c r="Q1477" s="368" t="s">
        <v>480</v>
      </c>
      <c r="R1477" s="370">
        <f>P1477*M1477</f>
        <v>1517.75</v>
      </c>
      <c r="S1477" s="461"/>
      <c r="T1477" s="368"/>
      <c r="U1477" s="356"/>
      <c r="V1477" s="370"/>
      <c r="W1477" s="357"/>
      <c r="X1477" s="370"/>
      <c r="Y1477" s="370"/>
      <c r="AG1477" s="395">
        <f t="shared" si="216"/>
        <v>0</v>
      </c>
    </row>
    <row r="1478" spans="6:33" ht="15.75">
      <c r="G1478" s="368" t="s">
        <v>433</v>
      </c>
      <c r="H1478" s="356" t="s">
        <v>2199</v>
      </c>
      <c r="K1478" s="363"/>
      <c r="M1478" s="461">
        <v>0.54</v>
      </c>
      <c r="N1478" s="368" t="s">
        <v>478</v>
      </c>
      <c r="O1478" s="356" t="s">
        <v>2126</v>
      </c>
      <c r="P1478" s="402">
        <f>P1464</f>
        <v>306.89999999999998</v>
      </c>
      <c r="Q1478" s="368" t="s">
        <v>480</v>
      </c>
      <c r="R1478" s="370">
        <f>P1478*M1478</f>
        <v>165.726</v>
      </c>
      <c r="S1478" s="461"/>
      <c r="T1478" s="368"/>
      <c r="U1478" s="356"/>
      <c r="V1478" s="370"/>
      <c r="W1478" s="357"/>
      <c r="X1478" s="370"/>
      <c r="Y1478" s="370"/>
      <c r="AG1478" s="395">
        <f t="shared" si="216"/>
        <v>0</v>
      </c>
    </row>
    <row r="1479" spans="6:33" ht="15.75">
      <c r="G1479" s="368" t="s">
        <v>117</v>
      </c>
      <c r="H1479" s="363" t="s">
        <v>117</v>
      </c>
      <c r="K1479" s="363"/>
      <c r="M1479" s="461">
        <v>0.54</v>
      </c>
      <c r="N1479" s="368" t="s">
        <v>478</v>
      </c>
      <c r="O1479" s="356" t="s">
        <v>2139</v>
      </c>
      <c r="P1479" s="370">
        <f>P1471</f>
        <v>2397.6</v>
      </c>
      <c r="Q1479" s="368" t="s">
        <v>480</v>
      </c>
      <c r="R1479" s="370">
        <f>P1479*M1479</f>
        <v>1294.704</v>
      </c>
      <c r="S1479" s="461"/>
      <c r="T1479" s="368"/>
      <c r="U1479" s="356"/>
      <c r="V1479" s="370"/>
      <c r="W1479" s="357"/>
      <c r="X1479" s="370"/>
      <c r="Y1479" s="370"/>
      <c r="AG1479" s="395">
        <f t="shared" si="216"/>
        <v>0</v>
      </c>
    </row>
    <row r="1480" spans="6:33" ht="15.75">
      <c r="F1480" s="461">
        <v>4.7000000000000002E-3</v>
      </c>
      <c r="G1480" s="368" t="s">
        <v>793</v>
      </c>
      <c r="H1480" s="356" t="s">
        <v>2191</v>
      </c>
      <c r="I1480" s="35">
        <f>K49</f>
        <v>3753.50632</v>
      </c>
      <c r="J1480" s="356" t="s">
        <v>793</v>
      </c>
      <c r="K1480" s="370">
        <f>(F1480*I1480)</f>
        <v>17.641479704000002</v>
      </c>
      <c r="M1480" s="461"/>
      <c r="N1480" s="368"/>
      <c r="O1480" s="356"/>
      <c r="P1480" s="370"/>
      <c r="Q1480" s="368"/>
      <c r="R1480" s="370">
        <f>SUM(R1477:R1479)</f>
        <v>2978.1800000000003</v>
      </c>
      <c r="S1480" s="461"/>
      <c r="T1480" s="368"/>
      <c r="U1480" s="356"/>
      <c r="W1480" s="361"/>
      <c r="X1480" s="370"/>
      <c r="Y1480" s="370"/>
      <c r="AG1480" s="395">
        <f t="shared" si="216"/>
        <v>0</v>
      </c>
    </row>
    <row r="1481" spans="6:33" ht="15.75">
      <c r="F1481" s="370">
        <v>0.15</v>
      </c>
      <c r="G1481" s="368" t="s">
        <v>482</v>
      </c>
      <c r="H1481" s="356" t="s">
        <v>2192</v>
      </c>
      <c r="I1481" s="35">
        <f>C10</f>
        <v>1198.8</v>
      </c>
      <c r="J1481" s="356" t="s">
        <v>482</v>
      </c>
      <c r="K1481" s="370">
        <f>(F1481*I1481)</f>
        <v>179.82</v>
      </c>
      <c r="M1481" s="461"/>
      <c r="N1481" s="368"/>
      <c r="O1481" s="367" t="s">
        <v>2180</v>
      </c>
      <c r="P1481" s="370"/>
      <c r="Q1481" s="368"/>
      <c r="R1481" s="369">
        <f>R1480/M1479</f>
        <v>5515.1481481481487</v>
      </c>
      <c r="S1481" s="461"/>
      <c r="T1481" s="368"/>
      <c r="U1481" s="356"/>
      <c r="V1481" s="370"/>
      <c r="W1481" s="357"/>
      <c r="X1481" s="369"/>
      <c r="Y1481" s="369"/>
      <c r="AG1481" s="395">
        <f t="shared" si="216"/>
        <v>0</v>
      </c>
    </row>
    <row r="1482" spans="6:33" ht="15.75">
      <c r="F1482" s="370">
        <v>0.15</v>
      </c>
      <c r="G1482" s="368" t="s">
        <v>482</v>
      </c>
      <c r="H1482" s="356" t="s">
        <v>1383</v>
      </c>
      <c r="I1482" s="35">
        <f>C12</f>
        <v>781.19999999999993</v>
      </c>
      <c r="J1482" s="356" t="s">
        <v>482</v>
      </c>
      <c r="K1482" s="370">
        <f>(F1482*I1482)</f>
        <v>117.17999999999998</v>
      </c>
      <c r="M1482" s="461"/>
      <c r="N1482" s="368"/>
      <c r="O1482" s="356"/>
      <c r="P1482" s="370"/>
      <c r="Q1482" s="368"/>
      <c r="R1482" s="370"/>
      <c r="W1482" s="361"/>
      <c r="AG1482" s="395">
        <f t="shared" si="216"/>
        <v>0</v>
      </c>
    </row>
    <row r="1483" spans="6:33" ht="19.5">
      <c r="H1483" s="356" t="s">
        <v>331</v>
      </c>
      <c r="K1483" s="35">
        <v>0</v>
      </c>
      <c r="N1483" s="358"/>
      <c r="O1483" s="546" t="s">
        <v>2200</v>
      </c>
      <c r="P1483" s="455" t="s">
        <v>2177</v>
      </c>
      <c r="Q1483" s="360"/>
      <c r="W1483" s="361"/>
      <c r="AG1483" s="395">
        <f t="shared" si="216"/>
        <v>0</v>
      </c>
    </row>
    <row r="1484" spans="6:33" ht="15.75">
      <c r="K1484" s="363" t="s">
        <v>117</v>
      </c>
      <c r="M1484" s="461">
        <v>7.01</v>
      </c>
      <c r="N1484" s="368" t="s">
        <v>480</v>
      </c>
      <c r="O1484" s="450" t="s">
        <v>2165</v>
      </c>
      <c r="P1484" s="370">
        <f>P1477</f>
        <v>325</v>
      </c>
      <c r="Q1484" s="368" t="s">
        <v>480</v>
      </c>
      <c r="R1484" s="370">
        <f>P1484*M1484</f>
        <v>2278.25</v>
      </c>
      <c r="S1484" s="36">
        <f>0.3028*0.3028</f>
        <v>9.1687840000000007E-2</v>
      </c>
      <c r="T1484" s="35">
        <f>60*S1484</f>
        <v>5.5012704000000001</v>
      </c>
      <c r="U1484" s="35">
        <f>4.58/10</f>
        <v>0.45800000000000002</v>
      </c>
      <c r="W1484" s="361"/>
      <c r="AG1484" s="395">
        <f t="shared" si="216"/>
        <v>0</v>
      </c>
    </row>
    <row r="1485" spans="6:33" ht="15.75">
      <c r="H1485" s="357" t="s">
        <v>2194</v>
      </c>
      <c r="K1485" s="370">
        <f>SUM(K1480:K1483)</f>
        <v>314.64147970399995</v>
      </c>
      <c r="M1485" s="461">
        <v>0.81</v>
      </c>
      <c r="N1485" s="368" t="s">
        <v>478</v>
      </c>
      <c r="O1485" s="356" t="s">
        <v>2126</v>
      </c>
      <c r="P1485" s="402">
        <f>P1478</f>
        <v>306.89999999999998</v>
      </c>
      <c r="Q1485" s="368" t="s">
        <v>480</v>
      </c>
      <c r="R1485" s="370">
        <f>P1485*M1485</f>
        <v>248.589</v>
      </c>
      <c r="W1485" s="361"/>
      <c r="AG1485" s="395">
        <f t="shared" si="216"/>
        <v>0</v>
      </c>
    </row>
    <row r="1486" spans="6:33" ht="15.75">
      <c r="K1486" s="363" t="s">
        <v>117</v>
      </c>
      <c r="M1486" s="461">
        <v>0.81</v>
      </c>
      <c r="N1486" s="368" t="s">
        <v>478</v>
      </c>
      <c r="O1486" s="356" t="s">
        <v>2139</v>
      </c>
      <c r="P1486" s="370">
        <f>P1479</f>
        <v>2397.6</v>
      </c>
      <c r="Q1486" s="368" t="s">
        <v>480</v>
      </c>
      <c r="R1486" s="370">
        <f>P1486*M1486</f>
        <v>1942.056</v>
      </c>
      <c r="W1486" s="361"/>
      <c r="AG1486" s="395">
        <f t="shared" si="216"/>
        <v>0</v>
      </c>
    </row>
    <row r="1487" spans="6:33" ht="15.75">
      <c r="H1487" s="372" t="s">
        <v>2195</v>
      </c>
      <c r="I1487" s="411"/>
      <c r="J1487" s="436"/>
      <c r="K1487" s="369">
        <f>K1485/6.77</f>
        <v>46.475846337370747</v>
      </c>
      <c r="M1487" s="461"/>
      <c r="N1487" s="368"/>
      <c r="O1487" s="356"/>
      <c r="P1487" s="370"/>
      <c r="Q1487" s="368"/>
      <c r="R1487" s="370">
        <f>SUM(R1484:R1486)+0.68</f>
        <v>4469.5750000000007</v>
      </c>
      <c r="W1487" s="361"/>
      <c r="AG1487" s="395">
        <f t="shared" si="216"/>
        <v>0</v>
      </c>
    </row>
    <row r="1488" spans="6:33" ht="15.75">
      <c r="K1488" s="363" t="s">
        <v>156</v>
      </c>
      <c r="M1488" s="461"/>
      <c r="N1488" s="368"/>
      <c r="O1488" s="367" t="s">
        <v>2180</v>
      </c>
      <c r="P1488" s="370"/>
      <c r="Q1488" s="368"/>
      <c r="R1488" s="369">
        <f>R1487/M1486</f>
        <v>5517.9938271604942</v>
      </c>
      <c r="W1488" s="361"/>
      <c r="AG1488" s="395">
        <f t="shared" si="216"/>
        <v>0</v>
      </c>
    </row>
    <row r="1489" spans="6:33" ht="15.75">
      <c r="K1489" s="363"/>
      <c r="N1489" s="358"/>
      <c r="O1489" s="356"/>
      <c r="Q1489" s="361"/>
      <c r="R1489" s="370"/>
      <c r="W1489" s="361"/>
      <c r="AG1489" s="395">
        <f t="shared" si="216"/>
        <v>0</v>
      </c>
    </row>
    <row r="1490" spans="6:33" ht="19.5">
      <c r="F1490" s="412">
        <v>37.1</v>
      </c>
      <c r="G1490" s="368" t="s">
        <v>122</v>
      </c>
      <c r="H1490" s="356" t="s">
        <v>2201</v>
      </c>
      <c r="N1490" s="358"/>
      <c r="O1490" s="546" t="s">
        <v>2202</v>
      </c>
      <c r="Q1490" s="360"/>
      <c r="W1490" s="361"/>
      <c r="AG1490" s="395">
        <f t="shared" si="216"/>
        <v>0</v>
      </c>
    </row>
    <row r="1491" spans="6:33" ht="15.75">
      <c r="H1491" s="363" t="s">
        <v>117</v>
      </c>
      <c r="M1491" s="461">
        <v>4.42</v>
      </c>
      <c r="N1491" s="368" t="s">
        <v>480</v>
      </c>
      <c r="O1491" s="450" t="s">
        <v>2165</v>
      </c>
      <c r="P1491" s="370">
        <f>P1460</f>
        <v>325</v>
      </c>
      <c r="Q1491" s="368" t="s">
        <v>480</v>
      </c>
      <c r="R1491" s="370">
        <f>P1491*M1491</f>
        <v>1436.5</v>
      </c>
      <c r="W1491" s="361"/>
      <c r="AG1491" s="395">
        <f t="shared" si="216"/>
        <v>0</v>
      </c>
    </row>
    <row r="1492" spans="6:33" ht="15.75">
      <c r="F1492" s="370">
        <v>0.09</v>
      </c>
      <c r="G1492" s="368" t="s">
        <v>108</v>
      </c>
      <c r="H1492" s="356" t="s">
        <v>888</v>
      </c>
      <c r="I1492" s="370">
        <f>(C84)</f>
        <v>1464.84</v>
      </c>
      <c r="J1492" s="356" t="s">
        <v>108</v>
      </c>
      <c r="K1492" s="370">
        <f>(F1492*I1492)</f>
        <v>131.8356</v>
      </c>
      <c r="M1492" s="461">
        <v>4.72</v>
      </c>
      <c r="N1492" s="368" t="s">
        <v>480</v>
      </c>
      <c r="O1492" s="450" t="s">
        <v>2165</v>
      </c>
      <c r="P1492" s="370">
        <f t="shared" ref="P1492:P1502" si="217">P1461</f>
        <v>325</v>
      </c>
      <c r="Q1492" s="368" t="s">
        <v>480</v>
      </c>
      <c r="R1492" s="370">
        <f t="shared" ref="R1492:R1502" si="218">P1492*M1492</f>
        <v>1534</v>
      </c>
      <c r="W1492" s="361"/>
      <c r="AG1492" s="395">
        <f t="shared" si="216"/>
        <v>0</v>
      </c>
    </row>
    <row r="1493" spans="6:33" ht="15.75">
      <c r="F1493" s="370">
        <v>2.2000000000000002</v>
      </c>
      <c r="G1493" s="368" t="s">
        <v>151</v>
      </c>
      <c r="H1493" s="356" t="s">
        <v>152</v>
      </c>
      <c r="I1493" s="370">
        <f>(C11)</f>
        <v>1118.3999999999999</v>
      </c>
      <c r="J1493" s="356" t="s">
        <v>151</v>
      </c>
      <c r="K1493" s="370">
        <f>(F1493*I1493)</f>
        <v>2460.48</v>
      </c>
      <c r="M1493" s="461">
        <v>9.06</v>
      </c>
      <c r="N1493" s="368" t="s">
        <v>480</v>
      </c>
      <c r="O1493" s="356" t="s">
        <v>2120</v>
      </c>
      <c r="P1493" s="370">
        <f t="shared" si="217"/>
        <v>325</v>
      </c>
      <c r="Q1493" s="368" t="s">
        <v>480</v>
      </c>
      <c r="R1493" s="370">
        <f t="shared" si="218"/>
        <v>2944.5</v>
      </c>
      <c r="W1493" s="361"/>
      <c r="AG1493" s="395">
        <f t="shared" si="216"/>
        <v>0</v>
      </c>
    </row>
    <row r="1494" spans="6:33" ht="15.75">
      <c r="F1494" s="370">
        <v>0.5</v>
      </c>
      <c r="G1494" s="368" t="s">
        <v>151</v>
      </c>
      <c r="H1494" s="356" t="s">
        <v>153</v>
      </c>
      <c r="I1494" s="370">
        <f>(C12)</f>
        <v>781.19999999999993</v>
      </c>
      <c r="J1494" s="356" t="s">
        <v>151</v>
      </c>
      <c r="K1494" s="370">
        <f>(F1494*I1494)</f>
        <v>390.59999999999997</v>
      </c>
      <c r="M1494" s="461">
        <v>1.58</v>
      </c>
      <c r="N1494" s="368" t="s">
        <v>480</v>
      </c>
      <c r="O1494" s="356" t="s">
        <v>2120</v>
      </c>
      <c r="P1494" s="370">
        <f t="shared" si="217"/>
        <v>325</v>
      </c>
      <c r="Q1494" s="368" t="s">
        <v>480</v>
      </c>
      <c r="R1494" s="370">
        <f t="shared" si="218"/>
        <v>513.5</v>
      </c>
      <c r="W1494" s="361"/>
      <c r="AG1494" s="395">
        <f t="shared" si="216"/>
        <v>0</v>
      </c>
    </row>
    <row r="1495" spans="6:33" ht="15.75">
      <c r="F1495" s="370">
        <v>3.8</v>
      </c>
      <c r="G1495" s="368" t="s">
        <v>151</v>
      </c>
      <c r="H1495" s="356" t="s">
        <v>154</v>
      </c>
      <c r="I1495" s="370">
        <f>(C13)</f>
        <v>640.79999999999995</v>
      </c>
      <c r="J1495" s="356" t="s">
        <v>151</v>
      </c>
      <c r="K1495" s="370">
        <f>(F1495*I1495)</f>
        <v>2435.0399999999995</v>
      </c>
      <c r="M1495" s="461">
        <v>1.65</v>
      </c>
      <c r="N1495" s="368" t="s">
        <v>478</v>
      </c>
      <c r="O1495" s="356" t="s">
        <v>2126</v>
      </c>
      <c r="P1495" s="370">
        <f t="shared" si="217"/>
        <v>306.89999999999998</v>
      </c>
      <c r="Q1495" s="368" t="s">
        <v>478</v>
      </c>
      <c r="R1495" s="370">
        <f t="shared" si="218"/>
        <v>506.38499999999993</v>
      </c>
      <c r="W1495" s="361"/>
      <c r="AG1495" s="395">
        <f t="shared" si="216"/>
        <v>0</v>
      </c>
    </row>
    <row r="1496" spans="6:33" ht="15.75">
      <c r="G1496" s="368" t="s">
        <v>128</v>
      </c>
      <c r="H1496" s="356" t="s">
        <v>2203</v>
      </c>
      <c r="I1496" s="356" t="s">
        <v>114</v>
      </c>
      <c r="J1496" s="356" t="s">
        <v>128</v>
      </c>
      <c r="K1496" s="370">
        <v>1.5</v>
      </c>
      <c r="M1496" s="461">
        <v>12.74</v>
      </c>
      <c r="N1496" s="368" t="s">
        <v>31</v>
      </c>
      <c r="O1496" s="356" t="str">
        <f>O1465</f>
        <v>rubber beeding P-41/64</v>
      </c>
      <c r="P1496" s="370">
        <f t="shared" si="217"/>
        <v>29.05</v>
      </c>
      <c r="Q1496" s="368" t="s">
        <v>31</v>
      </c>
      <c r="R1496" s="370">
        <f t="shared" si="218"/>
        <v>370.09700000000004</v>
      </c>
      <c r="W1496" s="361"/>
      <c r="AG1496" s="395">
        <f t="shared" si="216"/>
        <v>0</v>
      </c>
    </row>
    <row r="1497" spans="6:33" ht="15.75">
      <c r="K1497" s="363" t="s">
        <v>117</v>
      </c>
      <c r="M1497" s="461">
        <v>12</v>
      </c>
      <c r="N1497" s="368" t="s">
        <v>223</v>
      </c>
      <c r="O1497" s="356" t="str">
        <f>O1466</f>
        <v>hinges 75mm x 30 mm P-41/77 b</v>
      </c>
      <c r="P1497" s="370">
        <f t="shared" si="217"/>
        <v>71.900000000000006</v>
      </c>
      <c r="Q1497" s="368" t="s">
        <v>223</v>
      </c>
      <c r="R1497" s="370">
        <f t="shared" si="218"/>
        <v>862.80000000000007</v>
      </c>
      <c r="W1497" s="361"/>
      <c r="AG1497" s="395">
        <f t="shared" si="216"/>
        <v>0</v>
      </c>
    </row>
    <row r="1498" spans="6:33" ht="15.75">
      <c r="H1498" s="356" t="s">
        <v>1133</v>
      </c>
      <c r="K1498" s="370">
        <f>SUM(K1491:K1496)</f>
        <v>5419.4555999999993</v>
      </c>
      <c r="M1498" s="461">
        <v>6</v>
      </c>
      <c r="N1498" s="368" t="s">
        <v>223</v>
      </c>
      <c r="O1498" s="356" t="str">
        <f>O1467</f>
        <v>handle 150 mm long p-42 /80b</v>
      </c>
      <c r="P1498" s="370">
        <f t="shared" si="217"/>
        <v>57.65</v>
      </c>
      <c r="Q1498" s="368" t="s">
        <v>223</v>
      </c>
      <c r="R1498" s="370">
        <f t="shared" si="218"/>
        <v>345.9</v>
      </c>
      <c r="W1498" s="361"/>
      <c r="AG1498" s="395">
        <f t="shared" si="216"/>
        <v>0</v>
      </c>
    </row>
    <row r="1499" spans="6:33" ht="15.75">
      <c r="K1499" s="363" t="s">
        <v>117</v>
      </c>
      <c r="M1499" s="461">
        <v>6</v>
      </c>
      <c r="N1499" s="368" t="s">
        <v>223</v>
      </c>
      <c r="O1499" s="356" t="s">
        <v>2136</v>
      </c>
      <c r="P1499" s="370">
        <f t="shared" si="217"/>
        <v>30</v>
      </c>
      <c r="Q1499" s="368" t="s">
        <v>223</v>
      </c>
      <c r="R1499" s="370">
        <f t="shared" si="218"/>
        <v>180</v>
      </c>
      <c r="W1499" s="361"/>
      <c r="AG1499" s="395">
        <f t="shared" si="216"/>
        <v>0</v>
      </c>
    </row>
    <row r="1500" spans="6:33" ht="15.75">
      <c r="H1500" s="372" t="s">
        <v>177</v>
      </c>
      <c r="I1500" s="411"/>
      <c r="J1500" s="436"/>
      <c r="K1500" s="369">
        <f>(K1498/100)</f>
        <v>54.194555999999992</v>
      </c>
      <c r="M1500" s="461">
        <v>6</v>
      </c>
      <c r="N1500" s="368" t="s">
        <v>223</v>
      </c>
      <c r="O1500" s="356" t="s">
        <v>2137</v>
      </c>
      <c r="P1500" s="370">
        <f t="shared" si="217"/>
        <v>20</v>
      </c>
      <c r="Q1500" s="368" t="s">
        <v>223</v>
      </c>
      <c r="R1500" s="370">
        <f t="shared" si="218"/>
        <v>120</v>
      </c>
      <c r="W1500" s="361"/>
      <c r="AG1500" s="395">
        <f t="shared" si="216"/>
        <v>0</v>
      </c>
    </row>
    <row r="1501" spans="6:33" ht="15.75">
      <c r="K1501" s="363" t="s">
        <v>156</v>
      </c>
      <c r="M1501" s="461">
        <v>4</v>
      </c>
      <c r="N1501" s="368" t="s">
        <v>223</v>
      </c>
      <c r="O1501" s="356" t="s">
        <v>2138</v>
      </c>
      <c r="P1501" s="370">
        <f t="shared" si="217"/>
        <v>15</v>
      </c>
      <c r="Q1501" s="368" t="s">
        <v>223</v>
      </c>
      <c r="R1501" s="370">
        <f t="shared" si="218"/>
        <v>60</v>
      </c>
      <c r="W1501" s="361"/>
      <c r="AG1501" s="395">
        <f t="shared" si="216"/>
        <v>0</v>
      </c>
    </row>
    <row r="1502" spans="6:33" ht="15.75">
      <c r="F1502" s="357" t="s">
        <v>2204</v>
      </c>
      <c r="G1502" s="368" t="s">
        <v>122</v>
      </c>
      <c r="H1502" s="356" t="s">
        <v>2205</v>
      </c>
      <c r="M1502" s="461">
        <f>1.5*1.35</f>
        <v>2.0250000000000004</v>
      </c>
      <c r="N1502" s="368" t="s">
        <v>262</v>
      </c>
      <c r="O1502" s="356" t="s">
        <v>2139</v>
      </c>
      <c r="P1502" s="370">
        <f t="shared" si="217"/>
        <v>2397.6</v>
      </c>
      <c r="Q1502" s="368" t="s">
        <v>262</v>
      </c>
      <c r="R1502" s="370">
        <f t="shared" si="218"/>
        <v>4855.1400000000003</v>
      </c>
      <c r="W1502" s="361"/>
      <c r="AG1502" s="395">
        <f t="shared" si="216"/>
        <v>0</v>
      </c>
    </row>
    <row r="1503" spans="6:33" ht="15.75">
      <c r="H1503" s="356" t="s">
        <v>266</v>
      </c>
      <c r="N1503" s="358"/>
      <c r="O1503" s="356" t="s">
        <v>2141</v>
      </c>
      <c r="Q1503" s="361"/>
      <c r="R1503" s="370">
        <v>0.31</v>
      </c>
      <c r="W1503" s="361"/>
      <c r="AG1503" s="395">
        <f t="shared" si="216"/>
        <v>0</v>
      </c>
    </row>
    <row r="1504" spans="6:33" ht="15.75">
      <c r="H1504" s="356" t="s">
        <v>267</v>
      </c>
      <c r="R1504" s="369">
        <f>SUM(R1491:R1503)</f>
        <v>13729.132</v>
      </c>
      <c r="W1504" s="361"/>
      <c r="AG1504" s="395">
        <f t="shared" si="216"/>
        <v>0</v>
      </c>
    </row>
    <row r="1505" spans="6:33" ht="15.75">
      <c r="H1505" s="356" t="s">
        <v>268</v>
      </c>
      <c r="W1505" s="361"/>
      <c r="AG1505" s="395">
        <f t="shared" si="216"/>
        <v>0</v>
      </c>
    </row>
    <row r="1506" spans="6:33" ht="15.75">
      <c r="H1506" s="363" t="s">
        <v>117</v>
      </c>
      <c r="W1506" s="361"/>
      <c r="AG1506" s="395">
        <f t="shared" si="216"/>
        <v>0</v>
      </c>
    </row>
    <row r="1507" spans="6:33" ht="15.75">
      <c r="F1507" s="370">
        <v>4.8</v>
      </c>
      <c r="G1507" s="368" t="s">
        <v>213</v>
      </c>
      <c r="H1507" s="356" t="s">
        <v>2206</v>
      </c>
      <c r="I1507" s="370">
        <f>(C273)</f>
        <v>49.85</v>
      </c>
      <c r="J1507" s="356" t="s">
        <v>213</v>
      </c>
      <c r="K1507" s="370">
        <f>(F1507*I1507)</f>
        <v>239.28</v>
      </c>
      <c r="W1507" s="361"/>
      <c r="AG1507" s="395">
        <f t="shared" si="216"/>
        <v>0</v>
      </c>
    </row>
    <row r="1508" spans="6:33" ht="15.75">
      <c r="F1508" s="370">
        <v>0.75</v>
      </c>
      <c r="G1508" s="368" t="s">
        <v>151</v>
      </c>
      <c r="H1508" s="356" t="s">
        <v>270</v>
      </c>
      <c r="I1508" s="370">
        <f>(C14)</f>
        <v>956.4</v>
      </c>
      <c r="J1508" s="356" t="s">
        <v>151</v>
      </c>
      <c r="K1508" s="370">
        <f>(F1508*I1508)</f>
        <v>717.3</v>
      </c>
      <c r="W1508" s="361"/>
      <c r="AG1508" s="395">
        <f t="shared" si="216"/>
        <v>0</v>
      </c>
    </row>
    <row r="1509" spans="6:33" ht="15.75">
      <c r="F1509" s="370">
        <v>0.75</v>
      </c>
      <c r="G1509" s="368" t="s">
        <v>151</v>
      </c>
      <c r="H1509" s="356" t="s">
        <v>271</v>
      </c>
      <c r="I1509" s="370">
        <f>(C12)</f>
        <v>781.19999999999993</v>
      </c>
      <c r="J1509" s="356" t="s">
        <v>151</v>
      </c>
      <c r="K1509" s="370">
        <f>(F1509*I1509)</f>
        <v>585.9</v>
      </c>
      <c r="W1509" s="361"/>
      <c r="AG1509" s="395">
        <f t="shared" si="216"/>
        <v>0</v>
      </c>
    </row>
    <row r="1510" spans="6:33" ht="15.75">
      <c r="F1510" s="370">
        <v>1.2</v>
      </c>
      <c r="G1510" s="368" t="s">
        <v>151</v>
      </c>
      <c r="H1510" s="356" t="s">
        <v>154</v>
      </c>
      <c r="I1510" s="370">
        <f>(C13)</f>
        <v>640.79999999999995</v>
      </c>
      <c r="J1510" s="356" t="s">
        <v>151</v>
      </c>
      <c r="K1510" s="370">
        <f>(F1510*I1510)</f>
        <v>768.95999999999992</v>
      </c>
      <c r="W1510" s="361"/>
      <c r="AG1510" s="395">
        <f t="shared" si="216"/>
        <v>0</v>
      </c>
    </row>
    <row r="1511" spans="6:33" ht="15.75">
      <c r="G1511" s="368" t="s">
        <v>128</v>
      </c>
      <c r="H1511" s="356" t="s">
        <v>1131</v>
      </c>
      <c r="I1511" s="356" t="s">
        <v>114</v>
      </c>
      <c r="J1511" s="356" t="s">
        <v>128</v>
      </c>
      <c r="K1511" s="370">
        <v>1.5</v>
      </c>
      <c r="W1511" s="361"/>
      <c r="AG1511" s="395">
        <f t="shared" si="216"/>
        <v>0</v>
      </c>
    </row>
    <row r="1512" spans="6:33" ht="15.75">
      <c r="K1512" s="363" t="s">
        <v>117</v>
      </c>
      <c r="W1512" s="361"/>
      <c r="AG1512" s="395">
        <f t="shared" si="216"/>
        <v>0</v>
      </c>
    </row>
    <row r="1513" spans="6:33" ht="15.75">
      <c r="H1513" s="356" t="s">
        <v>176</v>
      </c>
      <c r="K1513" s="370">
        <f>SUM(K1507:K1511)</f>
        <v>2312.94</v>
      </c>
      <c r="W1513" s="361"/>
      <c r="AG1513" s="395">
        <f t="shared" si="216"/>
        <v>0</v>
      </c>
    </row>
    <row r="1514" spans="6:33" ht="15.75">
      <c r="K1514" s="363" t="s">
        <v>117</v>
      </c>
      <c r="W1514" s="361"/>
      <c r="AG1514" s="395">
        <f t="shared" si="216"/>
        <v>0</v>
      </c>
    </row>
    <row r="1515" spans="6:33" ht="15.75">
      <c r="H1515" s="372" t="s">
        <v>177</v>
      </c>
      <c r="I1515" s="411"/>
      <c r="J1515" s="436"/>
      <c r="K1515" s="369">
        <f>(K1513/10)</f>
        <v>231.29400000000001</v>
      </c>
      <c r="W1515" s="361"/>
      <c r="AG1515" s="395">
        <f t="shared" si="216"/>
        <v>0</v>
      </c>
    </row>
    <row r="1516" spans="6:33" ht="15.75">
      <c r="K1516" s="363" t="s">
        <v>156</v>
      </c>
      <c r="W1516" s="361"/>
      <c r="AG1516" s="395">
        <f t="shared" si="216"/>
        <v>0</v>
      </c>
    </row>
    <row r="1517" spans="6:33" ht="15.75">
      <c r="F1517" s="357" t="s">
        <v>2207</v>
      </c>
      <c r="G1517" s="368" t="s">
        <v>122</v>
      </c>
      <c r="H1517" s="357" t="s">
        <v>2208</v>
      </c>
      <c r="W1517" s="361"/>
      <c r="AG1517" s="395">
        <f t="shared" si="216"/>
        <v>0</v>
      </c>
    </row>
    <row r="1518" spans="6:33" ht="15.75">
      <c r="H1518" s="357" t="s">
        <v>1141</v>
      </c>
      <c r="M1518" s="357"/>
      <c r="N1518" s="368" t="s">
        <v>122</v>
      </c>
      <c r="O1518" s="356" t="s">
        <v>2209</v>
      </c>
      <c r="Q1518" s="360"/>
      <c r="W1518" s="361"/>
      <c r="AG1518" s="395">
        <f t="shared" si="216"/>
        <v>0</v>
      </c>
    </row>
    <row r="1519" spans="6:33" ht="15.75">
      <c r="F1519" s="370">
        <v>3.08</v>
      </c>
      <c r="G1519" s="368" t="s">
        <v>2210</v>
      </c>
      <c r="H1519" s="356" t="s">
        <v>2211</v>
      </c>
      <c r="I1519" s="370">
        <f>E273</f>
        <v>158</v>
      </c>
      <c r="J1519" s="356" t="s">
        <v>2210</v>
      </c>
      <c r="K1519" s="370">
        <f>(F1519*I1519)</f>
        <v>486.64</v>
      </c>
      <c r="N1519" s="358"/>
      <c r="O1519" s="356" t="s">
        <v>266</v>
      </c>
      <c r="Q1519" s="360"/>
      <c r="W1519" s="361"/>
      <c r="AG1519" s="395">
        <f t="shared" si="216"/>
        <v>0</v>
      </c>
    </row>
    <row r="1520" spans="6:33" ht="15.75">
      <c r="F1520" s="370">
        <v>0.5</v>
      </c>
      <c r="G1520" s="368" t="s">
        <v>482</v>
      </c>
      <c r="H1520" s="356" t="s">
        <v>2212</v>
      </c>
      <c r="I1520" s="370">
        <f>C14</f>
        <v>956.4</v>
      </c>
      <c r="J1520" s="356" t="s">
        <v>482</v>
      </c>
      <c r="K1520" s="370">
        <f>(F1520*I1520)</f>
        <v>478.2</v>
      </c>
      <c r="N1520" s="358"/>
      <c r="O1520" s="356" t="s">
        <v>267</v>
      </c>
      <c r="Q1520" s="360"/>
      <c r="W1520" s="361"/>
      <c r="AG1520" s="395">
        <f t="shared" si="216"/>
        <v>0</v>
      </c>
    </row>
    <row r="1521" spans="6:33" ht="15.75">
      <c r="F1521" s="370">
        <v>0.5</v>
      </c>
      <c r="G1521" s="368" t="s">
        <v>482</v>
      </c>
      <c r="H1521" s="356" t="s">
        <v>1383</v>
      </c>
      <c r="I1521" s="370">
        <f>C12</f>
        <v>781.19999999999993</v>
      </c>
      <c r="J1521" s="356" t="s">
        <v>482</v>
      </c>
      <c r="K1521" s="370">
        <f>(F1521*I1521)</f>
        <v>390.59999999999997</v>
      </c>
      <c r="N1521" s="358"/>
      <c r="O1521" s="356" t="s">
        <v>268</v>
      </c>
      <c r="Q1521" s="360"/>
      <c r="W1521" s="361"/>
      <c r="AG1521" s="395">
        <f t="shared" si="216"/>
        <v>0</v>
      </c>
    </row>
    <row r="1522" spans="6:33" ht="15.75">
      <c r="F1522" s="370">
        <v>0.8</v>
      </c>
      <c r="G1522" s="368" t="s">
        <v>482</v>
      </c>
      <c r="H1522" s="356" t="s">
        <v>2213</v>
      </c>
      <c r="I1522" s="370">
        <f>C13</f>
        <v>640.79999999999995</v>
      </c>
      <c r="J1522" s="356" t="s">
        <v>482</v>
      </c>
      <c r="K1522" s="370">
        <f>(F1522*I1522)</f>
        <v>512.64</v>
      </c>
      <c r="N1522" s="358"/>
      <c r="O1522" s="363" t="s">
        <v>117</v>
      </c>
      <c r="Q1522" s="360"/>
      <c r="W1522" s="361"/>
      <c r="AG1522" s="395">
        <f t="shared" si="216"/>
        <v>0</v>
      </c>
    </row>
    <row r="1523" spans="6:33" ht="15.75">
      <c r="G1523" s="368" t="s">
        <v>128</v>
      </c>
      <c r="H1523" s="356" t="s">
        <v>1131</v>
      </c>
      <c r="J1523" s="356" t="s">
        <v>128</v>
      </c>
      <c r="K1523" s="370">
        <v>1.5</v>
      </c>
      <c r="M1523" s="370">
        <v>2.1800000000000002</v>
      </c>
      <c r="N1523" s="368" t="s">
        <v>213</v>
      </c>
      <c r="O1523" s="356" t="s">
        <v>2214</v>
      </c>
      <c r="P1523" s="402">
        <v>70</v>
      </c>
      <c r="Q1523" s="356" t="s">
        <v>213</v>
      </c>
      <c r="R1523" s="370">
        <f>M1523*P1523</f>
        <v>152.60000000000002</v>
      </c>
      <c r="W1523" s="361"/>
      <c r="AG1523" s="395">
        <f t="shared" si="216"/>
        <v>0</v>
      </c>
    </row>
    <row r="1524" spans="6:33" ht="15.75">
      <c r="M1524" s="370">
        <v>0.75</v>
      </c>
      <c r="N1524" s="368" t="s">
        <v>151</v>
      </c>
      <c r="O1524" s="356" t="s">
        <v>270</v>
      </c>
      <c r="P1524" s="370">
        <f>C14</f>
        <v>956.4</v>
      </c>
      <c r="Q1524" s="356" t="s">
        <v>151</v>
      </c>
      <c r="R1524" s="370">
        <f>M1524*P1524</f>
        <v>717.3</v>
      </c>
      <c r="W1524" s="361"/>
      <c r="AG1524" s="395">
        <f t="shared" si="216"/>
        <v>0</v>
      </c>
    </row>
    <row r="1525" spans="6:33" ht="15.75">
      <c r="K1525" s="363" t="s">
        <v>117</v>
      </c>
      <c r="M1525" s="370">
        <v>0.75</v>
      </c>
      <c r="N1525" s="368" t="s">
        <v>151</v>
      </c>
      <c r="O1525" s="356" t="s">
        <v>271</v>
      </c>
      <c r="P1525" s="370">
        <f>C12</f>
        <v>781.19999999999993</v>
      </c>
      <c r="Q1525" s="356" t="s">
        <v>151</v>
      </c>
      <c r="R1525" s="370">
        <f>M1525*P1525</f>
        <v>585.9</v>
      </c>
      <c r="W1525" s="361"/>
      <c r="AG1525" s="395">
        <f t="shared" si="216"/>
        <v>0</v>
      </c>
    </row>
    <row r="1526" spans="6:33" ht="15.75">
      <c r="H1526" s="357" t="s">
        <v>2215</v>
      </c>
      <c r="K1526" s="370">
        <f>SUM(K1519:K1523)</f>
        <v>1869.58</v>
      </c>
      <c r="M1526" s="370">
        <v>1.2</v>
      </c>
      <c r="N1526" s="368" t="s">
        <v>151</v>
      </c>
      <c r="O1526" s="356" t="s">
        <v>154</v>
      </c>
      <c r="P1526" s="370">
        <f>C13</f>
        <v>640.79999999999995</v>
      </c>
      <c r="Q1526" s="356" t="s">
        <v>151</v>
      </c>
      <c r="R1526" s="370">
        <f>M1526*P1526</f>
        <v>768.95999999999992</v>
      </c>
      <c r="W1526" s="361"/>
      <c r="AG1526" s="395">
        <f t="shared" si="216"/>
        <v>0</v>
      </c>
    </row>
    <row r="1527" spans="6:33" ht="15.75">
      <c r="K1527" s="363" t="s">
        <v>117</v>
      </c>
      <c r="N1527" s="368" t="s">
        <v>128</v>
      </c>
      <c r="O1527" s="356" t="s">
        <v>1131</v>
      </c>
      <c r="P1527" s="356" t="s">
        <v>114</v>
      </c>
      <c r="Q1527" s="356" t="s">
        <v>128</v>
      </c>
      <c r="R1527" s="370">
        <v>1.5</v>
      </c>
      <c r="W1527" s="361"/>
      <c r="AG1527" s="395">
        <f t="shared" si="216"/>
        <v>0</v>
      </c>
    </row>
    <row r="1528" spans="6:33" ht="15.75">
      <c r="F1528" s="356" t="s">
        <v>114</v>
      </c>
      <c r="G1528" s="368" t="s">
        <v>114</v>
      </c>
      <c r="H1528" s="372" t="s">
        <v>2028</v>
      </c>
      <c r="I1528" s="359" t="s">
        <v>114</v>
      </c>
      <c r="J1528" s="359" t="s">
        <v>114</v>
      </c>
      <c r="K1528" s="369">
        <f>K1526/10</f>
        <v>186.958</v>
      </c>
      <c r="N1528" s="358"/>
      <c r="Q1528" s="360"/>
      <c r="R1528" s="363" t="s">
        <v>117</v>
      </c>
      <c r="W1528" s="361"/>
      <c r="AG1528" s="395">
        <f t="shared" si="216"/>
        <v>0</v>
      </c>
    </row>
    <row r="1529" spans="6:33" ht="15.75">
      <c r="K1529" s="363" t="s">
        <v>156</v>
      </c>
      <c r="N1529" s="358"/>
      <c r="O1529" s="356" t="s">
        <v>176</v>
      </c>
      <c r="Q1529" s="360"/>
      <c r="R1529" s="370">
        <f>SUM(R1523:R1527)</f>
        <v>2226.2599999999998</v>
      </c>
      <c r="W1529" s="361"/>
      <c r="AG1529" s="395">
        <f t="shared" si="216"/>
        <v>0</v>
      </c>
    </row>
    <row r="1530" spans="6:33" ht="15.75">
      <c r="F1530" s="357" t="s">
        <v>2091</v>
      </c>
      <c r="G1530" s="368" t="s">
        <v>122</v>
      </c>
      <c r="H1530" s="356" t="s">
        <v>2216</v>
      </c>
      <c r="N1530" s="358"/>
      <c r="Q1530" s="360"/>
      <c r="R1530" s="363" t="s">
        <v>117</v>
      </c>
      <c r="W1530" s="361"/>
      <c r="AG1530" s="395">
        <f t="shared" si="216"/>
        <v>0</v>
      </c>
    </row>
    <row r="1531" spans="6:33" ht="15.75">
      <c r="H1531" s="356" t="s">
        <v>256</v>
      </c>
      <c r="N1531" s="358"/>
      <c r="O1531" s="356" t="s">
        <v>177</v>
      </c>
      <c r="Q1531" s="360"/>
      <c r="R1531" s="370">
        <f>(R1529/10)</f>
        <v>222.62599999999998</v>
      </c>
      <c r="W1531" s="361"/>
      <c r="AG1531" s="395">
        <f t="shared" si="216"/>
        <v>0</v>
      </c>
    </row>
    <row r="1532" spans="6:33" ht="15.75">
      <c r="H1532" s="356" t="s">
        <v>2217</v>
      </c>
      <c r="N1532" s="358"/>
      <c r="Q1532" s="360"/>
      <c r="R1532" s="363" t="s">
        <v>156</v>
      </c>
      <c r="W1532" s="361"/>
      <c r="AG1532" s="395">
        <f t="shared" si="216"/>
        <v>0</v>
      </c>
    </row>
    <row r="1533" spans="6:33" ht="16.5">
      <c r="H1533" s="363" t="s">
        <v>117</v>
      </c>
      <c r="L1533" s="584"/>
      <c r="M1533" s="585"/>
      <c r="N1533" s="586" t="s">
        <v>2218</v>
      </c>
      <c r="O1533" s="586"/>
      <c r="P1533" s="586"/>
      <c r="Q1533" s="586"/>
      <c r="R1533" s="586"/>
      <c r="W1533" s="361"/>
      <c r="AG1533" s="395">
        <f t="shared" si="216"/>
        <v>0</v>
      </c>
    </row>
    <row r="1534" spans="6:33" ht="16.5">
      <c r="F1534" s="370">
        <v>1.44</v>
      </c>
      <c r="G1534" s="368" t="s">
        <v>274</v>
      </c>
      <c r="H1534" s="356" t="s">
        <v>2219</v>
      </c>
      <c r="I1534" s="370">
        <f>(C198)</f>
        <v>147.5</v>
      </c>
      <c r="J1534" s="356" t="s">
        <v>274</v>
      </c>
      <c r="K1534" s="370">
        <f>(F1534*I1534)</f>
        <v>212.4</v>
      </c>
      <c r="L1534" s="587"/>
      <c r="M1534" s="588"/>
      <c r="N1534" s="589"/>
      <c r="O1534" s="590" t="s">
        <v>2220</v>
      </c>
      <c r="P1534" s="591"/>
      <c r="Q1534" s="589"/>
      <c r="R1534" s="591"/>
      <c r="W1534" s="361"/>
      <c r="AG1534" s="395">
        <f t="shared" si="216"/>
        <v>0</v>
      </c>
    </row>
    <row r="1535" spans="6:33" ht="16.5">
      <c r="F1535" s="370">
        <v>0.7</v>
      </c>
      <c r="G1535" s="368" t="s">
        <v>223</v>
      </c>
      <c r="H1535" s="356" t="s">
        <v>261</v>
      </c>
      <c r="I1535" s="370">
        <f>(C14)</f>
        <v>956.4</v>
      </c>
      <c r="J1535" s="356" t="s">
        <v>223</v>
      </c>
      <c r="K1535" s="370">
        <f>(F1535*I1535)</f>
        <v>669.4799999999999</v>
      </c>
      <c r="L1535" s="587"/>
      <c r="M1535" s="588"/>
      <c r="N1535" s="589"/>
      <c r="O1535" s="592"/>
      <c r="P1535" s="591"/>
      <c r="Q1535" s="589"/>
      <c r="R1535" s="591"/>
      <c r="W1535" s="361"/>
      <c r="AG1535" s="395">
        <f t="shared" si="216"/>
        <v>0</v>
      </c>
    </row>
    <row r="1536" spans="6:33" ht="16.5">
      <c r="F1536" s="370">
        <v>2.5499999999999998</v>
      </c>
      <c r="G1536" s="368" t="s">
        <v>274</v>
      </c>
      <c r="H1536" s="356" t="s">
        <v>259</v>
      </c>
      <c r="I1536" s="370">
        <f>(C197)</f>
        <v>238.9</v>
      </c>
      <c r="J1536" s="356" t="s">
        <v>274</v>
      </c>
      <c r="K1536" s="370">
        <f>(F1536*I1536)</f>
        <v>609.19499999999994</v>
      </c>
      <c r="L1536" s="587"/>
      <c r="M1536" s="588"/>
      <c r="N1536" s="589"/>
      <c r="O1536" s="592"/>
      <c r="P1536" s="591"/>
      <c r="Q1536" s="589"/>
      <c r="R1536" s="591"/>
      <c r="W1536" s="361"/>
      <c r="AG1536" s="395">
        <f t="shared" ref="AG1536:AG1599" si="219">AI1536</f>
        <v>0</v>
      </c>
    </row>
    <row r="1537" spans="6:33" ht="16.5">
      <c r="F1537" s="370">
        <v>1.2</v>
      </c>
      <c r="G1537" s="368" t="s">
        <v>223</v>
      </c>
      <c r="H1537" s="356" t="s">
        <v>261</v>
      </c>
      <c r="I1537" s="370">
        <f>(C14)</f>
        <v>956.4</v>
      </c>
      <c r="J1537" s="356" t="s">
        <v>223</v>
      </c>
      <c r="K1537" s="370">
        <f>(F1537*I1537)</f>
        <v>1147.6799999999998</v>
      </c>
      <c r="L1537" s="587"/>
      <c r="M1537" s="588">
        <v>19.13</v>
      </c>
      <c r="N1537" s="589" t="s">
        <v>480</v>
      </c>
      <c r="O1537" s="592" t="s">
        <v>2221</v>
      </c>
      <c r="P1537" s="591">
        <f>P1491</f>
        <v>325</v>
      </c>
      <c r="Q1537" s="589" t="s">
        <v>480</v>
      </c>
      <c r="R1537" s="591">
        <f>P1537*M1537</f>
        <v>6217.25</v>
      </c>
      <c r="W1537" s="361"/>
      <c r="AG1537" s="395">
        <f t="shared" si="219"/>
        <v>0</v>
      </c>
    </row>
    <row r="1538" spans="6:33" ht="16.5">
      <c r="G1538" s="368" t="s">
        <v>128</v>
      </c>
      <c r="H1538" s="356" t="s">
        <v>283</v>
      </c>
      <c r="I1538" s="356" t="s">
        <v>114</v>
      </c>
      <c r="J1538" s="356" t="s">
        <v>128</v>
      </c>
      <c r="K1538" s="370">
        <v>1.5</v>
      </c>
      <c r="L1538" s="587"/>
      <c r="M1538" s="588">
        <v>2.97</v>
      </c>
      <c r="N1538" s="589" t="s">
        <v>478</v>
      </c>
      <c r="O1538" s="592" t="s">
        <v>2222</v>
      </c>
      <c r="P1538" s="591">
        <f>P1495</f>
        <v>306.89999999999998</v>
      </c>
      <c r="Q1538" s="589" t="s">
        <v>478</v>
      </c>
      <c r="R1538" s="591">
        <f t="shared" ref="R1538:R1543" si="220">P1538*M1538</f>
        <v>911.49299999999994</v>
      </c>
      <c r="W1538" s="361"/>
      <c r="AG1538" s="395">
        <f t="shared" si="219"/>
        <v>0</v>
      </c>
    </row>
    <row r="1539" spans="6:33" ht="16.5">
      <c r="K1539" s="363" t="s">
        <v>117</v>
      </c>
      <c r="L1539" s="587"/>
      <c r="M1539" s="588">
        <v>15.3</v>
      </c>
      <c r="N1539" s="589" t="s">
        <v>31</v>
      </c>
      <c r="O1539" s="592" t="s">
        <v>2223</v>
      </c>
      <c r="P1539" s="591">
        <f>P1496</f>
        <v>29.05</v>
      </c>
      <c r="Q1539" s="589" t="s">
        <v>31</v>
      </c>
      <c r="R1539" s="591">
        <f t="shared" si="220"/>
        <v>444.46500000000003</v>
      </c>
      <c r="W1539" s="361"/>
      <c r="AG1539" s="395">
        <f t="shared" si="219"/>
        <v>0</v>
      </c>
    </row>
    <row r="1540" spans="6:33" ht="16.5">
      <c r="H1540" s="356" t="s">
        <v>176</v>
      </c>
      <c r="K1540" s="370">
        <f>SUM(K1534:K1538)</f>
        <v>2640.2549999999997</v>
      </c>
      <c r="L1540" s="587"/>
      <c r="M1540" s="588">
        <v>3</v>
      </c>
      <c r="N1540" s="589" t="s">
        <v>2224</v>
      </c>
      <c r="O1540" s="592" t="s">
        <v>2225</v>
      </c>
      <c r="P1540" s="591">
        <f>I4011</f>
        <v>350</v>
      </c>
      <c r="Q1540" s="589" t="s">
        <v>223</v>
      </c>
      <c r="R1540" s="591">
        <f t="shared" si="220"/>
        <v>1050</v>
      </c>
      <c r="W1540" s="361"/>
      <c r="AG1540" s="395">
        <f t="shared" si="219"/>
        <v>0</v>
      </c>
    </row>
    <row r="1541" spans="6:33" ht="16.5">
      <c r="K1541" s="363" t="s">
        <v>117</v>
      </c>
      <c r="L1541" s="587"/>
      <c r="M1541" s="588">
        <v>3</v>
      </c>
      <c r="N1541" s="589" t="s">
        <v>223</v>
      </c>
      <c r="O1541" s="592" t="s">
        <v>2226</v>
      </c>
      <c r="P1541" s="591">
        <f>I4012</f>
        <v>57.65</v>
      </c>
      <c r="Q1541" s="589" t="s">
        <v>223</v>
      </c>
      <c r="R1541" s="591">
        <f t="shared" si="220"/>
        <v>172.95</v>
      </c>
      <c r="W1541" s="361"/>
      <c r="AG1541" s="395">
        <f t="shared" si="219"/>
        <v>0</v>
      </c>
    </row>
    <row r="1542" spans="6:33" ht="16.5">
      <c r="H1542" s="372" t="s">
        <v>177</v>
      </c>
      <c r="I1542" s="411"/>
      <c r="J1542" s="436"/>
      <c r="K1542" s="369">
        <f>(K1540/10)</f>
        <v>264.02549999999997</v>
      </c>
      <c r="L1542" s="587"/>
      <c r="M1542" s="588">
        <v>6</v>
      </c>
      <c r="N1542" s="589" t="s">
        <v>223</v>
      </c>
      <c r="O1542" s="592" t="s">
        <v>2227</v>
      </c>
      <c r="P1542" s="591">
        <f>I3997</f>
        <v>15</v>
      </c>
      <c r="Q1542" s="589" t="s">
        <v>223</v>
      </c>
      <c r="R1542" s="591">
        <f t="shared" si="220"/>
        <v>90</v>
      </c>
      <c r="W1542" s="361"/>
      <c r="AG1542" s="395">
        <f t="shared" si="219"/>
        <v>0</v>
      </c>
    </row>
    <row r="1543" spans="6:33" ht="16.5">
      <c r="F1543" s="356" t="s">
        <v>114</v>
      </c>
      <c r="L1543" s="587"/>
      <c r="M1543" s="588">
        <v>2.97</v>
      </c>
      <c r="N1543" s="589" t="s">
        <v>262</v>
      </c>
      <c r="O1543" s="592" t="s">
        <v>2228</v>
      </c>
      <c r="P1543" s="591">
        <f>R1554</f>
        <v>2397.6</v>
      </c>
      <c r="Q1543" s="589" t="s">
        <v>262</v>
      </c>
      <c r="R1543" s="591">
        <f t="shared" si="220"/>
        <v>7120.8720000000003</v>
      </c>
      <c r="W1543" s="361"/>
      <c r="AG1543" s="395">
        <f t="shared" si="219"/>
        <v>0</v>
      </c>
    </row>
    <row r="1544" spans="6:33" ht="16.5">
      <c r="K1544" s="363" t="s">
        <v>156</v>
      </c>
      <c r="L1544" s="587"/>
      <c r="M1544" s="588"/>
      <c r="N1544" s="589"/>
      <c r="O1544" s="592" t="s">
        <v>331</v>
      </c>
      <c r="P1544" s="585"/>
      <c r="Q1544" s="593"/>
      <c r="R1544" s="591">
        <v>3.5</v>
      </c>
      <c r="W1544" s="361"/>
      <c r="AG1544" s="395">
        <f t="shared" si="219"/>
        <v>0</v>
      </c>
    </row>
    <row r="1545" spans="6:33" ht="16.5">
      <c r="F1545" s="393">
        <v>41</v>
      </c>
      <c r="G1545" s="368" t="s">
        <v>122</v>
      </c>
      <c r="H1545" s="356" t="s">
        <v>284</v>
      </c>
      <c r="L1545" s="587"/>
      <c r="M1545" s="585"/>
      <c r="N1545" s="594"/>
      <c r="O1545" s="356" t="s">
        <v>2229</v>
      </c>
      <c r="P1545" s="585"/>
      <c r="Q1545" s="585"/>
      <c r="R1545" s="595">
        <f>SUM(R1537:R1544)</f>
        <v>16010.530000000002</v>
      </c>
      <c r="W1545" s="361"/>
      <c r="AG1545" s="395">
        <f t="shared" si="219"/>
        <v>0</v>
      </c>
    </row>
    <row r="1546" spans="6:33" ht="16.5">
      <c r="H1546" s="356" t="s">
        <v>285</v>
      </c>
      <c r="L1546" s="596"/>
      <c r="M1546" s="585"/>
      <c r="N1546" s="585"/>
      <c r="W1546" s="361"/>
      <c r="AG1546" s="395">
        <f t="shared" si="219"/>
        <v>0</v>
      </c>
    </row>
    <row r="1547" spans="6:33" ht="16.5">
      <c r="H1547" s="356" t="s">
        <v>257</v>
      </c>
      <c r="L1547" s="584"/>
      <c r="M1547" s="585"/>
      <c r="N1547" s="585"/>
      <c r="O1547" s="356" t="s">
        <v>177</v>
      </c>
      <c r="P1547" s="585"/>
      <c r="Q1547" s="585"/>
      <c r="R1547" s="597">
        <f>R1545/2.97</f>
        <v>5390.7508417508425</v>
      </c>
      <c r="S1547" s="36">
        <f>R1547-3740</f>
        <v>1650.7508417508425</v>
      </c>
      <c r="W1547" s="361"/>
      <c r="AG1547" s="395">
        <f t="shared" si="219"/>
        <v>0</v>
      </c>
    </row>
    <row r="1548" spans="6:33" ht="16.5">
      <c r="H1548" s="363" t="s">
        <v>117</v>
      </c>
      <c r="L1548" s="587"/>
      <c r="M1548" s="585"/>
      <c r="N1548" s="585"/>
      <c r="O1548" s="598"/>
      <c r="P1548" s="585"/>
      <c r="Q1548" s="585"/>
      <c r="R1548" s="585"/>
      <c r="W1548" s="361"/>
      <c r="AG1548" s="395">
        <f t="shared" si="219"/>
        <v>0</v>
      </c>
    </row>
    <row r="1549" spans="6:33" ht="16.5">
      <c r="F1549" s="370">
        <v>2.2200000000000002</v>
      </c>
      <c r="G1549" s="368" t="s">
        <v>274</v>
      </c>
      <c r="H1549" s="356" t="s">
        <v>259</v>
      </c>
      <c r="I1549" s="370">
        <f>(C209)</f>
        <v>227.6</v>
      </c>
      <c r="J1549" s="356" t="s">
        <v>274</v>
      </c>
      <c r="K1549" s="370">
        <f>(F1549*I1549)</f>
        <v>505.27200000000005</v>
      </c>
      <c r="L1549" s="587"/>
      <c r="M1549" s="591">
        <v>1</v>
      </c>
      <c r="N1549" s="589" t="s">
        <v>151</v>
      </c>
      <c r="O1549" s="592" t="s">
        <v>2230</v>
      </c>
      <c r="P1549" s="591">
        <f>AG17</f>
        <v>1057.2</v>
      </c>
      <c r="Q1549" s="592" t="s">
        <v>151</v>
      </c>
      <c r="R1549" s="591">
        <f>P1549*M1549</f>
        <v>1057.2</v>
      </c>
      <c r="W1549" s="361"/>
      <c r="AG1549" s="395">
        <f t="shared" si="219"/>
        <v>0</v>
      </c>
    </row>
    <row r="1550" spans="6:33" ht="16.5">
      <c r="F1550" s="370">
        <v>1.1000000000000001</v>
      </c>
      <c r="G1550" s="368" t="s">
        <v>223</v>
      </c>
      <c r="H1550" s="356" t="s">
        <v>261</v>
      </c>
      <c r="I1550" s="370">
        <f>(C14)</f>
        <v>956.4</v>
      </c>
      <c r="J1550" s="356" t="s">
        <v>223</v>
      </c>
      <c r="K1550" s="370">
        <f>(F1550*I1550)</f>
        <v>1052.04</v>
      </c>
      <c r="L1550" s="587"/>
      <c r="M1550" s="591">
        <v>1</v>
      </c>
      <c r="N1550" s="589" t="s">
        <v>151</v>
      </c>
      <c r="O1550" s="592" t="s">
        <v>2231</v>
      </c>
      <c r="P1550" s="591">
        <f>AG11</f>
        <v>781.19999999999993</v>
      </c>
      <c r="Q1550" s="592" t="s">
        <v>151</v>
      </c>
      <c r="R1550" s="591">
        <f>P1550*M1550</f>
        <v>781.19999999999993</v>
      </c>
      <c r="W1550" s="361"/>
      <c r="AG1550" s="395">
        <f t="shared" si="219"/>
        <v>0</v>
      </c>
    </row>
    <row r="1551" spans="6:33" ht="16.5">
      <c r="G1551" s="368" t="s">
        <v>128</v>
      </c>
      <c r="H1551" s="356" t="s">
        <v>283</v>
      </c>
      <c r="I1551" s="356" t="s">
        <v>114</v>
      </c>
      <c r="J1551" s="356" t="s">
        <v>128</v>
      </c>
      <c r="K1551" s="370">
        <v>1.5</v>
      </c>
      <c r="L1551" s="587"/>
      <c r="M1551" s="591">
        <v>0.5</v>
      </c>
      <c r="N1551" s="589" t="s">
        <v>151</v>
      </c>
      <c r="O1551" s="592" t="s">
        <v>2232</v>
      </c>
      <c r="P1551" s="591">
        <f>AG20</f>
        <v>1118.3999999999999</v>
      </c>
      <c r="Q1551" s="592" t="s">
        <v>151</v>
      </c>
      <c r="R1551" s="591">
        <f>P1551*M1551</f>
        <v>559.19999999999993</v>
      </c>
      <c r="W1551" s="361"/>
      <c r="AG1551" s="395">
        <f t="shared" si="219"/>
        <v>0</v>
      </c>
    </row>
    <row r="1552" spans="6:33" ht="16.5">
      <c r="K1552" s="363" t="s">
        <v>117</v>
      </c>
      <c r="L1552" s="587"/>
      <c r="M1552" s="585"/>
      <c r="N1552" s="594"/>
      <c r="O1552" s="585"/>
      <c r="P1552" s="585"/>
      <c r="Q1552" s="599"/>
      <c r="R1552" s="591"/>
      <c r="W1552" s="361"/>
      <c r="AG1552" s="395">
        <f t="shared" si="219"/>
        <v>0</v>
      </c>
    </row>
    <row r="1553" spans="6:33" ht="16.5">
      <c r="H1553" s="356" t="s">
        <v>176</v>
      </c>
      <c r="K1553" s="370">
        <f>SUM(K1549:K1551)</f>
        <v>1558.8119999999999</v>
      </c>
      <c r="L1553" s="587"/>
      <c r="M1553" s="585"/>
      <c r="N1553" s="594"/>
      <c r="O1553" s="592" t="s">
        <v>2233</v>
      </c>
      <c r="P1553" s="585"/>
      <c r="Q1553" s="599"/>
      <c r="R1553" s="600" t="s">
        <v>117</v>
      </c>
      <c r="W1553" s="361"/>
      <c r="AG1553" s="395">
        <f t="shared" si="219"/>
        <v>0</v>
      </c>
    </row>
    <row r="1554" spans="6:33" ht="16.5">
      <c r="K1554" s="363" t="s">
        <v>117</v>
      </c>
      <c r="L1554" s="587"/>
      <c r="M1554" s="585"/>
      <c r="N1554" s="594"/>
      <c r="O1554" s="585"/>
      <c r="P1554" s="585"/>
      <c r="Q1554" s="599"/>
      <c r="R1554" s="595">
        <f>SUM(R1549:R1553)</f>
        <v>2397.6</v>
      </c>
      <c r="W1554" s="361"/>
      <c r="AG1554" s="395">
        <f t="shared" si="219"/>
        <v>0</v>
      </c>
    </row>
    <row r="1555" spans="6:33" ht="15.75">
      <c r="H1555" s="372" t="s">
        <v>177</v>
      </c>
      <c r="I1555" s="411"/>
      <c r="J1555" s="436"/>
      <c r="K1555" s="369">
        <f>(K1553/10)</f>
        <v>155.88119999999998</v>
      </c>
      <c r="L1555" s="587"/>
      <c r="W1555" s="361"/>
      <c r="AG1555" s="395">
        <f t="shared" si="219"/>
        <v>0</v>
      </c>
    </row>
    <row r="1556" spans="6:33" ht="15.75">
      <c r="H1556" s="356"/>
      <c r="K1556" s="370"/>
      <c r="L1556" s="587"/>
      <c r="W1556" s="361"/>
      <c r="AG1556" s="395">
        <f t="shared" si="219"/>
        <v>0</v>
      </c>
    </row>
    <row r="1557" spans="6:33" ht="15.75">
      <c r="H1557" s="356"/>
      <c r="K1557" s="370"/>
      <c r="L1557" s="587"/>
      <c r="W1557" s="361"/>
      <c r="AG1557" s="395">
        <f t="shared" si="219"/>
        <v>0</v>
      </c>
    </row>
    <row r="1558" spans="6:33" ht="15.75">
      <c r="F1558" s="601">
        <v>238</v>
      </c>
      <c r="G1558" s="602" t="s">
        <v>122</v>
      </c>
      <c r="H1558" s="603" t="s">
        <v>2234</v>
      </c>
      <c r="I1558" s="604"/>
      <c r="J1558" s="605"/>
      <c r="K1558" s="604"/>
      <c r="L1558" s="587"/>
      <c r="W1558" s="361"/>
      <c r="AG1558" s="395">
        <f t="shared" si="219"/>
        <v>0</v>
      </c>
    </row>
    <row r="1559" spans="6:33" ht="15.75">
      <c r="F1559" s="606"/>
      <c r="G1559" s="607"/>
      <c r="H1559" s="608" t="s">
        <v>2235</v>
      </c>
      <c r="I1559" s="609"/>
      <c r="J1559" s="610"/>
      <c r="K1559" s="609"/>
      <c r="L1559" s="596"/>
      <c r="W1559" s="361"/>
      <c r="AG1559" s="395">
        <f t="shared" si="219"/>
        <v>0</v>
      </c>
    </row>
    <row r="1560" spans="6:33" ht="15.75">
      <c r="F1560" s="606"/>
      <c r="G1560" s="607"/>
      <c r="H1560" s="611" t="s">
        <v>117</v>
      </c>
      <c r="I1560" s="609"/>
      <c r="J1560" s="610"/>
      <c r="K1560" s="609"/>
      <c r="W1560" s="361"/>
      <c r="AG1560" s="395">
        <f t="shared" si="219"/>
        <v>0</v>
      </c>
    </row>
    <row r="1561" spans="6:33" ht="15.75">
      <c r="F1561" s="612">
        <v>20</v>
      </c>
      <c r="G1561" s="613" t="s">
        <v>274</v>
      </c>
      <c r="H1561" s="608" t="s">
        <v>2236</v>
      </c>
      <c r="I1561" s="614">
        <f>D40</f>
        <v>116.2</v>
      </c>
      <c r="J1561" s="608" t="s">
        <v>274</v>
      </c>
      <c r="K1561" s="615">
        <f>(F1561*I1561)</f>
        <v>2324</v>
      </c>
      <c r="W1561" s="361"/>
      <c r="AG1561" s="395">
        <f t="shared" si="219"/>
        <v>0</v>
      </c>
    </row>
    <row r="1562" spans="6:33" ht="15.75">
      <c r="F1562" s="606"/>
      <c r="G1562" s="607"/>
      <c r="H1562" s="608" t="s">
        <v>2237</v>
      </c>
      <c r="I1562" s="609"/>
      <c r="J1562" s="610"/>
      <c r="K1562" s="608" t="s">
        <v>114</v>
      </c>
      <c r="W1562" s="361"/>
      <c r="AG1562" s="395">
        <f t="shared" si="219"/>
        <v>0</v>
      </c>
    </row>
    <row r="1563" spans="6:33" ht="15.75">
      <c r="F1563" s="612">
        <v>50</v>
      </c>
      <c r="G1563" s="613" t="s">
        <v>213</v>
      </c>
      <c r="H1563" s="608" t="s">
        <v>125</v>
      </c>
      <c r="I1563" s="615">
        <f>C67/1000</f>
        <v>6.3721399999999999</v>
      </c>
      <c r="J1563" s="608" t="s">
        <v>213</v>
      </c>
      <c r="K1563" s="615">
        <f>(F1563*I1563)</f>
        <v>318.60699999999997</v>
      </c>
      <c r="W1563" s="361"/>
      <c r="AG1563" s="395">
        <f t="shared" si="219"/>
        <v>0</v>
      </c>
    </row>
    <row r="1564" spans="6:33" ht="15.75">
      <c r="F1564" s="612">
        <v>1</v>
      </c>
      <c r="G1564" s="613" t="s">
        <v>128</v>
      </c>
      <c r="H1564" s="608" t="s">
        <v>2238</v>
      </c>
      <c r="I1564" s="616">
        <v>75</v>
      </c>
      <c r="J1564" s="608" t="s">
        <v>128</v>
      </c>
      <c r="K1564" s="615">
        <f>(F1564*I1564)</f>
        <v>75</v>
      </c>
      <c r="W1564" s="361"/>
      <c r="AG1564" s="395">
        <f t="shared" si="219"/>
        <v>0</v>
      </c>
    </row>
    <row r="1565" spans="6:33" ht="15.75">
      <c r="F1565" s="612">
        <v>1</v>
      </c>
      <c r="G1565" s="613" t="s">
        <v>128</v>
      </c>
      <c r="H1565" s="608" t="s">
        <v>2239</v>
      </c>
      <c r="I1565" s="615">
        <f>C38</f>
        <v>40</v>
      </c>
      <c r="J1565" s="608" t="s">
        <v>128</v>
      </c>
      <c r="K1565" s="615">
        <f>(F1565*I1565)</f>
        <v>40</v>
      </c>
      <c r="W1565" s="361"/>
      <c r="AG1565" s="395">
        <f t="shared" si="219"/>
        <v>0</v>
      </c>
    </row>
    <row r="1566" spans="6:33" ht="15.75">
      <c r="F1566" s="612">
        <v>2.5</v>
      </c>
      <c r="G1566" s="613" t="s">
        <v>128</v>
      </c>
      <c r="H1566" s="608" t="s">
        <v>2240</v>
      </c>
      <c r="I1566" s="615">
        <f>D14</f>
        <v>926.4</v>
      </c>
      <c r="J1566" s="608" t="s">
        <v>128</v>
      </c>
      <c r="K1566" s="615">
        <f>(F1566*I1566)</f>
        <v>2316</v>
      </c>
      <c r="W1566" s="361"/>
      <c r="AG1566" s="395">
        <f t="shared" si="219"/>
        <v>0</v>
      </c>
    </row>
    <row r="1567" spans="6:33" ht="15.75">
      <c r="F1567" s="606"/>
      <c r="G1567" s="613" t="s">
        <v>128</v>
      </c>
      <c r="H1567" s="608" t="s">
        <v>2241</v>
      </c>
      <c r="I1567" s="609"/>
      <c r="J1567" s="608" t="s">
        <v>128</v>
      </c>
      <c r="K1567" s="617">
        <v>1.5</v>
      </c>
      <c r="W1567" s="361"/>
      <c r="AG1567" s="395">
        <f t="shared" si="219"/>
        <v>0</v>
      </c>
    </row>
    <row r="1568" spans="6:33" ht="15.75">
      <c r="F1568" s="606"/>
      <c r="G1568" s="607"/>
      <c r="H1568" s="609"/>
      <c r="I1568" s="609"/>
      <c r="J1568" s="610"/>
      <c r="K1568" s="611" t="s">
        <v>117</v>
      </c>
      <c r="W1568" s="361"/>
      <c r="AG1568" s="395">
        <f t="shared" si="219"/>
        <v>0</v>
      </c>
    </row>
    <row r="1569" spans="6:33" ht="15.75">
      <c r="F1569" s="606"/>
      <c r="G1569" s="607"/>
      <c r="H1569" s="618" t="s">
        <v>2242</v>
      </c>
      <c r="I1569" s="619"/>
      <c r="J1569" s="620"/>
      <c r="K1569" s="621">
        <f>SUM(K1561:K1567)</f>
        <v>5075.107</v>
      </c>
      <c r="W1569" s="361"/>
      <c r="AG1569" s="395">
        <f t="shared" si="219"/>
        <v>0</v>
      </c>
    </row>
    <row r="1570" spans="6:33" ht="15.75">
      <c r="F1570" s="606"/>
      <c r="G1570" s="607"/>
      <c r="H1570" s="608"/>
      <c r="I1570" s="609"/>
      <c r="J1570" s="610"/>
      <c r="K1570" s="611" t="s">
        <v>117</v>
      </c>
      <c r="W1570" s="361"/>
      <c r="AG1570" s="395">
        <f t="shared" si="219"/>
        <v>0</v>
      </c>
    </row>
    <row r="1571" spans="6:33" ht="15.75">
      <c r="F1571" s="622"/>
      <c r="G1571" s="623"/>
      <c r="H1571" s="624"/>
      <c r="I1571" s="624"/>
      <c r="J1571" s="625"/>
      <c r="K1571" s="626"/>
      <c r="W1571" s="361"/>
      <c r="AG1571" s="395">
        <f t="shared" si="219"/>
        <v>0</v>
      </c>
    </row>
    <row r="1572" spans="6:33" ht="15.75">
      <c r="F1572" s="627" t="s">
        <v>2243</v>
      </c>
      <c r="G1572" s="602" t="s">
        <v>122</v>
      </c>
      <c r="H1572" s="603" t="s">
        <v>439</v>
      </c>
      <c r="I1572" s="604"/>
      <c r="J1572" s="605"/>
      <c r="K1572" s="604"/>
      <c r="W1572" s="361"/>
      <c r="AG1572" s="395">
        <f t="shared" si="219"/>
        <v>0</v>
      </c>
    </row>
    <row r="1573" spans="6:33" ht="15.75">
      <c r="F1573" s="606"/>
      <c r="G1573" s="607"/>
      <c r="H1573" s="608" t="s">
        <v>2244</v>
      </c>
      <c r="I1573" s="609"/>
      <c r="J1573" s="610"/>
      <c r="K1573" s="609"/>
      <c r="W1573" s="361"/>
      <c r="AG1573" s="395">
        <f t="shared" si="219"/>
        <v>0</v>
      </c>
    </row>
    <row r="1574" spans="6:33" ht="15.75">
      <c r="F1574" s="606"/>
      <c r="G1574" s="607"/>
      <c r="H1574" s="611" t="s">
        <v>117</v>
      </c>
      <c r="I1574" s="609"/>
      <c r="J1574" s="610"/>
      <c r="K1574" s="609"/>
      <c r="W1574" s="361"/>
      <c r="AG1574" s="395">
        <f t="shared" si="219"/>
        <v>0</v>
      </c>
    </row>
    <row r="1575" spans="6:33" ht="15.75">
      <c r="F1575" s="612">
        <v>1</v>
      </c>
      <c r="G1575" s="613" t="s">
        <v>441</v>
      </c>
      <c r="H1575" s="608" t="s">
        <v>442</v>
      </c>
      <c r="I1575" s="615">
        <f>(C141)</f>
        <v>58332.14</v>
      </c>
      <c r="J1575" s="608" t="s">
        <v>443</v>
      </c>
      <c r="K1575" s="615">
        <f>(F1575*I1575)/10</f>
        <v>5833.2139999999999</v>
      </c>
      <c r="W1575" s="361"/>
      <c r="AG1575" s="395">
        <f t="shared" si="219"/>
        <v>0</v>
      </c>
    </row>
    <row r="1576" spans="6:33" ht="15.75">
      <c r="F1576" s="628">
        <v>0.01</v>
      </c>
      <c r="G1576" s="613" t="s">
        <v>441</v>
      </c>
      <c r="H1576" s="608" t="s">
        <v>444</v>
      </c>
      <c r="I1576" s="615">
        <f>(C145)</f>
        <v>56350</v>
      </c>
      <c r="J1576" s="608" t="s">
        <v>443</v>
      </c>
      <c r="K1576" s="615">
        <f>(F1576*I1576)/10</f>
        <v>56.35</v>
      </c>
      <c r="W1576" s="361"/>
      <c r="AG1576" s="395">
        <f t="shared" si="219"/>
        <v>0</v>
      </c>
    </row>
    <row r="1577" spans="6:33" ht="15.75">
      <c r="F1577" s="628">
        <v>3.5</v>
      </c>
      <c r="G1577" s="613" t="s">
        <v>223</v>
      </c>
      <c r="H1577" s="608" t="s">
        <v>445</v>
      </c>
      <c r="I1577" s="615">
        <f>AG38</f>
        <v>1039.2</v>
      </c>
      <c r="J1577" s="608" t="s">
        <v>194</v>
      </c>
      <c r="K1577" s="615">
        <f>(F1577*I1577)</f>
        <v>3637.2000000000003</v>
      </c>
      <c r="W1577" s="361"/>
      <c r="AG1577" s="395">
        <f t="shared" si="219"/>
        <v>0</v>
      </c>
    </row>
    <row r="1578" spans="6:33" ht="15.75">
      <c r="F1578" s="612">
        <v>1.3</v>
      </c>
      <c r="G1578" s="613" t="s">
        <v>213</v>
      </c>
      <c r="H1578" s="608" t="s">
        <v>2245</v>
      </c>
      <c r="I1578" s="615">
        <f>C67/1000</f>
        <v>6.3721399999999999</v>
      </c>
      <c r="J1578" s="608" t="s">
        <v>213</v>
      </c>
      <c r="K1578" s="615">
        <f>(F1578*I1578)</f>
        <v>8.2837820000000004</v>
      </c>
      <c r="W1578" s="361"/>
      <c r="AG1578" s="395">
        <f t="shared" si="219"/>
        <v>0</v>
      </c>
    </row>
    <row r="1579" spans="6:33" ht="15.75">
      <c r="F1579" s="612">
        <v>0.25</v>
      </c>
      <c r="G1579" s="613" t="s">
        <v>223</v>
      </c>
      <c r="H1579" s="608" t="s">
        <v>2246</v>
      </c>
      <c r="I1579" s="615">
        <f>D14</f>
        <v>926.4</v>
      </c>
      <c r="J1579" s="608" t="s">
        <v>194</v>
      </c>
      <c r="K1579" s="615">
        <f>(F1579*I1579)</f>
        <v>231.6</v>
      </c>
      <c r="W1579" s="361"/>
      <c r="AG1579" s="395">
        <f t="shared" si="219"/>
        <v>0</v>
      </c>
    </row>
    <row r="1580" spans="6:33" ht="15.75">
      <c r="F1580" s="628"/>
      <c r="G1580" s="613" t="s">
        <v>128</v>
      </c>
      <c r="H1580" s="608" t="s">
        <v>129</v>
      </c>
      <c r="I1580" s="609"/>
      <c r="J1580" s="608" t="s">
        <v>128</v>
      </c>
      <c r="K1580" s="615">
        <f>(F1580*I1580)</f>
        <v>0</v>
      </c>
      <c r="W1580" s="361"/>
      <c r="AG1580" s="395">
        <f t="shared" si="219"/>
        <v>0</v>
      </c>
    </row>
    <row r="1581" spans="6:33" ht="15.75">
      <c r="F1581" s="628"/>
      <c r="G1581" s="607"/>
      <c r="H1581" s="609"/>
      <c r="I1581" s="609"/>
      <c r="J1581" s="610"/>
      <c r="K1581" s="611" t="s">
        <v>117</v>
      </c>
      <c r="W1581" s="361"/>
      <c r="AG1581" s="395">
        <f t="shared" si="219"/>
        <v>0</v>
      </c>
    </row>
    <row r="1582" spans="6:33" ht="15.75">
      <c r="F1582" s="628"/>
      <c r="G1582" s="607"/>
      <c r="H1582" s="608" t="s">
        <v>446</v>
      </c>
      <c r="I1582" s="609"/>
      <c r="J1582" s="610"/>
      <c r="K1582" s="615">
        <f>SUM(K1575:K1580)</f>
        <v>9766.6477820000018</v>
      </c>
      <c r="W1582" s="361"/>
      <c r="AG1582" s="395">
        <f t="shared" si="219"/>
        <v>0</v>
      </c>
    </row>
    <row r="1583" spans="6:33" ht="15.75">
      <c r="F1583" s="628"/>
      <c r="G1583" s="607"/>
      <c r="H1583" s="609"/>
      <c r="I1583" s="609"/>
      <c r="J1583" s="610"/>
      <c r="K1583" s="611" t="s">
        <v>117</v>
      </c>
      <c r="W1583" s="361"/>
      <c r="AG1583" s="395">
        <f t="shared" si="219"/>
        <v>0</v>
      </c>
    </row>
    <row r="1584" spans="6:33" ht="15.75">
      <c r="F1584" s="629"/>
      <c r="G1584" s="623"/>
      <c r="H1584" s="630" t="s">
        <v>447</v>
      </c>
      <c r="I1584" s="631"/>
      <c r="J1584" s="632"/>
      <c r="K1584" s="633">
        <f>(K1582*10)</f>
        <v>97666.477820000015</v>
      </c>
      <c r="W1584" s="361"/>
      <c r="AG1584" s="395">
        <f t="shared" si="219"/>
        <v>0</v>
      </c>
    </row>
    <row r="1585" spans="6:33" ht="15.75">
      <c r="F1585" s="407"/>
      <c r="K1585" s="363"/>
      <c r="W1585" s="361"/>
      <c r="AG1585" s="395">
        <f t="shared" si="219"/>
        <v>0</v>
      </c>
    </row>
    <row r="1586" spans="6:33" ht="15.75">
      <c r="F1586" s="407"/>
      <c r="K1586" s="363"/>
      <c r="W1586" s="361"/>
      <c r="AG1586" s="395">
        <f t="shared" si="219"/>
        <v>0</v>
      </c>
    </row>
    <row r="1587" spans="6:33" ht="15.75">
      <c r="F1587" s="407"/>
      <c r="H1587" s="634" t="s">
        <v>2247</v>
      </c>
      <c r="K1587" s="363"/>
      <c r="W1587" s="361"/>
      <c r="AG1587" s="395">
        <f t="shared" si="219"/>
        <v>0</v>
      </c>
    </row>
    <row r="1588" spans="6:33" ht="15.75">
      <c r="F1588" s="370">
        <v>1</v>
      </c>
      <c r="G1588" s="368" t="s">
        <v>441</v>
      </c>
      <c r="H1588" s="356" t="s">
        <v>2248</v>
      </c>
      <c r="I1588" s="35">
        <f>C140</f>
        <v>58332.14</v>
      </c>
      <c r="J1588" s="356" t="s">
        <v>443</v>
      </c>
      <c r="K1588" s="370">
        <f>(F1588*I1588)/10</f>
        <v>5833.2139999999999</v>
      </c>
      <c r="W1588" s="361"/>
      <c r="AG1588" s="395">
        <f t="shared" si="219"/>
        <v>0</v>
      </c>
    </row>
    <row r="1589" spans="6:33" ht="15.75">
      <c r="F1589" s="407">
        <v>0.01</v>
      </c>
      <c r="G1589" s="368" t="s">
        <v>441</v>
      </c>
      <c r="H1589" s="356" t="s">
        <v>444</v>
      </c>
      <c r="I1589" s="35">
        <f>C145</f>
        <v>56350</v>
      </c>
      <c r="J1589" s="356" t="s">
        <v>443</v>
      </c>
      <c r="K1589" s="370">
        <f>(F1589*I1589)/10</f>
        <v>56.35</v>
      </c>
      <c r="W1589" s="361"/>
      <c r="AG1589" s="395">
        <f t="shared" si="219"/>
        <v>0</v>
      </c>
    </row>
    <row r="1590" spans="6:33" ht="15.75">
      <c r="F1590" s="407">
        <v>3.5</v>
      </c>
      <c r="G1590" s="368" t="s">
        <v>223</v>
      </c>
      <c r="H1590" s="356" t="s">
        <v>445</v>
      </c>
      <c r="I1590" s="35">
        <f>I1577</f>
        <v>1039.2</v>
      </c>
      <c r="J1590" s="356" t="s">
        <v>194</v>
      </c>
      <c r="K1590" s="370">
        <f>(F1590*I1590)</f>
        <v>3637.2000000000003</v>
      </c>
      <c r="W1590" s="361"/>
      <c r="AG1590" s="395">
        <f t="shared" si="219"/>
        <v>0</v>
      </c>
    </row>
    <row r="1591" spans="6:33" ht="15.75">
      <c r="F1591" s="370">
        <v>1.3</v>
      </c>
      <c r="G1591" s="368" t="s">
        <v>213</v>
      </c>
      <c r="H1591" s="356" t="s">
        <v>2245</v>
      </c>
      <c r="I1591" s="35">
        <f>C67/1000</f>
        <v>6.3721399999999999</v>
      </c>
      <c r="J1591" s="356" t="s">
        <v>213</v>
      </c>
      <c r="K1591" s="370">
        <f>(F1591*I1591)</f>
        <v>8.2837820000000004</v>
      </c>
      <c r="W1591" s="361"/>
      <c r="AG1591" s="395">
        <f t="shared" si="219"/>
        <v>0</v>
      </c>
    </row>
    <row r="1592" spans="6:33" ht="15.75">
      <c r="F1592" s="370">
        <v>0.25</v>
      </c>
      <c r="G1592" s="368" t="s">
        <v>223</v>
      </c>
      <c r="H1592" s="356" t="s">
        <v>2246</v>
      </c>
      <c r="I1592" s="35">
        <f>D14</f>
        <v>926.4</v>
      </c>
      <c r="J1592" s="356" t="s">
        <v>194</v>
      </c>
      <c r="K1592" s="370">
        <f>(F1592*I1592)</f>
        <v>231.6</v>
      </c>
      <c r="W1592" s="361"/>
      <c r="AG1592" s="395">
        <f t="shared" si="219"/>
        <v>0</v>
      </c>
    </row>
    <row r="1593" spans="6:33" ht="15.75">
      <c r="F1593" s="407"/>
      <c r="G1593" s="368" t="s">
        <v>128</v>
      </c>
      <c r="H1593" s="356" t="s">
        <v>129</v>
      </c>
      <c r="J1593" s="356" t="s">
        <v>128</v>
      </c>
      <c r="K1593" s="370">
        <f>(F1593*I1593)</f>
        <v>0</v>
      </c>
      <c r="W1593" s="361"/>
      <c r="AG1593" s="395">
        <f t="shared" si="219"/>
        <v>0</v>
      </c>
    </row>
    <row r="1594" spans="6:33" ht="15.75">
      <c r="F1594" s="407"/>
      <c r="K1594" s="363" t="s">
        <v>117</v>
      </c>
      <c r="W1594" s="361"/>
      <c r="AG1594" s="395">
        <f t="shared" si="219"/>
        <v>0</v>
      </c>
    </row>
    <row r="1595" spans="6:33" ht="15.75">
      <c r="F1595" s="407"/>
      <c r="H1595" s="356" t="s">
        <v>446</v>
      </c>
      <c r="K1595" s="370">
        <f>SUM(K1588:K1593)</f>
        <v>9766.6477820000018</v>
      </c>
      <c r="W1595" s="361"/>
      <c r="AG1595" s="395">
        <f t="shared" si="219"/>
        <v>0</v>
      </c>
    </row>
    <row r="1596" spans="6:33" ht="15.75">
      <c r="F1596" s="407"/>
      <c r="K1596" s="363" t="s">
        <v>117</v>
      </c>
      <c r="W1596" s="361"/>
      <c r="AG1596" s="395">
        <f t="shared" si="219"/>
        <v>0</v>
      </c>
    </row>
    <row r="1597" spans="6:33" ht="15.75">
      <c r="F1597" s="407" t="s">
        <v>114</v>
      </c>
      <c r="H1597" s="372" t="s">
        <v>447</v>
      </c>
      <c r="I1597" s="411"/>
      <c r="J1597" s="436"/>
      <c r="K1597" s="369">
        <f>(K1595*10)</f>
        <v>97666.477820000015</v>
      </c>
      <c r="W1597" s="361"/>
      <c r="AG1597" s="395">
        <f t="shared" si="219"/>
        <v>0</v>
      </c>
    </row>
    <row r="1598" spans="6:33" ht="15.75">
      <c r="F1598" s="407"/>
      <c r="K1598" s="363" t="s">
        <v>156</v>
      </c>
      <c r="W1598" s="361"/>
      <c r="AG1598" s="395">
        <f t="shared" si="219"/>
        <v>0</v>
      </c>
    </row>
    <row r="1599" spans="6:33" ht="15.75">
      <c r="F1599" s="407"/>
      <c r="H1599" s="356" t="s">
        <v>114</v>
      </c>
      <c r="K1599" s="356" t="s">
        <v>114</v>
      </c>
      <c r="W1599" s="361"/>
      <c r="AG1599" s="395">
        <f t="shared" si="219"/>
        <v>0</v>
      </c>
    </row>
    <row r="1600" spans="6:33" ht="15.75">
      <c r="F1600" s="432" t="s">
        <v>437</v>
      </c>
      <c r="G1600" s="368" t="s">
        <v>438</v>
      </c>
      <c r="H1600" s="356" t="s">
        <v>439</v>
      </c>
      <c r="O1600" s="411" t="s">
        <v>2249</v>
      </c>
      <c r="W1600" s="361"/>
      <c r="AG1600" s="395">
        <f t="shared" ref="AG1600:AG1663" si="221">AI1600</f>
        <v>0</v>
      </c>
    </row>
    <row r="1601" spans="6:33" ht="15.75">
      <c r="F1601" s="407"/>
      <c r="H1601" s="356" t="s">
        <v>440</v>
      </c>
      <c r="M1601" s="432" t="s">
        <v>437</v>
      </c>
      <c r="N1601" s="368" t="s">
        <v>438</v>
      </c>
      <c r="O1601" s="356" t="s">
        <v>439</v>
      </c>
      <c r="Q1601" s="360"/>
      <c r="W1601" s="361"/>
      <c r="AG1601" s="395">
        <f t="shared" si="221"/>
        <v>0</v>
      </c>
    </row>
    <row r="1602" spans="6:33" ht="15.75">
      <c r="F1602" s="407"/>
      <c r="H1602" s="363" t="s">
        <v>117</v>
      </c>
      <c r="M1602" s="407"/>
      <c r="N1602" s="358"/>
      <c r="O1602" s="356" t="s">
        <v>440</v>
      </c>
      <c r="Q1602" s="360"/>
      <c r="W1602" s="361"/>
      <c r="AG1602" s="395">
        <f t="shared" si="221"/>
        <v>0</v>
      </c>
    </row>
    <row r="1603" spans="6:33" ht="15.75">
      <c r="F1603" s="370">
        <v>1</v>
      </c>
      <c r="G1603" s="368" t="s">
        <v>441</v>
      </c>
      <c r="H1603" s="356" t="s">
        <v>442</v>
      </c>
      <c r="I1603" s="370">
        <f>(C141)</f>
        <v>58332.14</v>
      </c>
      <c r="J1603" s="356" t="s">
        <v>443</v>
      </c>
      <c r="K1603" s="370">
        <f>(F1603*I1603)/10</f>
        <v>5833.2139999999999</v>
      </c>
      <c r="L1603" s="35">
        <f>K1628+K1632</f>
        <v>393.72</v>
      </c>
      <c r="M1603" s="407"/>
      <c r="N1603" s="358"/>
      <c r="O1603" s="363" t="s">
        <v>117</v>
      </c>
      <c r="Q1603" s="360"/>
      <c r="W1603" s="361"/>
      <c r="AG1603" s="395">
        <f t="shared" si="221"/>
        <v>0</v>
      </c>
    </row>
    <row r="1604" spans="6:33" ht="15.75">
      <c r="F1604" s="407">
        <v>0.01</v>
      </c>
      <c r="G1604" s="368" t="s">
        <v>441</v>
      </c>
      <c r="H1604" s="356" t="s">
        <v>444</v>
      </c>
      <c r="I1604" s="381">
        <f>I1589</f>
        <v>56350</v>
      </c>
      <c r="J1604" s="356" t="s">
        <v>443</v>
      </c>
      <c r="K1604" s="370">
        <f>(F1604*I1604)/10</f>
        <v>56.35</v>
      </c>
      <c r="L1604" s="35">
        <f>L1603/3</f>
        <v>131.24</v>
      </c>
      <c r="M1604" s="370">
        <v>1</v>
      </c>
      <c r="N1604" s="368" t="s">
        <v>441</v>
      </c>
      <c r="O1604" s="356" t="s">
        <v>442</v>
      </c>
      <c r="P1604" s="370">
        <f>I1603</f>
        <v>58332.14</v>
      </c>
      <c r="Q1604" s="356" t="s">
        <v>443</v>
      </c>
      <c r="R1604" s="370">
        <f>(M1604*P1604)/10</f>
        <v>5833.2139999999999</v>
      </c>
      <c r="W1604" s="361"/>
      <c r="AG1604" s="395">
        <f t="shared" si="221"/>
        <v>0</v>
      </c>
    </row>
    <row r="1605" spans="6:33" ht="15.75">
      <c r="F1605" s="407">
        <v>3.5</v>
      </c>
      <c r="G1605" s="368" t="s">
        <v>223</v>
      </c>
      <c r="H1605" s="356" t="s">
        <v>445</v>
      </c>
      <c r="I1605" s="370">
        <f>AG38</f>
        <v>1039.2</v>
      </c>
      <c r="J1605" s="356" t="s">
        <v>223</v>
      </c>
      <c r="K1605" s="370">
        <f>(F1605*I1605)</f>
        <v>3637.2000000000003</v>
      </c>
      <c r="M1605" s="407">
        <v>0.01</v>
      </c>
      <c r="N1605" s="368" t="s">
        <v>441</v>
      </c>
      <c r="O1605" s="359" t="s">
        <v>2250</v>
      </c>
      <c r="P1605" s="545">
        <f>80000/112*100</f>
        <v>71428.571428571435</v>
      </c>
      <c r="Q1605" s="356" t="s">
        <v>443</v>
      </c>
      <c r="R1605" s="370">
        <f>(M1605*P1605)/10</f>
        <v>71.428571428571431</v>
      </c>
      <c r="W1605" s="361"/>
      <c r="AG1605" s="395">
        <f t="shared" si="221"/>
        <v>0</v>
      </c>
    </row>
    <row r="1606" spans="6:33" ht="15.75">
      <c r="F1606" s="407"/>
      <c r="G1606" s="368" t="s">
        <v>128</v>
      </c>
      <c r="H1606" s="356" t="s">
        <v>129</v>
      </c>
      <c r="J1606" s="356" t="s">
        <v>128</v>
      </c>
      <c r="K1606" s="370">
        <v>0</v>
      </c>
      <c r="M1606" s="407">
        <v>3.5</v>
      </c>
      <c r="N1606" s="368" t="s">
        <v>223</v>
      </c>
      <c r="O1606" s="356" t="s">
        <v>445</v>
      </c>
      <c r="P1606" s="370">
        <f>I1605</f>
        <v>1039.2</v>
      </c>
      <c r="Q1606" s="356" t="s">
        <v>223</v>
      </c>
      <c r="R1606" s="370">
        <f>(M1606*P1606)</f>
        <v>3637.2000000000003</v>
      </c>
      <c r="W1606" s="361"/>
      <c r="AG1606" s="395">
        <f t="shared" si="221"/>
        <v>0</v>
      </c>
    </row>
    <row r="1607" spans="6:33" ht="15.75">
      <c r="K1607" s="363" t="s">
        <v>117</v>
      </c>
      <c r="M1607" s="407"/>
      <c r="N1607" s="368" t="s">
        <v>128</v>
      </c>
      <c r="O1607" s="356" t="s">
        <v>129</v>
      </c>
      <c r="Q1607" s="356" t="s">
        <v>128</v>
      </c>
      <c r="R1607" s="370">
        <v>0</v>
      </c>
      <c r="W1607" s="361"/>
      <c r="AG1607" s="395">
        <f t="shared" si="221"/>
        <v>0</v>
      </c>
    </row>
    <row r="1608" spans="6:33" ht="15.75">
      <c r="H1608" s="356" t="s">
        <v>446</v>
      </c>
      <c r="K1608" s="370">
        <f>SUM(K1603:K1606)</f>
        <v>9526.764000000001</v>
      </c>
      <c r="N1608" s="358"/>
      <c r="Q1608" s="360"/>
      <c r="R1608" s="363" t="s">
        <v>117</v>
      </c>
      <c r="W1608" s="361"/>
      <c r="AG1608" s="395">
        <f t="shared" si="221"/>
        <v>0</v>
      </c>
    </row>
    <row r="1609" spans="6:33" ht="15.75">
      <c r="K1609" s="363" t="s">
        <v>117</v>
      </c>
      <c r="N1609" s="358"/>
      <c r="O1609" s="356" t="s">
        <v>446</v>
      </c>
      <c r="Q1609" s="360"/>
      <c r="R1609" s="370">
        <f>SUM(R1604:R1607)</f>
        <v>9541.8425714285713</v>
      </c>
      <c r="W1609" s="361"/>
      <c r="AG1609" s="395">
        <f t="shared" si="221"/>
        <v>0</v>
      </c>
    </row>
    <row r="1610" spans="6:33" ht="15.75">
      <c r="H1610" s="372" t="s">
        <v>447</v>
      </c>
      <c r="I1610" s="411"/>
      <c r="J1610" s="436"/>
      <c r="K1610" s="369">
        <f>(K1608*10)</f>
        <v>95267.640000000014</v>
      </c>
      <c r="N1610" s="358"/>
      <c r="Q1610" s="360"/>
      <c r="R1610" s="363" t="s">
        <v>117</v>
      </c>
      <c r="W1610" s="361"/>
      <c r="AG1610" s="395">
        <f t="shared" si="221"/>
        <v>0</v>
      </c>
    </row>
    <row r="1611" spans="6:33" ht="15.75">
      <c r="H1611" s="356" t="s">
        <v>114</v>
      </c>
      <c r="K1611" s="356" t="s">
        <v>114</v>
      </c>
      <c r="N1611" s="358"/>
      <c r="O1611" s="372" t="s">
        <v>447</v>
      </c>
      <c r="P1611" s="411"/>
      <c r="Q1611" s="436"/>
      <c r="R1611" s="369">
        <f>(R1609*10)</f>
        <v>95418.42571428571</v>
      </c>
      <c r="W1611" s="361"/>
      <c r="AG1611" s="395">
        <f t="shared" si="221"/>
        <v>0</v>
      </c>
    </row>
    <row r="1612" spans="6:33" ht="15.75">
      <c r="G1612" s="358" t="s">
        <v>431</v>
      </c>
      <c r="H1612" s="356" t="s">
        <v>439</v>
      </c>
      <c r="K1612" s="356"/>
      <c r="W1612" s="361"/>
      <c r="AG1612" s="395">
        <f t="shared" si="221"/>
        <v>0</v>
      </c>
    </row>
    <row r="1613" spans="6:33" ht="15.75">
      <c r="H1613" s="356" t="s">
        <v>2251</v>
      </c>
      <c r="K1613" s="356"/>
      <c r="N1613" s="358" t="s">
        <v>431</v>
      </c>
      <c r="O1613" s="356" t="s">
        <v>439</v>
      </c>
      <c r="Q1613" s="360"/>
      <c r="R1613" s="356"/>
      <c r="W1613" s="361"/>
      <c r="AG1613" s="395">
        <f t="shared" si="221"/>
        <v>0</v>
      </c>
    </row>
    <row r="1614" spans="6:33" ht="15.75">
      <c r="F1614" s="407"/>
      <c r="H1614" s="363" t="s">
        <v>117</v>
      </c>
      <c r="K1614" s="356"/>
      <c r="N1614" s="358"/>
      <c r="O1614" s="356" t="s">
        <v>2251</v>
      </c>
      <c r="Q1614" s="360"/>
      <c r="R1614" s="356"/>
      <c r="W1614" s="361"/>
      <c r="AG1614" s="395">
        <f t="shared" si="221"/>
        <v>0</v>
      </c>
    </row>
    <row r="1615" spans="6:33" ht="15.75">
      <c r="F1615" s="370">
        <v>1</v>
      </c>
      <c r="G1615" s="368" t="s">
        <v>441</v>
      </c>
      <c r="H1615" s="356" t="s">
        <v>2248</v>
      </c>
      <c r="I1615" s="35">
        <f>C140</f>
        <v>58332.14</v>
      </c>
      <c r="J1615" s="356" t="s">
        <v>443</v>
      </c>
      <c r="K1615" s="370">
        <f>(F1615*I1615)/10</f>
        <v>5833.2139999999999</v>
      </c>
      <c r="M1615" s="407"/>
      <c r="N1615" s="358"/>
      <c r="O1615" s="363" t="s">
        <v>117</v>
      </c>
      <c r="Q1615" s="360"/>
      <c r="R1615" s="356"/>
      <c r="W1615" s="361"/>
      <c r="AG1615" s="395">
        <f t="shared" si="221"/>
        <v>0</v>
      </c>
    </row>
    <row r="1616" spans="6:33" ht="15.75">
      <c r="F1616" s="407">
        <v>0.01</v>
      </c>
      <c r="G1616" s="368" t="s">
        <v>441</v>
      </c>
      <c r="H1616" s="356" t="s">
        <v>444</v>
      </c>
      <c r="I1616" s="35">
        <f>C145</f>
        <v>56350</v>
      </c>
      <c r="J1616" s="356" t="s">
        <v>443</v>
      </c>
      <c r="K1616" s="370">
        <f>(F1616*I1616)/10</f>
        <v>56.35</v>
      </c>
      <c r="M1616" s="370">
        <v>1</v>
      </c>
      <c r="N1616" s="368" t="s">
        <v>441</v>
      </c>
      <c r="O1616" s="356" t="s">
        <v>2248</v>
      </c>
      <c r="P1616" s="35">
        <f>I1615</f>
        <v>58332.14</v>
      </c>
      <c r="Q1616" s="356" t="s">
        <v>443</v>
      </c>
      <c r="R1616" s="370">
        <f>(M1616*P1616)/10</f>
        <v>5833.2139999999999</v>
      </c>
      <c r="W1616" s="361"/>
      <c r="AG1616" s="395">
        <f t="shared" si="221"/>
        <v>0</v>
      </c>
    </row>
    <row r="1617" spans="6:33" ht="15.75">
      <c r="F1617" s="407">
        <v>3.5</v>
      </c>
      <c r="G1617" s="368" t="s">
        <v>223</v>
      </c>
      <c r="H1617" s="356" t="s">
        <v>445</v>
      </c>
      <c r="I1617" s="35">
        <f>I1605</f>
        <v>1039.2</v>
      </c>
      <c r="J1617" s="356" t="s">
        <v>223</v>
      </c>
      <c r="K1617" s="370">
        <f>(F1617*I1617)</f>
        <v>3637.2000000000003</v>
      </c>
      <c r="M1617" s="407">
        <v>0.01</v>
      </c>
      <c r="N1617" s="368" t="s">
        <v>441</v>
      </c>
      <c r="O1617" s="359" t="str">
        <f>O1605</f>
        <v>BINDING WIRE insulated with PVC as per circular</v>
      </c>
      <c r="P1617" s="35">
        <f>P1605</f>
        <v>71428.571428571435</v>
      </c>
      <c r="Q1617" s="356" t="s">
        <v>443</v>
      </c>
      <c r="R1617" s="370">
        <f>(M1617*P1617)/10</f>
        <v>71.428571428571431</v>
      </c>
      <c r="W1617" s="361"/>
      <c r="AG1617" s="395">
        <f t="shared" si="221"/>
        <v>0</v>
      </c>
    </row>
    <row r="1618" spans="6:33" ht="15.75">
      <c r="F1618" s="407"/>
      <c r="G1618" s="368" t="s">
        <v>128</v>
      </c>
      <c r="H1618" s="356" t="s">
        <v>129</v>
      </c>
      <c r="J1618" s="356" t="s">
        <v>128</v>
      </c>
      <c r="K1618" s="370">
        <v>0</v>
      </c>
      <c r="M1618" s="407">
        <v>3.5</v>
      </c>
      <c r="N1618" s="368" t="s">
        <v>441</v>
      </c>
      <c r="O1618" s="356" t="s">
        <v>445</v>
      </c>
      <c r="P1618" s="35">
        <f>I1617</f>
        <v>1039.2</v>
      </c>
      <c r="Q1618" s="356" t="s">
        <v>223</v>
      </c>
      <c r="R1618" s="370">
        <f>(M1618*P1618)</f>
        <v>3637.2000000000003</v>
      </c>
      <c r="W1618" s="361"/>
      <c r="AG1618" s="395">
        <f t="shared" si="221"/>
        <v>0</v>
      </c>
    </row>
    <row r="1619" spans="6:33" ht="15.75">
      <c r="K1619" s="363" t="s">
        <v>117</v>
      </c>
      <c r="M1619" s="407"/>
      <c r="N1619" s="368" t="s">
        <v>441</v>
      </c>
      <c r="O1619" s="356" t="s">
        <v>129</v>
      </c>
      <c r="Q1619" s="356" t="s">
        <v>128</v>
      </c>
      <c r="R1619" s="370">
        <v>0</v>
      </c>
      <c r="W1619" s="361"/>
      <c r="AG1619" s="395">
        <f t="shared" si="221"/>
        <v>0</v>
      </c>
    </row>
    <row r="1620" spans="6:33" ht="15.75">
      <c r="H1620" s="356" t="s">
        <v>446</v>
      </c>
      <c r="K1620" s="370">
        <f>SUM(K1615:K1618)</f>
        <v>9526.764000000001</v>
      </c>
      <c r="N1620" s="358"/>
      <c r="Q1620" s="360"/>
      <c r="R1620" s="363" t="s">
        <v>117</v>
      </c>
      <c r="W1620" s="361"/>
      <c r="AG1620" s="395">
        <f t="shared" si="221"/>
        <v>0</v>
      </c>
    </row>
    <row r="1621" spans="6:33" ht="15.75">
      <c r="K1621" s="363" t="s">
        <v>117</v>
      </c>
      <c r="N1621" s="358"/>
      <c r="O1621" s="356" t="s">
        <v>446</v>
      </c>
      <c r="Q1621" s="360"/>
      <c r="R1621" s="370">
        <f>SUM(R1616:R1619)</f>
        <v>9541.8425714285713</v>
      </c>
      <c r="W1621" s="361"/>
      <c r="AG1621" s="395">
        <f t="shared" si="221"/>
        <v>0</v>
      </c>
    </row>
    <row r="1622" spans="6:33" ht="15.75">
      <c r="H1622" s="372" t="s">
        <v>447</v>
      </c>
      <c r="I1622" s="411"/>
      <c r="J1622" s="436"/>
      <c r="K1622" s="369">
        <f>(K1620*10)</f>
        <v>95267.640000000014</v>
      </c>
      <c r="N1622" s="358"/>
      <c r="Q1622" s="360"/>
      <c r="R1622" s="363" t="s">
        <v>117</v>
      </c>
      <c r="W1622" s="361"/>
      <c r="AG1622" s="395">
        <f t="shared" si="221"/>
        <v>0</v>
      </c>
    </row>
    <row r="1623" spans="6:33" ht="15.75">
      <c r="H1623" s="356" t="s">
        <v>114</v>
      </c>
      <c r="N1623" s="358"/>
      <c r="O1623" s="372" t="s">
        <v>447</v>
      </c>
      <c r="P1623" s="411"/>
      <c r="Q1623" s="436"/>
      <c r="R1623" s="369">
        <f>(R1621*10)</f>
        <v>95418.42571428571</v>
      </c>
      <c r="W1623" s="361"/>
      <c r="AG1623" s="395">
        <f t="shared" si="221"/>
        <v>0</v>
      </c>
    </row>
    <row r="1624" spans="6:33" ht="15.75">
      <c r="F1624" s="412">
        <v>44.1</v>
      </c>
      <c r="G1624" s="368" t="s">
        <v>122</v>
      </c>
      <c r="H1624" s="356" t="s">
        <v>2252</v>
      </c>
      <c r="W1624" s="361"/>
      <c r="AG1624" s="395">
        <f t="shared" si="221"/>
        <v>0</v>
      </c>
    </row>
    <row r="1625" spans="6:33" ht="15.75">
      <c r="H1625" s="356" t="s">
        <v>2253</v>
      </c>
      <c r="R1625" s="35" t="s">
        <v>620</v>
      </c>
      <c r="W1625" s="361"/>
      <c r="AG1625" s="395">
        <f t="shared" si="221"/>
        <v>0</v>
      </c>
    </row>
    <row r="1626" spans="6:33" ht="15.75">
      <c r="H1626" s="356" t="s">
        <v>2254</v>
      </c>
      <c r="M1626" s="412">
        <v>44.1</v>
      </c>
      <c r="N1626" s="368" t="s">
        <v>122</v>
      </c>
      <c r="O1626" s="356" t="s">
        <v>2252</v>
      </c>
      <c r="W1626" s="361"/>
      <c r="AG1626" s="395">
        <f t="shared" si="221"/>
        <v>0</v>
      </c>
    </row>
    <row r="1627" spans="6:33" ht="15.75">
      <c r="H1627" s="363" t="s">
        <v>117</v>
      </c>
      <c r="N1627" s="358"/>
      <c r="O1627" s="356" t="s">
        <v>2253</v>
      </c>
      <c r="W1627" s="361"/>
      <c r="AG1627" s="395">
        <f t="shared" si="221"/>
        <v>0</v>
      </c>
    </row>
    <row r="1628" spans="6:33" ht="15.75">
      <c r="F1628" s="370">
        <v>3</v>
      </c>
      <c r="G1628" s="368" t="s">
        <v>110</v>
      </c>
      <c r="H1628" s="356" t="s">
        <v>2255</v>
      </c>
      <c r="I1628" s="370">
        <f>D622</f>
        <v>120.54</v>
      </c>
      <c r="J1628" s="356" t="s">
        <v>110</v>
      </c>
      <c r="K1628" s="370">
        <f t="shared" ref="K1628:K1633" si="222">(F1628*I1628)</f>
        <v>361.62</v>
      </c>
      <c r="N1628" s="358"/>
      <c r="O1628" s="356" t="s">
        <v>2254</v>
      </c>
      <c r="W1628" s="361"/>
      <c r="AG1628" s="395">
        <f t="shared" si="221"/>
        <v>0</v>
      </c>
    </row>
    <row r="1629" spans="6:33" ht="15.75">
      <c r="F1629" s="370">
        <v>1</v>
      </c>
      <c r="G1629" s="368" t="s">
        <v>151</v>
      </c>
      <c r="H1629" s="356" t="s">
        <v>2256</v>
      </c>
      <c r="I1629" s="493">
        <f>(C625)</f>
        <v>76</v>
      </c>
      <c r="J1629" s="356" t="s">
        <v>151</v>
      </c>
      <c r="K1629" s="370">
        <f t="shared" si="222"/>
        <v>76</v>
      </c>
      <c r="N1629" s="358"/>
      <c r="O1629" s="363" t="s">
        <v>117</v>
      </c>
      <c r="W1629" s="361"/>
      <c r="AG1629" s="395">
        <f t="shared" si="221"/>
        <v>0</v>
      </c>
    </row>
    <row r="1630" spans="6:33" ht="15.75">
      <c r="F1630" s="370">
        <v>1</v>
      </c>
      <c r="G1630" s="368" t="s">
        <v>151</v>
      </c>
      <c r="H1630" s="356" t="s">
        <v>2257</v>
      </c>
      <c r="I1630" s="370">
        <f>(C628)</f>
        <v>83.4</v>
      </c>
      <c r="J1630" s="356" t="s">
        <v>151</v>
      </c>
      <c r="K1630" s="370">
        <f t="shared" si="222"/>
        <v>83.4</v>
      </c>
      <c r="M1630" s="370">
        <v>3</v>
      </c>
      <c r="N1630" s="368" t="s">
        <v>110</v>
      </c>
      <c r="O1630" s="356" t="s">
        <v>2255</v>
      </c>
      <c r="P1630" s="35">
        <f>I1628</f>
        <v>120.54</v>
      </c>
      <c r="Q1630" s="35" t="str">
        <f>J1630</f>
        <v>NO.</v>
      </c>
      <c r="R1630" s="35">
        <f t="shared" ref="R1630:R1635" si="223">P1630*M1630</f>
        <v>361.62</v>
      </c>
      <c r="W1630" s="361"/>
      <c r="AG1630" s="395">
        <f t="shared" si="221"/>
        <v>0</v>
      </c>
    </row>
    <row r="1631" spans="6:33" ht="15.75">
      <c r="F1631" s="370">
        <v>2</v>
      </c>
      <c r="G1631" s="368" t="s">
        <v>151</v>
      </c>
      <c r="H1631" s="356" t="s">
        <v>2258</v>
      </c>
      <c r="I1631" s="370">
        <f>C599</f>
        <v>21.6</v>
      </c>
      <c r="J1631" s="356" t="s">
        <v>151</v>
      </c>
      <c r="K1631" s="370">
        <f t="shared" si="222"/>
        <v>43.2</v>
      </c>
      <c r="M1631" s="370">
        <v>1</v>
      </c>
      <c r="N1631" s="368" t="s">
        <v>151</v>
      </c>
      <c r="O1631" s="356" t="s">
        <v>2256</v>
      </c>
      <c r="P1631" s="465">
        <v>76.78</v>
      </c>
      <c r="Q1631" s="35" t="str">
        <f>J1631</f>
        <v>NO.</v>
      </c>
      <c r="R1631" s="35">
        <f t="shared" si="223"/>
        <v>76.78</v>
      </c>
      <c r="W1631" s="361"/>
      <c r="AG1631" s="395">
        <f t="shared" si="221"/>
        <v>0</v>
      </c>
    </row>
    <row r="1632" spans="6:33" ht="15.75">
      <c r="F1632" s="370">
        <v>1</v>
      </c>
      <c r="G1632" s="368" t="s">
        <v>151</v>
      </c>
      <c r="H1632" s="356" t="s">
        <v>2259</v>
      </c>
      <c r="I1632" s="370">
        <f>(C698)</f>
        <v>32.1</v>
      </c>
      <c r="J1632" s="356" t="s">
        <v>151</v>
      </c>
      <c r="K1632" s="370">
        <f t="shared" si="222"/>
        <v>32.1</v>
      </c>
      <c r="M1632" s="370">
        <v>1</v>
      </c>
      <c r="N1632" s="368" t="s">
        <v>151</v>
      </c>
      <c r="O1632" s="356" t="s">
        <v>2257</v>
      </c>
      <c r="P1632" s="35">
        <f>I1630</f>
        <v>83.4</v>
      </c>
      <c r="Q1632" s="35" t="str">
        <f>J1632</f>
        <v>NO.</v>
      </c>
      <c r="R1632" s="35">
        <f t="shared" si="223"/>
        <v>83.4</v>
      </c>
      <c r="W1632" s="361"/>
      <c r="AG1632" s="395">
        <f t="shared" si="221"/>
        <v>0</v>
      </c>
    </row>
    <row r="1633" spans="6:33" ht="15.75">
      <c r="F1633" s="370">
        <v>0.5</v>
      </c>
      <c r="G1633" s="368" t="s">
        <v>151</v>
      </c>
      <c r="H1633" s="356" t="s">
        <v>187</v>
      </c>
      <c r="I1633" s="370">
        <f>(C15)</f>
        <v>1039.2</v>
      </c>
      <c r="J1633" s="356" t="s">
        <v>151</v>
      </c>
      <c r="K1633" s="370">
        <f t="shared" si="222"/>
        <v>519.6</v>
      </c>
      <c r="M1633" s="369">
        <v>2</v>
      </c>
      <c r="N1633" s="454" t="s">
        <v>1896</v>
      </c>
      <c r="O1633" s="635" t="s">
        <v>2260</v>
      </c>
      <c r="P1633" s="465">
        <v>12</v>
      </c>
      <c r="Q1633" s="35" t="str">
        <f>J1633</f>
        <v>NO.</v>
      </c>
      <c r="R1633" s="35">
        <f t="shared" si="223"/>
        <v>24</v>
      </c>
      <c r="W1633" s="361"/>
      <c r="AG1633" s="395">
        <f t="shared" si="221"/>
        <v>0</v>
      </c>
    </row>
    <row r="1634" spans="6:33" ht="15.75">
      <c r="G1634" s="368" t="s">
        <v>128</v>
      </c>
      <c r="H1634" s="356" t="s">
        <v>2261</v>
      </c>
      <c r="J1634" s="356" t="s">
        <v>128</v>
      </c>
      <c r="K1634" s="370"/>
      <c r="M1634" s="370">
        <v>1</v>
      </c>
      <c r="N1634" s="636" t="s">
        <v>1896</v>
      </c>
      <c r="O1634" s="356" t="s">
        <v>2259</v>
      </c>
      <c r="P1634" s="35">
        <f>I1632</f>
        <v>32.1</v>
      </c>
      <c r="Q1634" s="35" t="str">
        <f>J1634</f>
        <v>L.S</v>
      </c>
      <c r="R1634" s="35">
        <f t="shared" si="223"/>
        <v>32.1</v>
      </c>
      <c r="W1634" s="361"/>
      <c r="AG1634" s="395">
        <f t="shared" si="221"/>
        <v>0</v>
      </c>
    </row>
    <row r="1635" spans="6:33" ht="15.75">
      <c r="H1635" s="356" t="s">
        <v>2262</v>
      </c>
      <c r="M1635" s="370">
        <v>0.5</v>
      </c>
      <c r="N1635" s="636" t="s">
        <v>1896</v>
      </c>
      <c r="O1635" s="356" t="s">
        <v>187</v>
      </c>
      <c r="P1635" s="35">
        <f>I1633</f>
        <v>1039.2</v>
      </c>
      <c r="R1635" s="35">
        <f t="shared" si="223"/>
        <v>519.6</v>
      </c>
      <c r="W1635" s="361"/>
      <c r="AG1635" s="395">
        <f t="shared" si="221"/>
        <v>0</v>
      </c>
    </row>
    <row r="1636" spans="6:33" ht="15.75">
      <c r="K1636" s="363" t="s">
        <v>117</v>
      </c>
      <c r="N1636" s="636" t="s">
        <v>1896</v>
      </c>
      <c r="O1636" s="356" t="s">
        <v>2261</v>
      </c>
      <c r="P1636" s="35">
        <f>I1636</f>
        <v>0</v>
      </c>
      <c r="W1636" s="361"/>
      <c r="AG1636" s="395">
        <f t="shared" si="221"/>
        <v>0</v>
      </c>
    </row>
    <row r="1637" spans="6:33" ht="15.75">
      <c r="H1637" s="356" t="s">
        <v>252</v>
      </c>
      <c r="K1637" s="370">
        <f>SUM(K1628:K1634)</f>
        <v>1115.92</v>
      </c>
      <c r="O1637" s="356" t="s">
        <v>2262</v>
      </c>
      <c r="R1637" s="35">
        <f>26.98+4.7</f>
        <v>31.68</v>
      </c>
      <c r="W1637" s="361"/>
      <c r="AG1637" s="395">
        <f t="shared" si="221"/>
        <v>0</v>
      </c>
    </row>
    <row r="1638" spans="6:33" ht="15.75">
      <c r="F1638" s="356" t="s">
        <v>114</v>
      </c>
      <c r="W1638" s="361"/>
      <c r="AG1638" s="395">
        <f t="shared" si="221"/>
        <v>0</v>
      </c>
    </row>
    <row r="1639" spans="6:33" ht="15.75">
      <c r="K1639" s="363" t="s">
        <v>117</v>
      </c>
      <c r="O1639" s="356" t="s">
        <v>252</v>
      </c>
      <c r="R1639" s="411">
        <f>SUM(R1630:R1638)</f>
        <v>1129.18</v>
      </c>
      <c r="W1639" s="361"/>
      <c r="AG1639" s="395">
        <f t="shared" si="221"/>
        <v>0</v>
      </c>
    </row>
    <row r="1640" spans="6:33" ht="15.75">
      <c r="H1640" s="372" t="s">
        <v>253</v>
      </c>
      <c r="I1640" s="411"/>
      <c r="J1640" s="436"/>
      <c r="K1640" s="369">
        <f>(K1637/3)</f>
        <v>371.97333333333336</v>
      </c>
      <c r="W1640" s="361"/>
      <c r="AG1640" s="395">
        <f t="shared" si="221"/>
        <v>0</v>
      </c>
    </row>
    <row r="1641" spans="6:33" ht="15.75">
      <c r="H1641" s="356"/>
      <c r="K1641" s="363" t="s">
        <v>156</v>
      </c>
      <c r="N1641" s="358"/>
      <c r="Q1641" s="360"/>
      <c r="R1641" s="363" t="s">
        <v>117</v>
      </c>
      <c r="W1641" s="361"/>
      <c r="AG1641" s="395">
        <f t="shared" si="221"/>
        <v>0</v>
      </c>
    </row>
    <row r="1642" spans="6:33" ht="15.75">
      <c r="F1642" s="357" t="s">
        <v>2263</v>
      </c>
      <c r="H1642" s="356" t="s">
        <v>2264</v>
      </c>
      <c r="N1642" s="358"/>
      <c r="O1642" s="372" t="s">
        <v>253</v>
      </c>
      <c r="P1642" s="411"/>
      <c r="Q1642" s="436"/>
      <c r="R1642" s="369">
        <f>(R1639/3)</f>
        <v>376.39333333333337</v>
      </c>
      <c r="S1642" s="36">
        <f>310*3</f>
        <v>930</v>
      </c>
      <c r="T1642" s="35">
        <f>S1642-R1639</f>
        <v>-199.18000000000006</v>
      </c>
      <c r="W1642" s="361"/>
      <c r="AG1642" s="395">
        <f t="shared" si="221"/>
        <v>0</v>
      </c>
    </row>
    <row r="1643" spans="6:33" ht="15.75">
      <c r="H1643" s="356" t="s">
        <v>2265</v>
      </c>
      <c r="N1643" s="358"/>
      <c r="O1643" s="356"/>
      <c r="Q1643" s="360"/>
      <c r="R1643" s="363" t="s">
        <v>156</v>
      </c>
      <c r="W1643" s="361"/>
      <c r="AG1643" s="395">
        <f t="shared" si="221"/>
        <v>0</v>
      </c>
    </row>
    <row r="1644" spans="6:33" ht="15.75">
      <c r="H1644" s="356" t="s">
        <v>2266</v>
      </c>
      <c r="W1644" s="361"/>
      <c r="AG1644" s="395">
        <f t="shared" si="221"/>
        <v>0</v>
      </c>
    </row>
    <row r="1645" spans="6:33" ht="15.75">
      <c r="H1645" s="363" t="s">
        <v>117</v>
      </c>
      <c r="W1645" s="361"/>
      <c r="AG1645" s="395">
        <f t="shared" si="221"/>
        <v>0</v>
      </c>
    </row>
    <row r="1646" spans="6:33" ht="15.75">
      <c r="F1646" s="370">
        <v>0.15</v>
      </c>
      <c r="G1646" s="368" t="s">
        <v>108</v>
      </c>
      <c r="H1646" s="356" t="s">
        <v>2267</v>
      </c>
      <c r="I1646" s="370">
        <f>(C70)</f>
        <v>1163.9499999999998</v>
      </c>
      <c r="J1646" s="356" t="s">
        <v>108</v>
      </c>
      <c r="K1646" s="370">
        <f>(F1646*I1646)</f>
        <v>174.59249999999997</v>
      </c>
      <c r="W1646" s="361"/>
      <c r="AG1646" s="395">
        <f t="shared" si="221"/>
        <v>0</v>
      </c>
    </row>
    <row r="1647" spans="6:33" ht="15.75">
      <c r="F1647" s="461">
        <v>8.6499999999999994E-2</v>
      </c>
      <c r="G1647" s="368" t="s">
        <v>124</v>
      </c>
      <c r="H1647" s="356" t="s">
        <v>125</v>
      </c>
      <c r="I1647" s="370">
        <f>(C67)</f>
        <v>6372.14</v>
      </c>
      <c r="J1647" s="356" t="s">
        <v>124</v>
      </c>
      <c r="K1647" s="370">
        <f>(F1647*I1647)</f>
        <v>551.19011</v>
      </c>
      <c r="W1647" s="361"/>
      <c r="AG1647" s="395">
        <f t="shared" si="221"/>
        <v>0</v>
      </c>
    </row>
    <row r="1648" spans="6:33" ht="15.75">
      <c r="F1648" s="370">
        <v>1.6</v>
      </c>
      <c r="G1648" s="368" t="s">
        <v>223</v>
      </c>
      <c r="H1648" s="356" t="s">
        <v>162</v>
      </c>
      <c r="I1648" s="370">
        <f>(C10)</f>
        <v>1198.8</v>
      </c>
      <c r="J1648" s="356" t="s">
        <v>223</v>
      </c>
      <c r="K1648" s="370">
        <f>(F1648*I1648)</f>
        <v>1918.08</v>
      </c>
      <c r="W1648" s="361"/>
      <c r="AG1648" s="395">
        <f t="shared" si="221"/>
        <v>0</v>
      </c>
    </row>
    <row r="1649" spans="6:33" ht="15.75">
      <c r="F1649" s="370">
        <v>0.5</v>
      </c>
      <c r="G1649" s="368" t="s">
        <v>223</v>
      </c>
      <c r="H1649" s="356" t="s">
        <v>153</v>
      </c>
      <c r="I1649" s="370">
        <f>(C12)</f>
        <v>781.19999999999993</v>
      </c>
      <c r="J1649" s="356" t="s">
        <v>223</v>
      </c>
      <c r="K1649" s="370">
        <f>(F1649*I1649)</f>
        <v>390.59999999999997</v>
      </c>
      <c r="W1649" s="361"/>
      <c r="AG1649" s="395">
        <f t="shared" si="221"/>
        <v>0</v>
      </c>
    </row>
    <row r="1650" spans="6:33" ht="15.75">
      <c r="F1650" s="370">
        <v>1.1000000000000001</v>
      </c>
      <c r="G1650" s="368" t="s">
        <v>223</v>
      </c>
      <c r="H1650" s="356" t="s">
        <v>154</v>
      </c>
      <c r="I1650" s="370">
        <f>(C13)</f>
        <v>640.79999999999995</v>
      </c>
      <c r="J1650" s="356" t="s">
        <v>223</v>
      </c>
      <c r="K1650" s="370">
        <f>(F1650*I1650)</f>
        <v>704.88</v>
      </c>
      <c r="W1650" s="361"/>
      <c r="AG1650" s="395">
        <f t="shared" si="221"/>
        <v>0</v>
      </c>
    </row>
    <row r="1651" spans="6:33" ht="15.75">
      <c r="G1651" s="368" t="s">
        <v>128</v>
      </c>
      <c r="H1651" s="356" t="s">
        <v>129</v>
      </c>
      <c r="I1651" s="356" t="s">
        <v>114</v>
      </c>
      <c r="J1651" s="356" t="s">
        <v>128</v>
      </c>
      <c r="K1651" s="370">
        <v>0</v>
      </c>
      <c r="W1651" s="361"/>
      <c r="AG1651" s="395">
        <f t="shared" si="221"/>
        <v>0</v>
      </c>
    </row>
    <row r="1652" spans="6:33" ht="15.75">
      <c r="K1652" s="363" t="s">
        <v>117</v>
      </c>
      <c r="W1652" s="361"/>
      <c r="AG1652" s="395">
        <f t="shared" si="221"/>
        <v>0</v>
      </c>
    </row>
    <row r="1653" spans="6:33" ht="15.75">
      <c r="H1653" s="356" t="s">
        <v>176</v>
      </c>
      <c r="K1653" s="370">
        <f>SUM(K1646:K1651)</f>
        <v>3739.3426100000001</v>
      </c>
      <c r="W1653" s="361"/>
      <c r="AG1653" s="395">
        <f t="shared" si="221"/>
        <v>0</v>
      </c>
    </row>
    <row r="1654" spans="6:33" ht="15.75">
      <c r="K1654" s="363" t="s">
        <v>117</v>
      </c>
      <c r="W1654" s="361"/>
      <c r="AG1654" s="395">
        <f t="shared" si="221"/>
        <v>0</v>
      </c>
    </row>
    <row r="1655" spans="6:33" ht="15.75">
      <c r="H1655" s="372" t="s">
        <v>177</v>
      </c>
      <c r="I1655" s="411"/>
      <c r="J1655" s="436"/>
      <c r="K1655" s="369">
        <f>(K1653/10)</f>
        <v>373.93426099999999</v>
      </c>
      <c r="W1655" s="361"/>
      <c r="AG1655" s="395">
        <f t="shared" si="221"/>
        <v>0</v>
      </c>
    </row>
    <row r="1656" spans="6:33" ht="15.75">
      <c r="K1656" s="363" t="s">
        <v>156</v>
      </c>
      <c r="W1656" s="361"/>
      <c r="AG1656" s="395">
        <f t="shared" si="221"/>
        <v>0</v>
      </c>
    </row>
    <row r="1657" spans="6:33" ht="15.75">
      <c r="F1657" s="357" t="s">
        <v>2268</v>
      </c>
      <c r="G1657" s="368" t="s">
        <v>122</v>
      </c>
      <c r="H1657" s="356" t="s">
        <v>2269</v>
      </c>
      <c r="W1657" s="361"/>
      <c r="AG1657" s="395">
        <f t="shared" si="221"/>
        <v>0</v>
      </c>
    </row>
    <row r="1658" spans="6:33" ht="15.75">
      <c r="H1658" s="356" t="s">
        <v>2270</v>
      </c>
      <c r="W1658" s="361"/>
      <c r="AG1658" s="395">
        <f t="shared" si="221"/>
        <v>0</v>
      </c>
    </row>
    <row r="1659" spans="6:33" ht="15.75">
      <c r="H1659" s="356" t="s">
        <v>2271</v>
      </c>
      <c r="J1659" s="356" t="s">
        <v>114</v>
      </c>
      <c r="W1659" s="361"/>
      <c r="AG1659" s="395">
        <f t="shared" si="221"/>
        <v>0</v>
      </c>
    </row>
    <row r="1660" spans="6:33" ht="15.75">
      <c r="H1660" s="356" t="s">
        <v>2272</v>
      </c>
      <c r="W1660" s="361"/>
      <c r="AG1660" s="395">
        <f t="shared" si="221"/>
        <v>0</v>
      </c>
    </row>
    <row r="1661" spans="6:33" ht="15.75">
      <c r="H1661" s="356" t="s">
        <v>2273</v>
      </c>
      <c r="W1661" s="361"/>
      <c r="AG1661" s="395">
        <f t="shared" si="221"/>
        <v>0</v>
      </c>
    </row>
    <row r="1662" spans="6:33" ht="15.75">
      <c r="H1662" s="356" t="s">
        <v>2274</v>
      </c>
      <c r="W1662" s="361"/>
      <c r="AG1662" s="395">
        <f t="shared" si="221"/>
        <v>0</v>
      </c>
    </row>
    <row r="1663" spans="6:33" ht="15.75">
      <c r="H1663" s="356" t="s">
        <v>2275</v>
      </c>
      <c r="W1663" s="361"/>
      <c r="AG1663" s="395">
        <f t="shared" si="221"/>
        <v>0</v>
      </c>
    </row>
    <row r="1664" spans="6:33" ht="15.75">
      <c r="H1664" s="356" t="s">
        <v>2276</v>
      </c>
      <c r="W1664" s="361"/>
      <c r="AG1664" s="395">
        <f t="shared" ref="AG1664:AG1697" si="224">AI1664</f>
        <v>0</v>
      </c>
    </row>
    <row r="1665" spans="6:33" ht="15.75">
      <c r="H1665" s="356" t="s">
        <v>2277</v>
      </c>
      <c r="W1665" s="361"/>
      <c r="AG1665" s="395">
        <f t="shared" si="224"/>
        <v>0</v>
      </c>
    </row>
    <row r="1666" spans="6:33" ht="15.75">
      <c r="H1666" s="363" t="s">
        <v>156</v>
      </c>
      <c r="W1666" s="361"/>
      <c r="AG1666" s="395">
        <f t="shared" si="224"/>
        <v>0</v>
      </c>
    </row>
    <row r="1667" spans="6:33" ht="15.75">
      <c r="W1667" s="361"/>
      <c r="AG1667" s="395">
        <f t="shared" si="224"/>
        <v>0</v>
      </c>
    </row>
    <row r="1668" spans="6:33" ht="15.75">
      <c r="F1668" s="370">
        <v>1</v>
      </c>
      <c r="G1668" s="368" t="s">
        <v>31</v>
      </c>
      <c r="H1668" s="356" t="s">
        <v>2278</v>
      </c>
      <c r="I1668" s="507">
        <v>45.72</v>
      </c>
      <c r="J1668" s="356" t="s">
        <v>31</v>
      </c>
      <c r="K1668" s="370">
        <f>(F1668*I1668)</f>
        <v>45.72</v>
      </c>
      <c r="W1668" s="361"/>
      <c r="AG1668" s="395">
        <f t="shared" si="224"/>
        <v>0</v>
      </c>
    </row>
    <row r="1669" spans="6:33" ht="15.75">
      <c r="F1669" s="370">
        <v>1</v>
      </c>
      <c r="G1669" s="368" t="s">
        <v>2279</v>
      </c>
      <c r="H1669" s="356" t="s">
        <v>2280</v>
      </c>
      <c r="I1669" s="507">
        <v>5</v>
      </c>
      <c r="J1669" s="356" t="s">
        <v>2279</v>
      </c>
      <c r="K1669" s="370">
        <f>(F1669*I1669)</f>
        <v>5</v>
      </c>
      <c r="W1669" s="361"/>
      <c r="AG1669" s="395">
        <f t="shared" si="224"/>
        <v>0</v>
      </c>
    </row>
    <row r="1670" spans="6:33" ht="15.75">
      <c r="G1670" s="368" t="s">
        <v>128</v>
      </c>
      <c r="H1670" s="356" t="s">
        <v>2281</v>
      </c>
      <c r="J1670" s="356" t="s">
        <v>128</v>
      </c>
      <c r="K1670" s="370">
        <v>7.28</v>
      </c>
      <c r="W1670" s="361"/>
      <c r="AG1670" s="395">
        <f t="shared" si="224"/>
        <v>0</v>
      </c>
    </row>
    <row r="1671" spans="6:33" ht="15.75">
      <c r="K1671" s="363" t="s">
        <v>117</v>
      </c>
      <c r="W1671" s="361"/>
      <c r="AG1671" s="395">
        <f t="shared" si="224"/>
        <v>0</v>
      </c>
    </row>
    <row r="1672" spans="6:33" ht="15.75">
      <c r="H1672" s="357" t="s">
        <v>2282</v>
      </c>
      <c r="K1672" s="370">
        <f>SUM(K1668:K1670)</f>
        <v>58</v>
      </c>
      <c r="W1672" s="361"/>
      <c r="AG1672" s="395">
        <f t="shared" si="224"/>
        <v>0</v>
      </c>
    </row>
    <row r="1673" spans="6:33" ht="15.75">
      <c r="K1673" s="363" t="s">
        <v>156</v>
      </c>
      <c r="W1673" s="361"/>
      <c r="AG1673" s="395">
        <f t="shared" si="224"/>
        <v>0</v>
      </c>
    </row>
    <row r="1674" spans="6:33" ht="15.75">
      <c r="F1674" s="357" t="s">
        <v>2283</v>
      </c>
      <c r="G1674" s="368" t="s">
        <v>122</v>
      </c>
      <c r="H1674" s="356" t="s">
        <v>2284</v>
      </c>
      <c r="W1674" s="361"/>
      <c r="AG1674" s="395">
        <f t="shared" si="224"/>
        <v>0</v>
      </c>
    </row>
    <row r="1675" spans="6:33" ht="15.75">
      <c r="H1675" s="356" t="s">
        <v>2285</v>
      </c>
      <c r="W1675" s="361"/>
      <c r="AG1675" s="395">
        <f t="shared" si="224"/>
        <v>0</v>
      </c>
    </row>
    <row r="1676" spans="6:33" ht="15.75">
      <c r="H1676" s="356" t="s">
        <v>2286</v>
      </c>
      <c r="W1676" s="361"/>
      <c r="AG1676" s="395">
        <f t="shared" si="224"/>
        <v>0</v>
      </c>
    </row>
    <row r="1677" spans="6:33" ht="15.75">
      <c r="H1677" s="356" t="s">
        <v>2287</v>
      </c>
      <c r="W1677" s="361"/>
      <c r="AG1677" s="395">
        <f t="shared" si="224"/>
        <v>0</v>
      </c>
    </row>
    <row r="1678" spans="6:33" ht="15.75">
      <c r="H1678" s="356" t="s">
        <v>2288</v>
      </c>
      <c r="W1678" s="361"/>
      <c r="AG1678" s="395">
        <f t="shared" si="224"/>
        <v>0</v>
      </c>
    </row>
    <row r="1679" spans="6:33" ht="15.75">
      <c r="H1679" s="363" t="s">
        <v>117</v>
      </c>
      <c r="I1679" s="363" t="s">
        <v>117</v>
      </c>
      <c r="W1679" s="361"/>
      <c r="AG1679" s="395">
        <f t="shared" si="224"/>
        <v>0</v>
      </c>
    </row>
    <row r="1680" spans="6:33" ht="15.75">
      <c r="F1680" s="370">
        <v>1</v>
      </c>
      <c r="G1680" s="368" t="s">
        <v>454</v>
      </c>
      <c r="H1680" s="356" t="s">
        <v>2289</v>
      </c>
      <c r="I1680" s="507">
        <v>85</v>
      </c>
      <c r="J1680" s="356" t="s">
        <v>194</v>
      </c>
      <c r="K1680" s="370">
        <f>(F1680*I1680)</f>
        <v>85</v>
      </c>
      <c r="W1680" s="361"/>
      <c r="AG1680" s="395">
        <f t="shared" si="224"/>
        <v>0</v>
      </c>
    </row>
    <row r="1681" spans="6:33" ht="15.75">
      <c r="G1681" s="368" t="s">
        <v>128</v>
      </c>
      <c r="H1681" s="356" t="s">
        <v>2290</v>
      </c>
      <c r="J1681" s="356" t="s">
        <v>128</v>
      </c>
      <c r="K1681" s="370">
        <v>7.5</v>
      </c>
      <c r="W1681" s="361"/>
      <c r="AG1681" s="395">
        <f t="shared" si="224"/>
        <v>0</v>
      </c>
    </row>
    <row r="1682" spans="6:33" ht="15.75">
      <c r="G1682" s="368" t="s">
        <v>128</v>
      </c>
      <c r="H1682" s="356" t="s">
        <v>2291</v>
      </c>
      <c r="J1682" s="356" t="s">
        <v>128</v>
      </c>
      <c r="K1682" s="370">
        <f>1.75+0.75</f>
        <v>2.5</v>
      </c>
      <c r="W1682" s="361"/>
      <c r="AG1682" s="395">
        <f t="shared" si="224"/>
        <v>0</v>
      </c>
    </row>
    <row r="1683" spans="6:33" ht="15.75">
      <c r="H1683" s="356" t="s">
        <v>2292</v>
      </c>
      <c r="K1683" s="363" t="s">
        <v>117</v>
      </c>
      <c r="W1683" s="361"/>
      <c r="AG1683" s="395">
        <f t="shared" si="224"/>
        <v>0</v>
      </c>
    </row>
    <row r="1684" spans="6:33" ht="15.75">
      <c r="H1684" s="357" t="s">
        <v>2282</v>
      </c>
      <c r="K1684" s="370">
        <f>SUM(K1680:K1682)</f>
        <v>95</v>
      </c>
      <c r="W1684" s="361"/>
      <c r="AG1684" s="395">
        <f t="shared" si="224"/>
        <v>0</v>
      </c>
    </row>
    <row r="1685" spans="6:33" ht="15.75">
      <c r="K1685" s="363" t="s">
        <v>156</v>
      </c>
      <c r="W1685" s="361"/>
      <c r="AG1685" s="395">
        <f t="shared" si="224"/>
        <v>0</v>
      </c>
    </row>
    <row r="1686" spans="6:33" ht="15.75">
      <c r="F1686" s="357" t="s">
        <v>2293</v>
      </c>
      <c r="G1686" s="368" t="s">
        <v>122</v>
      </c>
      <c r="H1686" s="356" t="s">
        <v>2294</v>
      </c>
      <c r="W1686" s="361"/>
      <c r="AG1686" s="395">
        <f t="shared" si="224"/>
        <v>0</v>
      </c>
    </row>
    <row r="1687" spans="6:33" ht="15.75">
      <c r="H1687" s="356" t="s">
        <v>2295</v>
      </c>
      <c r="K1687" s="356" t="s">
        <v>114</v>
      </c>
      <c r="W1687" s="361"/>
      <c r="AG1687" s="395">
        <f t="shared" si="224"/>
        <v>0</v>
      </c>
    </row>
    <row r="1688" spans="6:33" ht="15.75">
      <c r="H1688" s="363" t="s">
        <v>117</v>
      </c>
      <c r="W1688" s="361"/>
      <c r="AG1688" s="395">
        <f t="shared" si="224"/>
        <v>0</v>
      </c>
    </row>
    <row r="1689" spans="6:33" ht="15.75">
      <c r="F1689" s="370">
        <v>1</v>
      </c>
      <c r="G1689" s="368" t="s">
        <v>454</v>
      </c>
      <c r="H1689" s="356" t="s">
        <v>2296</v>
      </c>
      <c r="I1689" s="507">
        <v>50</v>
      </c>
      <c r="J1689" s="356" t="s">
        <v>194</v>
      </c>
      <c r="K1689" s="370">
        <f>(F1689*I1689)</f>
        <v>50</v>
      </c>
      <c r="W1689" s="361"/>
      <c r="AG1689" s="395">
        <f t="shared" si="224"/>
        <v>0</v>
      </c>
    </row>
    <row r="1690" spans="6:33" ht="15.75">
      <c r="G1690" s="368" t="s">
        <v>128</v>
      </c>
      <c r="H1690" s="356" t="s">
        <v>2297</v>
      </c>
      <c r="J1690" s="356" t="s">
        <v>128</v>
      </c>
      <c r="K1690" s="370">
        <v>5</v>
      </c>
      <c r="W1690" s="361"/>
      <c r="AG1690" s="395">
        <f t="shared" si="224"/>
        <v>0</v>
      </c>
    </row>
    <row r="1691" spans="6:33" ht="15.75">
      <c r="K1691" s="363" t="s">
        <v>117</v>
      </c>
      <c r="W1691" s="361"/>
      <c r="AG1691" s="395">
        <f t="shared" si="224"/>
        <v>0</v>
      </c>
    </row>
    <row r="1692" spans="6:33" ht="15.75">
      <c r="H1692" s="357" t="s">
        <v>2298</v>
      </c>
      <c r="K1692" s="370">
        <f>SUM(K1688:K1690)</f>
        <v>55</v>
      </c>
      <c r="W1692" s="361"/>
      <c r="AG1692" s="395">
        <f t="shared" si="224"/>
        <v>0</v>
      </c>
    </row>
    <row r="1693" spans="6:33" ht="15.75">
      <c r="K1693" s="363" t="s">
        <v>156</v>
      </c>
      <c r="W1693" s="361"/>
      <c r="AG1693" s="395">
        <f t="shared" si="224"/>
        <v>0</v>
      </c>
    </row>
    <row r="1694" spans="6:33" ht="15.75">
      <c r="F1694" s="357" t="s">
        <v>2299</v>
      </c>
      <c r="G1694" s="368" t="s">
        <v>122</v>
      </c>
      <c r="H1694" s="356" t="s">
        <v>2300</v>
      </c>
      <c r="W1694" s="361"/>
      <c r="AG1694" s="395">
        <f t="shared" si="224"/>
        <v>0</v>
      </c>
    </row>
    <row r="1695" spans="6:33" ht="15.75">
      <c r="H1695" s="363" t="s">
        <v>117</v>
      </c>
      <c r="I1695" s="363" t="s">
        <v>117</v>
      </c>
      <c r="W1695" s="361"/>
      <c r="AG1695" s="395">
        <f t="shared" si="224"/>
        <v>0</v>
      </c>
    </row>
    <row r="1696" spans="6:33" ht="15.75">
      <c r="F1696" s="370">
        <v>1</v>
      </c>
      <c r="G1696" s="368" t="s">
        <v>454</v>
      </c>
      <c r="H1696" s="356" t="s">
        <v>2301</v>
      </c>
      <c r="I1696" s="507">
        <v>1.2</v>
      </c>
      <c r="J1696" s="356" t="s">
        <v>194</v>
      </c>
      <c r="K1696" s="370">
        <f>(F1696*I1696)</f>
        <v>1.2</v>
      </c>
      <c r="W1696" s="361"/>
      <c r="AG1696" s="395">
        <f t="shared" si="224"/>
        <v>0</v>
      </c>
    </row>
    <row r="1697" spans="6:33" ht="15.75">
      <c r="G1697" s="368" t="s">
        <v>128</v>
      </c>
      <c r="H1697" s="356" t="s">
        <v>2297</v>
      </c>
      <c r="J1697" s="356" t="s">
        <v>128</v>
      </c>
      <c r="K1697" s="370">
        <f>K1696*0.25</f>
        <v>0.3</v>
      </c>
      <c r="W1697" s="361"/>
      <c r="AG1697" s="395">
        <f t="shared" si="224"/>
        <v>0</v>
      </c>
    </row>
    <row r="1698" spans="6:33" ht="15">
      <c r="K1698" s="363" t="s">
        <v>117</v>
      </c>
      <c r="W1698" s="361"/>
    </row>
    <row r="1699" spans="6:33" ht="15">
      <c r="H1699" s="357" t="s">
        <v>2298</v>
      </c>
      <c r="K1699" s="370">
        <f>SUM(K1694:K1697)</f>
        <v>1.5</v>
      </c>
      <c r="W1699" s="361"/>
    </row>
    <row r="1700" spans="6:33" ht="15">
      <c r="F1700" s="356" t="s">
        <v>114</v>
      </c>
      <c r="K1700" s="363" t="s">
        <v>117</v>
      </c>
      <c r="W1700" s="361"/>
    </row>
    <row r="1701" spans="6:33" ht="15">
      <c r="F1701" s="412">
        <v>50.1</v>
      </c>
      <c r="G1701" s="368" t="s">
        <v>122</v>
      </c>
      <c r="H1701" s="356" t="s">
        <v>2302</v>
      </c>
      <c r="W1701" s="361"/>
    </row>
    <row r="1702" spans="6:33" ht="15">
      <c r="H1702" s="356" t="s">
        <v>2303</v>
      </c>
      <c r="W1702" s="361"/>
    </row>
    <row r="1703" spans="6:33" ht="15">
      <c r="H1703" s="356" t="s">
        <v>2304</v>
      </c>
      <c r="W1703" s="361"/>
    </row>
    <row r="1704" spans="6:33" ht="15">
      <c r="H1704" s="356" t="s">
        <v>2305</v>
      </c>
      <c r="W1704" s="361"/>
    </row>
    <row r="1705" spans="6:33" ht="15">
      <c r="H1705" s="356" t="s">
        <v>2306</v>
      </c>
      <c r="W1705" s="361"/>
    </row>
    <row r="1706" spans="6:33" ht="15">
      <c r="H1706" s="363" t="s">
        <v>117</v>
      </c>
      <c r="I1706" s="363" t="s">
        <v>117</v>
      </c>
      <c r="W1706" s="361"/>
    </row>
    <row r="1707" spans="6:33" ht="15">
      <c r="F1707" s="370">
        <v>9</v>
      </c>
      <c r="G1707" s="368" t="s">
        <v>793</v>
      </c>
      <c r="H1707" s="356" t="s">
        <v>2307</v>
      </c>
      <c r="I1707" s="370">
        <f>C73</f>
        <v>1879.28</v>
      </c>
      <c r="J1707" s="356" t="s">
        <v>793</v>
      </c>
      <c r="K1707" s="370">
        <f>(F1707*I1707)</f>
        <v>16913.52</v>
      </c>
      <c r="W1707" s="361"/>
    </row>
    <row r="1708" spans="6:33" ht="15">
      <c r="F1708" s="370">
        <v>4.5</v>
      </c>
      <c r="G1708" s="368" t="s">
        <v>793</v>
      </c>
      <c r="H1708" s="356" t="s">
        <v>2308</v>
      </c>
      <c r="I1708" s="370">
        <f>K32</f>
        <v>4976.9571999999998</v>
      </c>
      <c r="J1708" s="356" t="s">
        <v>793</v>
      </c>
      <c r="K1708" s="370">
        <f>(F1708*I1708)</f>
        <v>22396.307399999998</v>
      </c>
      <c r="W1708" s="361"/>
    </row>
    <row r="1709" spans="6:33" ht="15">
      <c r="F1709" s="370">
        <v>1.8</v>
      </c>
      <c r="G1709" s="368" t="s">
        <v>482</v>
      </c>
      <c r="H1709" s="356" t="s">
        <v>2309</v>
      </c>
      <c r="I1709" s="370">
        <f>C11</f>
        <v>1118.3999999999999</v>
      </c>
      <c r="J1709" s="356" t="s">
        <v>194</v>
      </c>
      <c r="K1709" s="370">
        <f>(F1709*I1709)</f>
        <v>2013.12</v>
      </c>
      <c r="W1709" s="361"/>
    </row>
    <row r="1710" spans="6:33" ht="15">
      <c r="F1710" s="370">
        <v>17.7</v>
      </c>
      <c r="G1710" s="368" t="s">
        <v>482</v>
      </c>
      <c r="H1710" s="356" t="s">
        <v>1383</v>
      </c>
      <c r="I1710" s="370">
        <f>C12</f>
        <v>781.19999999999993</v>
      </c>
      <c r="J1710" s="356" t="s">
        <v>194</v>
      </c>
      <c r="K1710" s="370">
        <f>(F1710*I1710)</f>
        <v>13827.239999999998</v>
      </c>
      <c r="W1710" s="361"/>
    </row>
    <row r="1711" spans="6:33" ht="15">
      <c r="F1711" s="370">
        <v>14.1</v>
      </c>
      <c r="G1711" s="368" t="s">
        <v>482</v>
      </c>
      <c r="H1711" s="356" t="s">
        <v>2213</v>
      </c>
      <c r="I1711" s="370">
        <f>C13</f>
        <v>640.79999999999995</v>
      </c>
      <c r="J1711" s="356" t="s">
        <v>194</v>
      </c>
      <c r="K1711" s="370">
        <f>(F1711*I1711)</f>
        <v>9035.2799999999988</v>
      </c>
      <c r="W1711" s="361"/>
    </row>
    <row r="1712" spans="6:33" ht="15">
      <c r="K1712" s="363" t="s">
        <v>117</v>
      </c>
      <c r="W1712" s="361"/>
    </row>
    <row r="1713" spans="6:23" ht="15">
      <c r="H1713" s="357" t="s">
        <v>2310</v>
      </c>
      <c r="K1713" s="370">
        <f>SUM(K1707:K1711)</f>
        <v>64185.467399999994</v>
      </c>
      <c r="W1713" s="361"/>
    </row>
    <row r="1714" spans="6:23" ht="15">
      <c r="K1714" s="363" t="s">
        <v>117</v>
      </c>
      <c r="W1714" s="361"/>
    </row>
    <row r="1715" spans="6:23" ht="15.75">
      <c r="H1715" s="357" t="s">
        <v>2311</v>
      </c>
      <c r="K1715" s="369">
        <f>(K1713/10)</f>
        <v>6418.5467399999998</v>
      </c>
      <c r="W1715" s="361"/>
    </row>
    <row r="1716" spans="6:23" ht="15">
      <c r="K1716" s="363" t="s">
        <v>156</v>
      </c>
      <c r="W1716" s="361"/>
    </row>
    <row r="1717" spans="6:23" ht="15">
      <c r="W1717" s="361"/>
    </row>
    <row r="1718" spans="6:23" ht="15">
      <c r="G1718" s="368" t="s">
        <v>932</v>
      </c>
      <c r="H1718" s="356" t="s">
        <v>2312</v>
      </c>
      <c r="W1718" s="361"/>
    </row>
    <row r="1719" spans="6:23" ht="15.75">
      <c r="H1719" s="356" t="s">
        <v>2313</v>
      </c>
      <c r="W1719" s="361"/>
    </row>
    <row r="1720" spans="6:23" ht="15">
      <c r="H1720" s="363" t="s">
        <v>117</v>
      </c>
      <c r="I1720" s="363" t="s">
        <v>117</v>
      </c>
      <c r="W1720" s="361"/>
    </row>
    <row r="1721" spans="6:23" ht="15">
      <c r="W1721" s="361"/>
    </row>
    <row r="1722" spans="6:23" ht="15">
      <c r="F1722" s="407">
        <v>0.314</v>
      </c>
      <c r="G1722" s="368" t="s">
        <v>793</v>
      </c>
      <c r="H1722" s="356" t="s">
        <v>2314</v>
      </c>
      <c r="I1722" s="370">
        <f>K1715</f>
        <v>6418.5467399999998</v>
      </c>
      <c r="J1722" s="356" t="s">
        <v>793</v>
      </c>
      <c r="K1722" s="370">
        <f>(F1722*I1722)</f>
        <v>2015.4236763599999</v>
      </c>
      <c r="W1722" s="361"/>
    </row>
    <row r="1723" spans="6:23" ht="15.75">
      <c r="F1723" s="370">
        <v>18</v>
      </c>
      <c r="G1723" s="368" t="s">
        <v>482</v>
      </c>
      <c r="H1723" s="414" t="s">
        <v>2315</v>
      </c>
      <c r="I1723" s="493">
        <v>41.87</v>
      </c>
      <c r="J1723" s="356" t="s">
        <v>194</v>
      </c>
      <c r="K1723" s="370">
        <f>(F1723*I1723)</f>
        <v>753.66</v>
      </c>
      <c r="W1723" s="361"/>
    </row>
    <row r="1724" spans="6:23" ht="15">
      <c r="F1724" s="370">
        <v>18</v>
      </c>
      <c r="G1724" s="368" t="s">
        <v>482</v>
      </c>
      <c r="H1724" s="356" t="s">
        <v>2316</v>
      </c>
      <c r="I1724" s="370">
        <v>1</v>
      </c>
      <c r="J1724" s="356" t="s">
        <v>194</v>
      </c>
      <c r="K1724" s="370">
        <f>(F1724*I1724)</f>
        <v>18</v>
      </c>
      <c r="W1724" s="361"/>
    </row>
    <row r="1725" spans="6:23" ht="15">
      <c r="F1725" s="370">
        <v>18</v>
      </c>
      <c r="G1725" s="368" t="s">
        <v>482</v>
      </c>
      <c r="H1725" s="356" t="s">
        <v>2317</v>
      </c>
      <c r="I1725" s="370">
        <v>2</v>
      </c>
      <c r="J1725" s="356" t="s">
        <v>194</v>
      </c>
      <c r="K1725" s="370">
        <f>(F1725*I1725)</f>
        <v>36</v>
      </c>
      <c r="W1725" s="361"/>
    </row>
    <row r="1726" spans="6:23" ht="15">
      <c r="K1726" s="363" t="s">
        <v>117</v>
      </c>
      <c r="W1726" s="361"/>
    </row>
    <row r="1727" spans="6:23" ht="15">
      <c r="H1727" s="357" t="s">
        <v>2318</v>
      </c>
      <c r="K1727" s="370">
        <f>SUM(K1721:K1725)</f>
        <v>2823.08367636</v>
      </c>
      <c r="W1727" s="361"/>
    </row>
    <row r="1728" spans="6:23" ht="15">
      <c r="K1728" s="363" t="s">
        <v>117</v>
      </c>
      <c r="W1728" s="361"/>
    </row>
    <row r="1729" spans="6:23" ht="15.75">
      <c r="H1729" s="357" t="s">
        <v>2319</v>
      </c>
      <c r="K1729" s="369">
        <f>(K1727/6.28)</f>
        <v>449.53561725477704</v>
      </c>
      <c r="W1729" s="361"/>
    </row>
    <row r="1730" spans="6:23" ht="15">
      <c r="K1730" s="363" t="s">
        <v>156</v>
      </c>
      <c r="W1730" s="361"/>
    </row>
    <row r="1731" spans="6:23" ht="15">
      <c r="F1731" s="356" t="s">
        <v>114</v>
      </c>
      <c r="H1731" s="356" t="s">
        <v>2320</v>
      </c>
      <c r="W1731" s="361"/>
    </row>
    <row r="1732" spans="6:23" ht="15">
      <c r="H1732" s="363" t="s">
        <v>117</v>
      </c>
      <c r="W1732" s="361"/>
    </row>
    <row r="1733" spans="6:23" ht="15">
      <c r="F1733" s="407">
        <v>0.01</v>
      </c>
      <c r="G1733" s="368" t="s">
        <v>793</v>
      </c>
      <c r="H1733" s="356" t="s">
        <v>2314</v>
      </c>
      <c r="I1733" s="370">
        <f>K1715</f>
        <v>6418.5467399999998</v>
      </c>
      <c r="J1733" s="356" t="s">
        <v>793</v>
      </c>
      <c r="K1733" s="370">
        <f>ROUND(F1733*I1733,2)</f>
        <v>64.19</v>
      </c>
      <c r="W1733" s="361"/>
    </row>
    <row r="1734" spans="6:23" ht="15">
      <c r="F1734" s="370">
        <v>0.01</v>
      </c>
      <c r="G1734" s="368" t="s">
        <v>405</v>
      </c>
      <c r="H1734" s="356" t="s">
        <v>2321</v>
      </c>
      <c r="I1734" s="498" t="s">
        <v>265</v>
      </c>
      <c r="K1734" s="370">
        <v>1.2</v>
      </c>
      <c r="W1734" s="361"/>
    </row>
    <row r="1735" spans="6:23" ht="15">
      <c r="I1735" s="471"/>
      <c r="K1735" s="363" t="s">
        <v>117</v>
      </c>
      <c r="W1735" s="361"/>
    </row>
    <row r="1736" spans="6:23" ht="15">
      <c r="H1736" s="357" t="s">
        <v>2322</v>
      </c>
      <c r="K1736" s="370">
        <f>SUM(K1730:K1734)</f>
        <v>65.39</v>
      </c>
      <c r="W1736" s="361"/>
    </row>
    <row r="1737" spans="6:23" ht="15">
      <c r="K1737" s="363" t="s">
        <v>117</v>
      </c>
      <c r="W1737" s="361"/>
    </row>
    <row r="1738" spans="6:23" ht="15">
      <c r="H1738" s="357" t="s">
        <v>2323</v>
      </c>
      <c r="K1738" s="370">
        <f>K1736/0.01</f>
        <v>6539</v>
      </c>
      <c r="W1738" s="361"/>
    </row>
    <row r="1739" spans="6:23" ht="15">
      <c r="K1739" s="363" t="s">
        <v>156</v>
      </c>
      <c r="W1739" s="361"/>
    </row>
    <row r="1740" spans="6:23" ht="15">
      <c r="F1740" s="357" t="s">
        <v>2324</v>
      </c>
      <c r="G1740" s="368" t="s">
        <v>932</v>
      </c>
      <c r="H1740" s="356" t="s">
        <v>2312</v>
      </c>
      <c r="W1740" s="361"/>
    </row>
    <row r="1741" spans="6:23" ht="15.75">
      <c r="H1741" s="359" t="s">
        <v>2325</v>
      </c>
      <c r="W1741" s="361"/>
    </row>
    <row r="1742" spans="6:23" ht="15">
      <c r="H1742" s="363" t="s">
        <v>117</v>
      </c>
      <c r="I1742" s="363" t="s">
        <v>117</v>
      </c>
      <c r="W1742" s="361"/>
    </row>
    <row r="1743" spans="6:23" ht="15">
      <c r="F1743" s="407">
        <v>0.40500000000000003</v>
      </c>
      <c r="G1743" s="368" t="s">
        <v>793</v>
      </c>
      <c r="H1743" s="356" t="s">
        <v>2314</v>
      </c>
      <c r="I1743" s="370">
        <f>K1738</f>
        <v>6539</v>
      </c>
      <c r="J1743" s="356" t="s">
        <v>793</v>
      </c>
      <c r="K1743" s="370">
        <f>(F1743*I1743)</f>
        <v>2648.2950000000001</v>
      </c>
      <c r="W1743" s="361"/>
    </row>
    <row r="1744" spans="6:23" ht="15">
      <c r="F1744" s="356" t="s">
        <v>114</v>
      </c>
      <c r="G1744" s="368" t="s">
        <v>114</v>
      </c>
      <c r="H1744" s="356" t="s">
        <v>2326</v>
      </c>
      <c r="I1744" s="498" t="s">
        <v>265</v>
      </c>
      <c r="K1744" s="356" t="s">
        <v>114</v>
      </c>
      <c r="W1744" s="361"/>
    </row>
    <row r="1745" spans="6:23" ht="15">
      <c r="K1745" s="363" t="s">
        <v>117</v>
      </c>
      <c r="W1745" s="361"/>
    </row>
    <row r="1746" spans="6:23" ht="15">
      <c r="H1746" s="357" t="s">
        <v>2327</v>
      </c>
      <c r="K1746" s="370">
        <f>SUM(K1740:K1744)</f>
        <v>2648.2950000000001</v>
      </c>
      <c r="W1746" s="361"/>
    </row>
    <row r="1747" spans="6:23" ht="15">
      <c r="K1747" s="363" t="s">
        <v>117</v>
      </c>
      <c r="W1747" s="361"/>
    </row>
    <row r="1748" spans="6:23" ht="15.75">
      <c r="H1748" s="357" t="s">
        <v>2328</v>
      </c>
      <c r="K1748" s="369">
        <f>K1746/9</f>
        <v>294.255</v>
      </c>
      <c r="W1748" s="361"/>
    </row>
    <row r="1749" spans="6:23" ht="15">
      <c r="K1749" s="363" t="s">
        <v>156</v>
      </c>
      <c r="W1749" s="361"/>
    </row>
    <row r="1750" spans="6:23" ht="15">
      <c r="F1750" s="357" t="s">
        <v>2329</v>
      </c>
      <c r="H1750" s="356" t="s">
        <v>2330</v>
      </c>
      <c r="W1750" s="361"/>
    </row>
    <row r="1751" spans="6:23" ht="15">
      <c r="H1751" s="363" t="s">
        <v>117</v>
      </c>
      <c r="W1751" s="361"/>
    </row>
    <row r="1752" spans="6:23" ht="15">
      <c r="F1752" s="370">
        <v>4.32</v>
      </c>
      <c r="G1752" s="368" t="s">
        <v>108</v>
      </c>
      <c r="H1752" s="356" t="s">
        <v>2331</v>
      </c>
      <c r="I1752" s="370">
        <f>C61</f>
        <v>134.45999999999998</v>
      </c>
      <c r="J1752" s="356" t="s">
        <v>108</v>
      </c>
      <c r="K1752" s="370">
        <f t="shared" ref="K1752:K1759" si="225">(F1752*I1752)</f>
        <v>580.86719999999991</v>
      </c>
      <c r="W1752" s="361"/>
    </row>
    <row r="1753" spans="6:23" ht="15.75">
      <c r="F1753" s="370">
        <v>1.44</v>
      </c>
      <c r="G1753" s="368" t="s">
        <v>108</v>
      </c>
      <c r="H1753" s="356" t="s">
        <v>2332</v>
      </c>
      <c r="I1753" s="507">
        <v>69.099999999999994</v>
      </c>
      <c r="J1753" s="356" t="s">
        <v>108</v>
      </c>
      <c r="K1753" s="370">
        <f t="shared" si="225"/>
        <v>99.503999999999991</v>
      </c>
      <c r="W1753" s="361"/>
    </row>
    <row r="1754" spans="6:23" ht="15">
      <c r="F1754" s="370">
        <v>1.44</v>
      </c>
      <c r="G1754" s="368" t="s">
        <v>108</v>
      </c>
      <c r="H1754" s="356" t="s">
        <v>2333</v>
      </c>
      <c r="I1754" s="370">
        <f>C35</f>
        <v>778.59</v>
      </c>
      <c r="J1754" s="356" t="s">
        <v>108</v>
      </c>
      <c r="K1754" s="370">
        <f t="shared" si="225"/>
        <v>1121.1695999999999</v>
      </c>
      <c r="W1754" s="361"/>
    </row>
    <row r="1755" spans="6:23" ht="15">
      <c r="F1755" s="370">
        <v>1.44</v>
      </c>
      <c r="G1755" s="368" t="s">
        <v>108</v>
      </c>
      <c r="H1755" s="356" t="s">
        <v>2334</v>
      </c>
      <c r="I1755" s="370">
        <f>C78</f>
        <v>1779.13</v>
      </c>
      <c r="J1755" s="356" t="s">
        <v>108</v>
      </c>
      <c r="K1755" s="370">
        <f t="shared" si="225"/>
        <v>2561.9472000000001</v>
      </c>
      <c r="W1755" s="361"/>
    </row>
    <row r="1756" spans="6:23" ht="15.75">
      <c r="F1756" s="370">
        <v>2.88</v>
      </c>
      <c r="G1756" s="368" t="s">
        <v>108</v>
      </c>
      <c r="H1756" s="356" t="s">
        <v>2335</v>
      </c>
      <c r="I1756" s="493">
        <v>10</v>
      </c>
      <c r="J1756" s="356" t="s">
        <v>108</v>
      </c>
      <c r="K1756" s="370">
        <f t="shared" si="225"/>
        <v>28.799999999999997</v>
      </c>
      <c r="W1756" s="361"/>
    </row>
    <row r="1757" spans="6:23" ht="15.75">
      <c r="F1757" s="370">
        <v>20</v>
      </c>
      <c r="G1757" s="368" t="s">
        <v>260</v>
      </c>
      <c r="H1757" s="356" t="s">
        <v>2336</v>
      </c>
      <c r="I1757" s="507">
        <v>46.1</v>
      </c>
      <c r="J1757" s="356" t="s">
        <v>260</v>
      </c>
      <c r="K1757" s="370">
        <f t="shared" si="225"/>
        <v>922</v>
      </c>
      <c r="W1757" s="361"/>
    </row>
    <row r="1758" spans="6:23" ht="15.75">
      <c r="F1758" s="370">
        <v>42</v>
      </c>
      <c r="G1758" s="368" t="s">
        <v>452</v>
      </c>
      <c r="H1758" s="356" t="s">
        <v>2337</v>
      </c>
      <c r="I1758" s="395">
        <v>17.5</v>
      </c>
      <c r="J1758" s="356" t="s">
        <v>452</v>
      </c>
      <c r="K1758" s="370">
        <f t="shared" si="225"/>
        <v>735</v>
      </c>
      <c r="W1758" s="361"/>
    </row>
    <row r="1759" spans="6:23" ht="15">
      <c r="F1759" s="370">
        <v>4.32</v>
      </c>
      <c r="G1759" s="368" t="s">
        <v>108</v>
      </c>
      <c r="H1759" s="356" t="s">
        <v>2338</v>
      </c>
      <c r="I1759" s="370">
        <f>C26</f>
        <v>46.74</v>
      </c>
      <c r="J1759" s="356" t="s">
        <v>108</v>
      </c>
      <c r="K1759" s="370">
        <f t="shared" si="225"/>
        <v>201.91680000000002</v>
      </c>
      <c r="W1759" s="361"/>
    </row>
    <row r="1760" spans="6:23" ht="15">
      <c r="F1760" s="357" t="s">
        <v>457</v>
      </c>
      <c r="H1760" s="356" t="s">
        <v>2339</v>
      </c>
      <c r="K1760" s="370">
        <v>2000</v>
      </c>
      <c r="W1760" s="361"/>
    </row>
    <row r="1761" spans="6:23" ht="15">
      <c r="K1761" s="363" t="s">
        <v>117</v>
      </c>
      <c r="W1761" s="361"/>
    </row>
    <row r="1762" spans="6:23" ht="15">
      <c r="H1762" s="356" t="s">
        <v>2340</v>
      </c>
      <c r="K1762" s="370">
        <f>SUM(K1752:K1760)</f>
        <v>8251.2047999999995</v>
      </c>
      <c r="W1762" s="361"/>
    </row>
    <row r="1763" spans="6:23" ht="15">
      <c r="K1763" s="363" t="s">
        <v>117</v>
      </c>
      <c r="W1763" s="361"/>
    </row>
    <row r="1764" spans="6:23" ht="15.75">
      <c r="H1764" s="356" t="s">
        <v>2341</v>
      </c>
      <c r="K1764" s="369">
        <f>K1762/20</f>
        <v>412.56023999999996</v>
      </c>
      <c r="W1764" s="361"/>
    </row>
    <row r="1765" spans="6:23" ht="15">
      <c r="K1765" s="363" t="s">
        <v>156</v>
      </c>
      <c r="W1765" s="361"/>
    </row>
    <row r="1766" spans="6:23" ht="15">
      <c r="W1766" s="361"/>
    </row>
    <row r="1767" spans="6:23" ht="15">
      <c r="F1767" s="357" t="s">
        <v>2342</v>
      </c>
      <c r="H1767" s="356" t="s">
        <v>2343</v>
      </c>
      <c r="W1767" s="361"/>
    </row>
    <row r="1768" spans="6:23" ht="15">
      <c r="H1768" s="363" t="s">
        <v>117</v>
      </c>
      <c r="W1768" s="361"/>
    </row>
    <row r="1769" spans="6:23" ht="15">
      <c r="F1769" s="370">
        <v>0.1</v>
      </c>
      <c r="G1769" s="368" t="s">
        <v>108</v>
      </c>
      <c r="H1769" s="356" t="s">
        <v>2331</v>
      </c>
      <c r="I1769" s="370">
        <f>K92</f>
        <v>268.92</v>
      </c>
      <c r="J1769" s="356" t="s">
        <v>108</v>
      </c>
      <c r="K1769" s="370">
        <f t="shared" ref="K1769:K1774" si="226">(F1769*I1769)</f>
        <v>26.892000000000003</v>
      </c>
      <c r="W1769" s="361"/>
    </row>
    <row r="1770" spans="6:23" ht="15.75">
      <c r="F1770" s="370">
        <v>6.3</v>
      </c>
      <c r="G1770" s="368" t="s">
        <v>452</v>
      </c>
      <c r="H1770" s="356" t="s">
        <v>2344</v>
      </c>
      <c r="I1770" s="395">
        <v>34.6</v>
      </c>
      <c r="J1770" s="356" t="s">
        <v>452</v>
      </c>
      <c r="K1770" s="370">
        <f t="shared" si="226"/>
        <v>217.98</v>
      </c>
      <c r="W1770" s="361"/>
    </row>
    <row r="1771" spans="6:23" ht="15">
      <c r="F1771" s="370">
        <v>6.3</v>
      </c>
      <c r="G1771" s="368" t="s">
        <v>452</v>
      </c>
      <c r="H1771" s="356" t="s">
        <v>2345</v>
      </c>
      <c r="I1771" s="381">
        <f>I1758</f>
        <v>17.5</v>
      </c>
      <c r="J1771" s="356" t="s">
        <v>452</v>
      </c>
      <c r="K1771" s="370">
        <f t="shared" si="226"/>
        <v>110.25</v>
      </c>
      <c r="W1771" s="361"/>
    </row>
    <row r="1772" spans="6:23" ht="15">
      <c r="F1772" s="370">
        <v>3.15</v>
      </c>
      <c r="G1772" s="368" t="s">
        <v>478</v>
      </c>
      <c r="H1772" s="356" t="s">
        <v>2346</v>
      </c>
      <c r="I1772" s="370">
        <f>C200</f>
        <v>40.65</v>
      </c>
      <c r="J1772" s="356" t="s">
        <v>478</v>
      </c>
      <c r="K1772" s="370">
        <f t="shared" si="226"/>
        <v>128.04749999999999</v>
      </c>
      <c r="L1772" s="35" t="s">
        <v>2009</v>
      </c>
      <c r="W1772" s="361"/>
    </row>
    <row r="1773" spans="6:23" ht="15">
      <c r="F1773" s="370">
        <v>0.25</v>
      </c>
      <c r="G1773" s="368" t="s">
        <v>454</v>
      </c>
      <c r="H1773" s="356" t="s">
        <v>2347</v>
      </c>
      <c r="I1773" s="370">
        <f>D16</f>
        <v>1118.3999999999999</v>
      </c>
      <c r="J1773" s="356" t="s">
        <v>454</v>
      </c>
      <c r="K1773" s="370">
        <f t="shared" si="226"/>
        <v>279.59999999999997</v>
      </c>
      <c r="W1773" s="361"/>
    </row>
    <row r="1774" spans="6:23" ht="15">
      <c r="F1774" s="370">
        <v>0.2</v>
      </c>
      <c r="G1774" s="368" t="s">
        <v>454</v>
      </c>
      <c r="H1774" s="356" t="s">
        <v>2348</v>
      </c>
      <c r="I1774" s="370">
        <f>AG38</f>
        <v>1039.2</v>
      </c>
      <c r="J1774" s="356" t="s">
        <v>454</v>
      </c>
      <c r="K1774" s="370">
        <f t="shared" si="226"/>
        <v>207.84000000000003</v>
      </c>
      <c r="W1774" s="361"/>
    </row>
    <row r="1775" spans="6:23" ht="15">
      <c r="H1775" s="356" t="s">
        <v>2349</v>
      </c>
      <c r="I1775" s="356" t="s">
        <v>114</v>
      </c>
      <c r="J1775" s="356" t="s">
        <v>114</v>
      </c>
      <c r="K1775" s="370">
        <v>0</v>
      </c>
      <c r="W1775" s="361"/>
    </row>
    <row r="1776" spans="6:23" ht="15">
      <c r="J1776" s="356" t="s">
        <v>114</v>
      </c>
      <c r="K1776" s="363" t="s">
        <v>117</v>
      </c>
      <c r="W1776" s="361"/>
    </row>
    <row r="1777" spans="6:23" ht="15.75">
      <c r="F1777" s="356" t="s">
        <v>114</v>
      </c>
      <c r="G1777" s="368" t="s">
        <v>114</v>
      </c>
      <c r="H1777" s="356" t="s">
        <v>2341</v>
      </c>
      <c r="K1777" s="369">
        <f>SUM(K1769:K1776)</f>
        <v>970.60949999999991</v>
      </c>
      <c r="W1777" s="361"/>
    </row>
    <row r="1778" spans="6:23" ht="15">
      <c r="H1778" s="356" t="s">
        <v>114</v>
      </c>
      <c r="K1778" s="363" t="s">
        <v>117</v>
      </c>
      <c r="W1778" s="361"/>
    </row>
    <row r="1779" spans="6:23" ht="15">
      <c r="K1779" s="363"/>
      <c r="W1779" s="361"/>
    </row>
    <row r="1780" spans="6:23" ht="15">
      <c r="F1780" s="357" t="s">
        <v>2350</v>
      </c>
      <c r="H1780" s="356" t="s">
        <v>2351</v>
      </c>
      <c r="W1780" s="361"/>
    </row>
    <row r="1781" spans="6:23" ht="15">
      <c r="H1781" s="363" t="s">
        <v>117</v>
      </c>
      <c r="W1781" s="361"/>
    </row>
    <row r="1782" spans="6:23" ht="15">
      <c r="F1782" s="461">
        <v>0.48599999999999999</v>
      </c>
      <c r="G1782" s="368" t="s">
        <v>405</v>
      </c>
      <c r="H1782" s="356" t="s">
        <v>2331</v>
      </c>
      <c r="I1782" s="370">
        <f>C61</f>
        <v>134.45999999999998</v>
      </c>
      <c r="J1782" s="356" t="s">
        <v>405</v>
      </c>
      <c r="K1782" s="370">
        <f t="shared" ref="K1782:K1788" si="227">(F1782*I1782)</f>
        <v>65.347559999999987</v>
      </c>
      <c r="W1782" s="361"/>
    </row>
    <row r="1783" spans="6:23" ht="15">
      <c r="F1783" s="461">
        <v>0.48599999999999999</v>
      </c>
      <c r="G1783" s="368" t="s">
        <v>405</v>
      </c>
      <c r="H1783" s="356" t="s">
        <v>2352</v>
      </c>
      <c r="I1783" s="370">
        <f>K206</f>
        <v>5490.7138439999999</v>
      </c>
      <c r="J1783" s="356" t="s">
        <v>405</v>
      </c>
      <c r="K1783" s="370">
        <f t="shared" si="227"/>
        <v>2668.4869281839997</v>
      </c>
      <c r="W1783" s="361"/>
    </row>
    <row r="1784" spans="6:23" ht="15">
      <c r="F1784" s="370">
        <v>81.75</v>
      </c>
      <c r="G1784" s="368" t="s">
        <v>109</v>
      </c>
      <c r="H1784" s="356" t="s">
        <v>2353</v>
      </c>
      <c r="I1784" s="370">
        <f>I747</f>
        <v>53</v>
      </c>
      <c r="J1784" s="356" t="s">
        <v>109</v>
      </c>
      <c r="K1784" s="370">
        <f t="shared" si="227"/>
        <v>4332.75</v>
      </c>
      <c r="W1784" s="361"/>
    </row>
    <row r="1785" spans="6:23" ht="15">
      <c r="F1785" s="370">
        <v>7.2</v>
      </c>
      <c r="G1785" s="368" t="s">
        <v>109</v>
      </c>
      <c r="H1785" s="356" t="s">
        <v>2354</v>
      </c>
      <c r="I1785" s="370">
        <f>I747</f>
        <v>53</v>
      </c>
      <c r="J1785" s="356" t="s">
        <v>109</v>
      </c>
      <c r="K1785" s="370">
        <f t="shared" si="227"/>
        <v>381.6</v>
      </c>
      <c r="W1785" s="361"/>
    </row>
    <row r="1786" spans="6:23" ht="15">
      <c r="F1786" s="370">
        <v>43.68</v>
      </c>
      <c r="G1786" s="368" t="s">
        <v>109</v>
      </c>
      <c r="H1786" s="356" t="s">
        <v>2355</v>
      </c>
      <c r="I1786" s="370">
        <f>I745</f>
        <v>53</v>
      </c>
      <c r="J1786" s="356" t="s">
        <v>109</v>
      </c>
      <c r="K1786" s="370">
        <f t="shared" si="227"/>
        <v>2315.04</v>
      </c>
      <c r="W1786" s="361"/>
    </row>
    <row r="1787" spans="6:23" ht="15">
      <c r="F1787" s="370">
        <v>132.63</v>
      </c>
      <c r="G1787" s="368" t="s">
        <v>109</v>
      </c>
      <c r="H1787" s="356" t="s">
        <v>2356</v>
      </c>
      <c r="I1787" s="370">
        <f>C37</f>
        <v>66.42</v>
      </c>
      <c r="J1787" s="356" t="s">
        <v>109</v>
      </c>
      <c r="K1787" s="370">
        <f t="shared" si="227"/>
        <v>8809.284599999999</v>
      </c>
      <c r="W1787" s="361"/>
    </row>
    <row r="1788" spans="6:23" ht="15.75">
      <c r="F1788" s="370">
        <v>2.2000000000000002</v>
      </c>
      <c r="G1788" s="368" t="s">
        <v>478</v>
      </c>
      <c r="H1788" s="356" t="s">
        <v>2357</v>
      </c>
      <c r="I1788" s="493">
        <v>970</v>
      </c>
      <c r="J1788" s="356" t="s">
        <v>478</v>
      </c>
      <c r="K1788" s="370">
        <f t="shared" si="227"/>
        <v>2134</v>
      </c>
      <c r="W1788" s="361"/>
    </row>
    <row r="1789" spans="6:23" ht="15">
      <c r="F1789" s="498" t="s">
        <v>265</v>
      </c>
      <c r="H1789" s="356" t="s">
        <v>2358</v>
      </c>
      <c r="I1789" s="498" t="s">
        <v>265</v>
      </c>
      <c r="K1789" s="370">
        <v>250</v>
      </c>
      <c r="W1789" s="361"/>
    </row>
    <row r="1790" spans="6:23" ht="15">
      <c r="F1790" s="498" t="s">
        <v>265</v>
      </c>
      <c r="H1790" s="356" t="s">
        <v>2359</v>
      </c>
      <c r="I1790" s="498" t="s">
        <v>265</v>
      </c>
      <c r="K1790" s="370">
        <v>20.47</v>
      </c>
      <c r="W1790" s="361"/>
    </row>
    <row r="1791" spans="6:23" ht="15">
      <c r="K1791" s="363" t="s">
        <v>117</v>
      </c>
      <c r="W1791" s="361"/>
    </row>
    <row r="1792" spans="6:23" ht="15">
      <c r="K1792" s="370">
        <f>SUM(K1782:K1791)</f>
        <v>20976.979088184002</v>
      </c>
      <c r="W1792" s="361"/>
    </row>
    <row r="1793" spans="6:23" ht="15">
      <c r="K1793" s="363" t="s">
        <v>117</v>
      </c>
      <c r="W1793" s="361"/>
    </row>
    <row r="1794" spans="6:23" ht="15">
      <c r="K1794" s="363"/>
      <c r="W1794" s="361"/>
    </row>
    <row r="1795" spans="6:23" ht="15.75">
      <c r="F1795" s="393">
        <v>86</v>
      </c>
      <c r="H1795" s="356" t="s">
        <v>2360</v>
      </c>
      <c r="K1795" s="402">
        <f>C808</f>
        <v>33.9</v>
      </c>
      <c r="W1795" s="361"/>
    </row>
    <row r="1796" spans="6:23" ht="15">
      <c r="F1796" s="412"/>
      <c r="H1796" s="356"/>
      <c r="K1796" s="370"/>
      <c r="W1796" s="361"/>
    </row>
    <row r="1797" spans="6:23" ht="15.75">
      <c r="F1797" s="357" t="s">
        <v>214</v>
      </c>
      <c r="H1797" s="356" t="s">
        <v>2361</v>
      </c>
      <c r="K1797" s="489">
        <v>10.050000000000001</v>
      </c>
      <c r="W1797" s="361"/>
    </row>
    <row r="1798" spans="6:23" ht="15">
      <c r="H1798" s="356" t="s">
        <v>216</v>
      </c>
      <c r="K1798" s="35">
        <f>700*K1797</f>
        <v>7035.0000000000009</v>
      </c>
      <c r="W1798" s="361"/>
    </row>
    <row r="1799" spans="6:23" ht="15">
      <c r="F1799" s="356" t="s">
        <v>114</v>
      </c>
      <c r="H1799" s="356" t="s">
        <v>2362</v>
      </c>
      <c r="K1799" s="35">
        <f>200*K1797</f>
        <v>2010.0000000000002</v>
      </c>
      <c r="L1799" s="35">
        <f>K1797*1000</f>
        <v>10050</v>
      </c>
      <c r="M1799" s="35">
        <f>K1797*1500</f>
        <v>15075.000000000002</v>
      </c>
      <c r="W1799" s="361"/>
    </row>
    <row r="1800" spans="6:23" ht="15">
      <c r="F1800" s="412"/>
      <c r="G1800" s="368" t="s">
        <v>122</v>
      </c>
      <c r="H1800" s="356" t="s">
        <v>1193</v>
      </c>
      <c r="W1800" s="361"/>
    </row>
    <row r="1801" spans="6:23" ht="15">
      <c r="H1801" s="356" t="s">
        <v>2363</v>
      </c>
      <c r="W1801" s="361"/>
    </row>
    <row r="1802" spans="6:23" ht="15">
      <c r="H1802" s="356" t="s">
        <v>1292</v>
      </c>
      <c r="W1802" s="361"/>
    </row>
    <row r="1803" spans="6:23" ht="15">
      <c r="H1803" s="363" t="s">
        <v>117</v>
      </c>
      <c r="W1803" s="361"/>
    </row>
    <row r="1804" spans="6:23" ht="15">
      <c r="G1804" s="368" t="s">
        <v>2364</v>
      </c>
      <c r="H1804" s="356" t="s">
        <v>1292</v>
      </c>
      <c r="K1804" s="356" t="s">
        <v>2365</v>
      </c>
      <c r="W1804" s="361"/>
    </row>
    <row r="1805" spans="6:23" ht="15">
      <c r="H1805" s="363" t="s">
        <v>117</v>
      </c>
      <c r="K1805" s="363" t="s">
        <v>156</v>
      </c>
      <c r="W1805" s="361"/>
    </row>
    <row r="1806" spans="6:23" ht="15">
      <c r="F1806" s="370">
        <v>30</v>
      </c>
      <c r="G1806" s="368" t="s">
        <v>110</v>
      </c>
      <c r="H1806" s="356" t="s">
        <v>1301</v>
      </c>
      <c r="I1806" s="370">
        <f>(C663)</f>
        <v>13.44</v>
      </c>
      <c r="J1806" s="356" t="s">
        <v>110</v>
      </c>
      <c r="K1806" s="370">
        <f>(F1806*I1806)</f>
        <v>403.2</v>
      </c>
      <c r="W1806" s="361"/>
    </row>
    <row r="1807" spans="6:23" ht="15">
      <c r="F1807" s="356" t="s">
        <v>114</v>
      </c>
      <c r="H1807" s="356" t="s">
        <v>1304</v>
      </c>
      <c r="I1807" s="356" t="s">
        <v>114</v>
      </c>
      <c r="K1807" s="356" t="s">
        <v>114</v>
      </c>
      <c r="W1807" s="361"/>
    </row>
    <row r="1808" spans="6:23" ht="15">
      <c r="F1808" s="370">
        <v>8</v>
      </c>
      <c r="G1808" s="368" t="s">
        <v>151</v>
      </c>
      <c r="H1808" s="356" t="s">
        <v>1218</v>
      </c>
      <c r="I1808" s="370">
        <f>(C665)</f>
        <v>10.68</v>
      </c>
      <c r="J1808" s="356" t="s">
        <v>151</v>
      </c>
      <c r="K1808" s="370">
        <f t="shared" ref="K1808:K1814" si="228">(F1808*I1808)</f>
        <v>85.44</v>
      </c>
      <c r="W1808" s="361"/>
    </row>
    <row r="1809" spans="6:23" ht="15">
      <c r="F1809" s="370">
        <v>8</v>
      </c>
      <c r="G1809" s="368" t="s">
        <v>151</v>
      </c>
      <c r="H1809" s="356" t="s">
        <v>1221</v>
      </c>
      <c r="I1809" s="370">
        <f>(C674)</f>
        <v>15.18</v>
      </c>
      <c r="J1809" s="356" t="s">
        <v>151</v>
      </c>
      <c r="K1809" s="370">
        <f t="shared" si="228"/>
        <v>121.44</v>
      </c>
      <c r="W1809" s="361"/>
    </row>
    <row r="1810" spans="6:23" ht="15">
      <c r="F1810" s="370">
        <v>3</v>
      </c>
      <c r="G1810" s="368" t="s">
        <v>151</v>
      </c>
      <c r="H1810" s="356" t="s">
        <v>1309</v>
      </c>
      <c r="I1810" s="370">
        <f>(C41)</f>
        <v>885.6</v>
      </c>
      <c r="J1810" s="356" t="s">
        <v>151</v>
      </c>
      <c r="K1810" s="370">
        <f t="shared" si="228"/>
        <v>2656.8</v>
      </c>
      <c r="W1810" s="361"/>
    </row>
    <row r="1811" spans="6:23" ht="15">
      <c r="F1811" s="370">
        <v>1</v>
      </c>
      <c r="G1811" s="368" t="s">
        <v>151</v>
      </c>
      <c r="H1811" s="356" t="s">
        <v>2366</v>
      </c>
      <c r="I1811" s="370">
        <f>(C10)</f>
        <v>1198.8</v>
      </c>
      <c r="J1811" s="356" t="s">
        <v>151</v>
      </c>
      <c r="K1811" s="370">
        <f t="shared" si="228"/>
        <v>1198.8</v>
      </c>
      <c r="W1811" s="361"/>
    </row>
    <row r="1812" spans="6:23" ht="15">
      <c r="F1812" s="370">
        <v>2</v>
      </c>
      <c r="G1812" s="368" t="s">
        <v>151</v>
      </c>
      <c r="H1812" s="356" t="s">
        <v>153</v>
      </c>
      <c r="I1812" s="370">
        <f>(C12)</f>
        <v>781.19999999999993</v>
      </c>
      <c r="J1812" s="356" t="s">
        <v>151</v>
      </c>
      <c r="K1812" s="370">
        <f t="shared" si="228"/>
        <v>1562.3999999999999</v>
      </c>
      <c r="W1812" s="361"/>
    </row>
    <row r="1813" spans="6:23" ht="15">
      <c r="F1813" s="370">
        <v>1</v>
      </c>
      <c r="G1813" s="368" t="s">
        <v>151</v>
      </c>
      <c r="H1813" s="356" t="s">
        <v>154</v>
      </c>
      <c r="I1813" s="370">
        <f>(C13)</f>
        <v>640.79999999999995</v>
      </c>
      <c r="J1813" s="356" t="s">
        <v>151</v>
      </c>
      <c r="K1813" s="370">
        <f t="shared" si="228"/>
        <v>640.79999999999995</v>
      </c>
      <c r="W1813" s="361"/>
    </row>
    <row r="1814" spans="6:23" ht="15">
      <c r="F1814" s="370">
        <v>1</v>
      </c>
      <c r="G1814" s="368" t="s">
        <v>151</v>
      </c>
      <c r="H1814" s="356" t="s">
        <v>2367</v>
      </c>
      <c r="I1814" s="498">
        <v>5</v>
      </c>
      <c r="J1814" s="356" t="s">
        <v>194</v>
      </c>
      <c r="K1814" s="370">
        <f t="shared" si="228"/>
        <v>5</v>
      </c>
      <c r="W1814" s="361"/>
    </row>
    <row r="1815" spans="6:23" ht="15">
      <c r="H1815" s="356" t="s">
        <v>2368</v>
      </c>
      <c r="I1815" s="356" t="s">
        <v>114</v>
      </c>
      <c r="K1815" s="356" t="s">
        <v>114</v>
      </c>
      <c r="W1815" s="361"/>
    </row>
    <row r="1816" spans="6:23" ht="15">
      <c r="G1816" s="368" t="s">
        <v>128</v>
      </c>
      <c r="H1816" s="356" t="s">
        <v>129</v>
      </c>
      <c r="J1816" s="356" t="s">
        <v>128</v>
      </c>
      <c r="K1816" s="370">
        <v>0</v>
      </c>
      <c r="W1816" s="361"/>
    </row>
    <row r="1817" spans="6:23" ht="15">
      <c r="K1817" s="363" t="s">
        <v>117</v>
      </c>
      <c r="W1817" s="361"/>
    </row>
    <row r="1818" spans="6:23" ht="15">
      <c r="H1818" s="356" t="s">
        <v>1317</v>
      </c>
      <c r="K1818" s="370">
        <f>SUM(K1806:K1816)</f>
        <v>6673.88</v>
      </c>
      <c r="W1818" s="361"/>
    </row>
    <row r="1819" spans="6:23" ht="15">
      <c r="K1819" s="363" t="s">
        <v>117</v>
      </c>
      <c r="W1819" s="361"/>
    </row>
    <row r="1820" spans="6:23" ht="15">
      <c r="H1820" s="356" t="s">
        <v>253</v>
      </c>
      <c r="K1820" s="370">
        <f>(K1818/30)</f>
        <v>222.46266666666668</v>
      </c>
      <c r="W1820" s="361"/>
    </row>
    <row r="1821" spans="6:23" ht="15">
      <c r="K1821" s="363" t="s">
        <v>117</v>
      </c>
      <c r="W1821" s="361"/>
    </row>
    <row r="1822" spans="6:23" ht="15">
      <c r="G1822" s="368" t="s">
        <v>431</v>
      </c>
      <c r="H1822" s="356" t="s">
        <v>1292</v>
      </c>
      <c r="K1822" s="356" t="s">
        <v>2369</v>
      </c>
      <c r="W1822" s="361"/>
    </row>
    <row r="1823" spans="6:23" ht="15">
      <c r="H1823" s="363" t="s">
        <v>117</v>
      </c>
      <c r="K1823" s="363" t="s">
        <v>156</v>
      </c>
      <c r="W1823" s="361"/>
    </row>
    <row r="1824" spans="6:23" ht="15">
      <c r="F1824" s="370">
        <v>30</v>
      </c>
      <c r="G1824" s="368" t="s">
        <v>110</v>
      </c>
      <c r="H1824" s="356" t="s">
        <v>1301</v>
      </c>
      <c r="I1824" s="370">
        <f>(C663)</f>
        <v>13.44</v>
      </c>
      <c r="J1824" s="356" t="s">
        <v>110</v>
      </c>
      <c r="K1824" s="370">
        <f>(F1824*I1824)</f>
        <v>403.2</v>
      </c>
      <c r="W1824" s="361"/>
    </row>
    <row r="1825" spans="6:23" ht="15">
      <c r="F1825" s="356" t="s">
        <v>114</v>
      </c>
      <c r="H1825" s="356" t="s">
        <v>1304</v>
      </c>
      <c r="I1825" s="356" t="s">
        <v>114</v>
      </c>
      <c r="K1825" s="356" t="s">
        <v>114</v>
      </c>
      <c r="W1825" s="361"/>
    </row>
    <row r="1826" spans="6:23" ht="15">
      <c r="F1826" s="370">
        <v>8</v>
      </c>
      <c r="G1826" s="368" t="s">
        <v>151</v>
      </c>
      <c r="H1826" s="356" t="s">
        <v>1218</v>
      </c>
      <c r="I1826" s="370">
        <f>I1808</f>
        <v>10.68</v>
      </c>
      <c r="J1826" s="356" t="s">
        <v>151</v>
      </c>
      <c r="K1826" s="370">
        <f t="shared" ref="K1826:K1832" si="229">(F1826*I1826)</f>
        <v>85.44</v>
      </c>
      <c r="W1826" s="361"/>
    </row>
    <row r="1827" spans="6:23" ht="15">
      <c r="F1827" s="370">
        <v>8</v>
      </c>
      <c r="G1827" s="368" t="s">
        <v>151</v>
      </c>
      <c r="H1827" s="356" t="s">
        <v>1221</v>
      </c>
      <c r="I1827" s="370">
        <f>D674</f>
        <v>15.419999999999998</v>
      </c>
      <c r="J1827" s="356" t="s">
        <v>151</v>
      </c>
      <c r="K1827" s="370">
        <f t="shared" si="229"/>
        <v>123.35999999999999</v>
      </c>
      <c r="W1827" s="361"/>
    </row>
    <row r="1828" spans="6:23" ht="15">
      <c r="F1828" s="370">
        <v>3</v>
      </c>
      <c r="G1828" s="368" t="s">
        <v>151</v>
      </c>
      <c r="H1828" s="356" t="s">
        <v>1309</v>
      </c>
      <c r="I1828" s="370">
        <f>(C41)</f>
        <v>885.6</v>
      </c>
      <c r="J1828" s="356" t="s">
        <v>151</v>
      </c>
      <c r="K1828" s="370">
        <f t="shared" si="229"/>
        <v>2656.8</v>
      </c>
      <c r="W1828" s="361"/>
    </row>
    <row r="1829" spans="6:23" ht="15">
      <c r="F1829" s="370">
        <v>1</v>
      </c>
      <c r="G1829" s="368" t="s">
        <v>151</v>
      </c>
      <c r="H1829" s="356" t="s">
        <v>2366</v>
      </c>
      <c r="I1829" s="370">
        <f>(C10)</f>
        <v>1198.8</v>
      </c>
      <c r="J1829" s="356" t="s">
        <v>151</v>
      </c>
      <c r="K1829" s="370">
        <f t="shared" si="229"/>
        <v>1198.8</v>
      </c>
      <c r="W1829" s="361"/>
    </row>
    <row r="1830" spans="6:23" ht="15">
      <c r="F1830" s="370">
        <v>2</v>
      </c>
      <c r="G1830" s="368" t="s">
        <v>151</v>
      </c>
      <c r="H1830" s="356" t="s">
        <v>153</v>
      </c>
      <c r="I1830" s="370">
        <f>(C12)</f>
        <v>781.19999999999993</v>
      </c>
      <c r="J1830" s="356" t="s">
        <v>151</v>
      </c>
      <c r="K1830" s="370">
        <f t="shared" si="229"/>
        <v>1562.3999999999999</v>
      </c>
      <c r="W1830" s="361"/>
    </row>
    <row r="1831" spans="6:23" ht="15">
      <c r="F1831" s="370">
        <v>1</v>
      </c>
      <c r="G1831" s="368" t="s">
        <v>151</v>
      </c>
      <c r="H1831" s="356" t="s">
        <v>154</v>
      </c>
      <c r="I1831" s="370">
        <f>(C13)</f>
        <v>640.79999999999995</v>
      </c>
      <c r="J1831" s="356" t="s">
        <v>151</v>
      </c>
      <c r="K1831" s="370">
        <f t="shared" si="229"/>
        <v>640.79999999999995</v>
      </c>
      <c r="W1831" s="361"/>
    </row>
    <row r="1832" spans="6:23" ht="15">
      <c r="F1832" s="370">
        <v>1</v>
      </c>
      <c r="G1832" s="368" t="s">
        <v>151</v>
      </c>
      <c r="H1832" s="356" t="s">
        <v>2367</v>
      </c>
      <c r="I1832" s="498">
        <v>5</v>
      </c>
      <c r="J1832" s="356" t="s">
        <v>151</v>
      </c>
      <c r="K1832" s="370">
        <f t="shared" si="229"/>
        <v>5</v>
      </c>
      <c r="W1832" s="361"/>
    </row>
    <row r="1833" spans="6:23" ht="15">
      <c r="H1833" s="356" t="s">
        <v>2368</v>
      </c>
      <c r="I1833" s="356" t="s">
        <v>114</v>
      </c>
      <c r="K1833" s="356" t="s">
        <v>114</v>
      </c>
      <c r="W1833" s="361"/>
    </row>
    <row r="1834" spans="6:23" ht="15">
      <c r="G1834" s="368" t="s">
        <v>128</v>
      </c>
      <c r="H1834" s="356" t="s">
        <v>129</v>
      </c>
      <c r="J1834" s="356" t="s">
        <v>128</v>
      </c>
      <c r="K1834" s="370">
        <v>0</v>
      </c>
      <c r="W1834" s="361"/>
    </row>
    <row r="1835" spans="6:23" ht="15">
      <c r="K1835" s="363" t="s">
        <v>117</v>
      </c>
      <c r="W1835" s="361"/>
    </row>
    <row r="1836" spans="6:23" ht="15">
      <c r="H1836" s="356" t="s">
        <v>1317</v>
      </c>
      <c r="K1836" s="370">
        <f>SUM(K1824:K1834)</f>
        <v>6675.8</v>
      </c>
      <c r="W1836" s="361"/>
    </row>
    <row r="1837" spans="6:23" ht="15">
      <c r="K1837" s="363" t="s">
        <v>117</v>
      </c>
      <c r="W1837" s="361"/>
    </row>
    <row r="1838" spans="6:23" ht="15">
      <c r="H1838" s="356" t="s">
        <v>253</v>
      </c>
      <c r="K1838" s="370">
        <f>(K1836/30)</f>
        <v>222.52666666666667</v>
      </c>
      <c r="W1838" s="361"/>
    </row>
    <row r="1839" spans="6:23" ht="15">
      <c r="K1839" s="363" t="s">
        <v>117</v>
      </c>
      <c r="W1839" s="361"/>
    </row>
    <row r="1840" spans="6:23" ht="15">
      <c r="G1840" s="368" t="s">
        <v>438</v>
      </c>
      <c r="H1840" s="356" t="s">
        <v>1292</v>
      </c>
      <c r="K1840" s="356" t="s">
        <v>2370</v>
      </c>
      <c r="W1840" s="361"/>
    </row>
    <row r="1841" spans="6:23" ht="15">
      <c r="H1841" s="363" t="s">
        <v>117</v>
      </c>
      <c r="K1841" s="363" t="s">
        <v>156</v>
      </c>
      <c r="W1841" s="361"/>
    </row>
    <row r="1842" spans="6:23" ht="15">
      <c r="F1842" s="370">
        <v>30</v>
      </c>
      <c r="G1842" s="368" t="s">
        <v>110</v>
      </c>
      <c r="H1842" s="356" t="s">
        <v>1301</v>
      </c>
      <c r="I1842" s="370">
        <f>(C663)</f>
        <v>13.44</v>
      </c>
      <c r="J1842" s="356" t="s">
        <v>110</v>
      </c>
      <c r="K1842" s="370">
        <f>(F1842*I1842)</f>
        <v>403.2</v>
      </c>
      <c r="W1842" s="361"/>
    </row>
    <row r="1843" spans="6:23" ht="15">
      <c r="F1843" s="356" t="s">
        <v>114</v>
      </c>
      <c r="H1843" s="356" t="s">
        <v>1304</v>
      </c>
      <c r="I1843" s="356" t="s">
        <v>114</v>
      </c>
      <c r="K1843" s="356" t="s">
        <v>114</v>
      </c>
      <c r="W1843" s="361"/>
    </row>
    <row r="1844" spans="6:23" ht="15">
      <c r="F1844" s="370">
        <v>8</v>
      </c>
      <c r="G1844" s="368" t="s">
        <v>151</v>
      </c>
      <c r="H1844" s="356" t="s">
        <v>1218</v>
      </c>
      <c r="I1844" s="370">
        <f>D665</f>
        <v>12.78</v>
      </c>
      <c r="J1844" s="356" t="s">
        <v>151</v>
      </c>
      <c r="K1844" s="370">
        <f t="shared" ref="K1844:K1850" si="230">(F1844*I1844)</f>
        <v>102.24</v>
      </c>
      <c r="W1844" s="361"/>
    </row>
    <row r="1845" spans="6:23" ht="15">
      <c r="F1845" s="370">
        <v>8</v>
      </c>
      <c r="G1845" s="368" t="s">
        <v>151</v>
      </c>
      <c r="H1845" s="356" t="s">
        <v>1221</v>
      </c>
      <c r="I1845" s="370">
        <f>AI72</f>
        <v>29.260000000000005</v>
      </c>
      <c r="J1845" s="356" t="s">
        <v>151</v>
      </c>
      <c r="K1845" s="370">
        <f t="shared" si="230"/>
        <v>234.08000000000004</v>
      </c>
      <c r="W1845" s="361"/>
    </row>
    <row r="1846" spans="6:23" ht="15">
      <c r="F1846" s="370">
        <v>3</v>
      </c>
      <c r="G1846" s="368" t="s">
        <v>151</v>
      </c>
      <c r="H1846" s="356" t="s">
        <v>1309</v>
      </c>
      <c r="I1846" s="370">
        <f>(C41)</f>
        <v>885.6</v>
      </c>
      <c r="J1846" s="356" t="s">
        <v>151</v>
      </c>
      <c r="K1846" s="370">
        <f t="shared" si="230"/>
        <v>2656.8</v>
      </c>
      <c r="W1846" s="361"/>
    </row>
    <row r="1847" spans="6:23" ht="15">
      <c r="F1847" s="370">
        <v>1</v>
      </c>
      <c r="G1847" s="368" t="s">
        <v>151</v>
      </c>
      <c r="H1847" s="356" t="s">
        <v>2366</v>
      </c>
      <c r="I1847" s="370">
        <f>(C10)</f>
        <v>1198.8</v>
      </c>
      <c r="J1847" s="356" t="s">
        <v>151</v>
      </c>
      <c r="K1847" s="370">
        <f t="shared" si="230"/>
        <v>1198.8</v>
      </c>
      <c r="W1847" s="361"/>
    </row>
    <row r="1848" spans="6:23" ht="15">
      <c r="F1848" s="370">
        <v>2</v>
      </c>
      <c r="G1848" s="368" t="s">
        <v>151</v>
      </c>
      <c r="H1848" s="356" t="s">
        <v>153</v>
      </c>
      <c r="I1848" s="370">
        <f>(C12)</f>
        <v>781.19999999999993</v>
      </c>
      <c r="J1848" s="356" t="s">
        <v>151</v>
      </c>
      <c r="K1848" s="370">
        <f t="shared" si="230"/>
        <v>1562.3999999999999</v>
      </c>
      <c r="W1848" s="361"/>
    </row>
    <row r="1849" spans="6:23" ht="15">
      <c r="F1849" s="370">
        <v>1</v>
      </c>
      <c r="G1849" s="368" t="s">
        <v>151</v>
      </c>
      <c r="H1849" s="356" t="s">
        <v>154</v>
      </c>
      <c r="I1849" s="370">
        <f>(C13)</f>
        <v>640.79999999999995</v>
      </c>
      <c r="J1849" s="356" t="s">
        <v>151</v>
      </c>
      <c r="K1849" s="370">
        <f t="shared" si="230"/>
        <v>640.79999999999995</v>
      </c>
      <c r="W1849" s="361"/>
    </row>
    <row r="1850" spans="6:23" ht="15">
      <c r="F1850" s="370">
        <v>1</v>
      </c>
      <c r="G1850" s="368" t="s">
        <v>151</v>
      </c>
      <c r="H1850" s="356" t="s">
        <v>2367</v>
      </c>
      <c r="I1850" s="498">
        <v>5.26</v>
      </c>
      <c r="J1850" s="356" t="s">
        <v>151</v>
      </c>
      <c r="K1850" s="370">
        <f t="shared" si="230"/>
        <v>5.26</v>
      </c>
      <c r="W1850" s="361"/>
    </row>
    <row r="1851" spans="6:23" ht="15">
      <c r="H1851" s="356" t="s">
        <v>2368</v>
      </c>
      <c r="I1851" s="356" t="s">
        <v>114</v>
      </c>
      <c r="K1851" s="356" t="s">
        <v>114</v>
      </c>
      <c r="W1851" s="361"/>
    </row>
    <row r="1852" spans="6:23" ht="15">
      <c r="G1852" s="368" t="s">
        <v>128</v>
      </c>
      <c r="H1852" s="356" t="s">
        <v>129</v>
      </c>
      <c r="J1852" s="356" t="s">
        <v>128</v>
      </c>
      <c r="K1852" s="370">
        <v>0</v>
      </c>
      <c r="W1852" s="361"/>
    </row>
    <row r="1853" spans="6:23" ht="15">
      <c r="K1853" s="363" t="s">
        <v>117</v>
      </c>
      <c r="W1853" s="361"/>
    </row>
    <row r="1854" spans="6:23" ht="15">
      <c r="H1854" s="356" t="s">
        <v>1317</v>
      </c>
      <c r="K1854" s="370">
        <f>SUM(K1842:K1852)</f>
        <v>6803.58</v>
      </c>
      <c r="W1854" s="361"/>
    </row>
    <row r="1855" spans="6:23" ht="15">
      <c r="K1855" s="363" t="s">
        <v>117</v>
      </c>
      <c r="W1855" s="361"/>
    </row>
    <row r="1856" spans="6:23" ht="15">
      <c r="H1856" s="356" t="s">
        <v>253</v>
      </c>
      <c r="K1856" s="370">
        <f>(K1854/30)</f>
        <v>226.786</v>
      </c>
      <c r="N1856" s="368" t="s">
        <v>438</v>
      </c>
      <c r="O1856" s="356" t="s">
        <v>1292</v>
      </c>
      <c r="Q1856" s="360"/>
      <c r="R1856" s="356" t="s">
        <v>2371</v>
      </c>
      <c r="W1856" s="361"/>
    </row>
    <row r="1857" spans="6:23" ht="15">
      <c r="K1857" s="363" t="s">
        <v>117</v>
      </c>
      <c r="N1857" s="358"/>
      <c r="O1857" s="363" t="s">
        <v>117</v>
      </c>
      <c r="Q1857" s="360"/>
      <c r="R1857" s="363" t="s">
        <v>156</v>
      </c>
      <c r="W1857" s="361"/>
    </row>
    <row r="1858" spans="6:23" ht="15">
      <c r="M1858" s="370">
        <v>30</v>
      </c>
      <c r="N1858" s="368" t="s">
        <v>110</v>
      </c>
      <c r="O1858" s="356" t="s">
        <v>1301</v>
      </c>
      <c r="P1858" s="370">
        <f>I1842</f>
        <v>13.44</v>
      </c>
      <c r="Q1858" s="356" t="s">
        <v>110</v>
      </c>
      <c r="R1858" s="370">
        <f>(M1858*P1858)</f>
        <v>403.2</v>
      </c>
      <c r="W1858" s="361"/>
    </row>
    <row r="1859" spans="6:23" ht="15">
      <c r="F1859" s="637">
        <v>52</v>
      </c>
      <c r="G1859" s="368" t="s">
        <v>122</v>
      </c>
      <c r="H1859" s="356" t="s">
        <v>505</v>
      </c>
      <c r="M1859" s="356" t="s">
        <v>114</v>
      </c>
      <c r="N1859" s="358"/>
      <c r="O1859" s="356" t="s">
        <v>1304</v>
      </c>
      <c r="P1859" s="370" t="str">
        <f t="shared" ref="P1859:P1868" si="231">I1843</f>
        <v xml:space="preserve"> </v>
      </c>
      <c r="Q1859" s="360"/>
      <c r="R1859" s="356" t="s">
        <v>114</v>
      </c>
      <c r="W1859" s="361"/>
    </row>
    <row r="1860" spans="6:23" ht="15">
      <c r="H1860" s="356" t="s">
        <v>506</v>
      </c>
      <c r="M1860" s="370">
        <v>8</v>
      </c>
      <c r="N1860" s="368" t="s">
        <v>151</v>
      </c>
      <c r="O1860" s="450" t="s">
        <v>2372</v>
      </c>
      <c r="P1860" s="381">
        <f>C46</f>
        <v>13.55</v>
      </c>
      <c r="Q1860" s="356" t="s">
        <v>151</v>
      </c>
      <c r="R1860" s="370">
        <f t="shared" ref="R1860:R1865" si="232">(M1860*P1860)</f>
        <v>108.4</v>
      </c>
      <c r="W1860" s="361"/>
    </row>
    <row r="1861" spans="6:23" ht="15">
      <c r="H1861" s="356" t="s">
        <v>507</v>
      </c>
      <c r="M1861" s="370">
        <v>8</v>
      </c>
      <c r="N1861" s="368" t="s">
        <v>151</v>
      </c>
      <c r="O1861" s="450" t="s">
        <v>2373</v>
      </c>
      <c r="P1861" s="381">
        <f>C53</f>
        <v>37.85</v>
      </c>
      <c r="Q1861" s="356" t="s">
        <v>151</v>
      </c>
      <c r="R1861" s="370">
        <f t="shared" si="232"/>
        <v>302.8</v>
      </c>
      <c r="W1861" s="361"/>
    </row>
    <row r="1862" spans="6:23" ht="15">
      <c r="H1862" s="356" t="s">
        <v>508</v>
      </c>
      <c r="M1862" s="370">
        <v>3</v>
      </c>
      <c r="N1862" s="368" t="s">
        <v>151</v>
      </c>
      <c r="O1862" s="356" t="s">
        <v>1309</v>
      </c>
      <c r="P1862" s="370">
        <f t="shared" si="231"/>
        <v>885.6</v>
      </c>
      <c r="Q1862" s="356" t="s">
        <v>151</v>
      </c>
      <c r="R1862" s="370">
        <f t="shared" si="232"/>
        <v>2656.8</v>
      </c>
      <c r="W1862" s="361"/>
    </row>
    <row r="1863" spans="6:23" ht="15">
      <c r="H1863" s="356" t="s">
        <v>509</v>
      </c>
      <c r="M1863" s="370">
        <v>1</v>
      </c>
      <c r="N1863" s="368" t="s">
        <v>151</v>
      </c>
      <c r="O1863" s="356" t="s">
        <v>2366</v>
      </c>
      <c r="P1863" s="370">
        <f t="shared" si="231"/>
        <v>1198.8</v>
      </c>
      <c r="Q1863" s="356" t="s">
        <v>151</v>
      </c>
      <c r="R1863" s="370">
        <f t="shared" si="232"/>
        <v>1198.8</v>
      </c>
      <c r="W1863" s="361"/>
    </row>
    <row r="1864" spans="6:23" ht="15">
      <c r="H1864" s="356" t="s">
        <v>510</v>
      </c>
      <c r="M1864" s="370">
        <v>2</v>
      </c>
      <c r="N1864" s="368" t="s">
        <v>151</v>
      </c>
      <c r="O1864" s="356" t="s">
        <v>153</v>
      </c>
      <c r="P1864" s="370">
        <f t="shared" si="231"/>
        <v>781.19999999999993</v>
      </c>
      <c r="Q1864" s="356" t="s">
        <v>151</v>
      </c>
      <c r="R1864" s="370">
        <f t="shared" si="232"/>
        <v>1562.3999999999999</v>
      </c>
      <c r="W1864" s="361"/>
    </row>
    <row r="1865" spans="6:23" ht="15">
      <c r="H1865" s="356" t="s">
        <v>511</v>
      </c>
      <c r="M1865" s="370">
        <v>1</v>
      </c>
      <c r="N1865" s="368" t="s">
        <v>151</v>
      </c>
      <c r="O1865" s="356" t="s">
        <v>154</v>
      </c>
      <c r="P1865" s="370">
        <f t="shared" si="231"/>
        <v>640.79999999999995</v>
      </c>
      <c r="Q1865" s="356" t="s">
        <v>151</v>
      </c>
      <c r="R1865" s="370">
        <f t="shared" si="232"/>
        <v>640.79999999999995</v>
      </c>
      <c r="W1865" s="361"/>
    </row>
    <row r="1866" spans="6:23" ht="15">
      <c r="H1866" s="356" t="s">
        <v>512</v>
      </c>
      <c r="N1866" s="368" t="s">
        <v>128</v>
      </c>
      <c r="O1866" s="356" t="s">
        <v>2367</v>
      </c>
      <c r="P1866" s="370">
        <f t="shared" si="231"/>
        <v>5.26</v>
      </c>
      <c r="Q1866" s="356" t="s">
        <v>128</v>
      </c>
      <c r="R1866" s="370">
        <v>5</v>
      </c>
      <c r="W1866" s="361"/>
    </row>
    <row r="1867" spans="6:23" ht="15">
      <c r="H1867" s="363" t="s">
        <v>156</v>
      </c>
      <c r="I1867" s="363" t="s">
        <v>156</v>
      </c>
      <c r="N1867" s="358"/>
      <c r="O1867" s="356" t="s">
        <v>2368</v>
      </c>
      <c r="P1867" s="370" t="str">
        <f t="shared" si="231"/>
        <v xml:space="preserve"> </v>
      </c>
      <c r="Q1867" s="360"/>
      <c r="R1867" s="356" t="s">
        <v>114</v>
      </c>
      <c r="W1867" s="361"/>
    </row>
    <row r="1868" spans="6:23" ht="15">
      <c r="G1868" s="368" t="s">
        <v>122</v>
      </c>
      <c r="H1868" s="356" t="s">
        <v>513</v>
      </c>
      <c r="N1868" s="368" t="s">
        <v>128</v>
      </c>
      <c r="O1868" s="356" t="s">
        <v>129</v>
      </c>
      <c r="P1868" s="370">
        <f t="shared" si="231"/>
        <v>0</v>
      </c>
      <c r="Q1868" s="356" t="s">
        <v>128</v>
      </c>
      <c r="R1868" s="370">
        <v>0</v>
      </c>
      <c r="W1868" s="361"/>
    </row>
    <row r="1869" spans="6:23" ht="15">
      <c r="H1869" s="356" t="s">
        <v>514</v>
      </c>
      <c r="N1869" s="358"/>
      <c r="Q1869" s="360"/>
      <c r="R1869" s="363" t="s">
        <v>117</v>
      </c>
      <c r="W1869" s="361"/>
    </row>
    <row r="1870" spans="6:23" ht="15">
      <c r="G1870" s="368" t="s">
        <v>433</v>
      </c>
      <c r="H1870" s="356" t="s">
        <v>515</v>
      </c>
      <c r="N1870" s="358"/>
      <c r="O1870" s="356" t="s">
        <v>1317</v>
      </c>
      <c r="Q1870" s="360"/>
      <c r="R1870" s="370">
        <f>SUM(R1858:R1868)</f>
        <v>6878.2</v>
      </c>
      <c r="W1870" s="361"/>
    </row>
    <row r="1871" spans="6:23" ht="15">
      <c r="H1871" s="363" t="s">
        <v>117</v>
      </c>
      <c r="N1871" s="358"/>
      <c r="Q1871" s="360"/>
      <c r="R1871" s="363" t="s">
        <v>117</v>
      </c>
      <c r="W1871" s="361"/>
    </row>
    <row r="1872" spans="6:23" ht="15">
      <c r="F1872" s="370">
        <v>1</v>
      </c>
      <c r="G1872" s="368" t="s">
        <v>31</v>
      </c>
      <c r="H1872" s="356" t="s">
        <v>516</v>
      </c>
      <c r="I1872" s="370">
        <f>C519</f>
        <v>26</v>
      </c>
      <c r="J1872" s="356" t="s">
        <v>31</v>
      </c>
      <c r="K1872" s="370">
        <f>(F1872*I1872)</f>
        <v>26</v>
      </c>
      <c r="N1872" s="358"/>
      <c r="O1872" s="356" t="s">
        <v>253</v>
      </c>
      <c r="Q1872" s="360"/>
      <c r="R1872" s="370">
        <f>(R1870/30)</f>
        <v>229.27333333333334</v>
      </c>
      <c r="W1872" s="361"/>
    </row>
    <row r="1873" spans="6:23" ht="15">
      <c r="F1873" s="370">
        <v>1</v>
      </c>
      <c r="G1873" s="368" t="s">
        <v>128</v>
      </c>
      <c r="H1873" s="356" t="s">
        <v>517</v>
      </c>
      <c r="I1873" s="370">
        <f>I1872*0.7</f>
        <v>18.2</v>
      </c>
      <c r="J1873" s="356" t="s">
        <v>128</v>
      </c>
      <c r="K1873" s="370">
        <f>(F1873*I1873)</f>
        <v>18.2</v>
      </c>
      <c r="N1873" s="358"/>
      <c r="Q1873" s="360"/>
      <c r="R1873" s="363" t="s">
        <v>117</v>
      </c>
      <c r="W1873" s="361"/>
    </row>
    <row r="1874" spans="6:23" ht="15">
      <c r="F1874" s="370">
        <v>1</v>
      </c>
      <c r="G1874" s="368" t="s">
        <v>31</v>
      </c>
      <c r="H1874" s="356" t="s">
        <v>518</v>
      </c>
      <c r="I1874" s="370">
        <f>K1820</f>
        <v>222.46266666666668</v>
      </c>
      <c r="J1874" s="356" t="s">
        <v>31</v>
      </c>
      <c r="K1874" s="370">
        <f>(F1874*I1874)</f>
        <v>222.46266666666668</v>
      </c>
      <c r="W1874" s="361"/>
    </row>
    <row r="1875" spans="6:23" ht="15">
      <c r="I1875" s="356" t="s">
        <v>114</v>
      </c>
      <c r="K1875" s="363" t="s">
        <v>117</v>
      </c>
      <c r="W1875" s="361"/>
    </row>
    <row r="1876" spans="6:23" ht="15.75">
      <c r="H1876" s="356" t="s">
        <v>519</v>
      </c>
      <c r="K1876" s="369">
        <f>SUM(K1872:K1874)</f>
        <v>266.66266666666667</v>
      </c>
      <c r="W1876" s="361"/>
    </row>
    <row r="1877" spans="6:23" ht="15">
      <c r="H1877" s="356" t="s">
        <v>114</v>
      </c>
      <c r="I1877" s="356" t="s">
        <v>114</v>
      </c>
      <c r="K1877" s="363" t="s">
        <v>156</v>
      </c>
      <c r="N1877" s="368" t="s">
        <v>438</v>
      </c>
      <c r="O1877" s="356" t="s">
        <v>2374</v>
      </c>
      <c r="Q1877" s="360"/>
      <c r="W1877" s="361"/>
    </row>
    <row r="1878" spans="6:23" ht="15">
      <c r="G1878" s="368" t="s">
        <v>431</v>
      </c>
      <c r="H1878" s="356" t="s">
        <v>520</v>
      </c>
      <c r="N1878" s="358"/>
      <c r="O1878" s="363" t="s">
        <v>117</v>
      </c>
      <c r="Q1878" s="360"/>
      <c r="W1878" s="361"/>
    </row>
    <row r="1879" spans="6:23" ht="15.75">
      <c r="H1879" s="363" t="s">
        <v>117</v>
      </c>
      <c r="M1879" s="370">
        <v>1</v>
      </c>
      <c r="N1879" s="368" t="s">
        <v>31</v>
      </c>
      <c r="O1879" s="356" t="s">
        <v>2375</v>
      </c>
      <c r="P1879" s="394">
        <v>133.69999999999999</v>
      </c>
      <c r="Q1879" s="356" t="s">
        <v>31</v>
      </c>
      <c r="R1879" s="370">
        <f>(M1879*P1879)</f>
        <v>133.69999999999999</v>
      </c>
      <c r="W1879" s="361"/>
    </row>
    <row r="1880" spans="6:23" ht="15">
      <c r="F1880" s="370">
        <v>1</v>
      </c>
      <c r="G1880" s="368" t="s">
        <v>31</v>
      </c>
      <c r="H1880" s="356" t="s">
        <v>521</v>
      </c>
      <c r="I1880" s="370">
        <f>C520</f>
        <v>35</v>
      </c>
      <c r="J1880" s="356" t="s">
        <v>31</v>
      </c>
      <c r="K1880" s="370">
        <f>(F1880*I1880)</f>
        <v>35</v>
      </c>
      <c r="M1880" s="370">
        <v>1</v>
      </c>
      <c r="N1880" s="368" t="s">
        <v>128</v>
      </c>
      <c r="O1880" s="356" t="s">
        <v>525</v>
      </c>
      <c r="P1880" s="370">
        <f>P1879*0.2</f>
        <v>26.74</v>
      </c>
      <c r="Q1880" s="356" t="s">
        <v>128</v>
      </c>
      <c r="R1880" s="370">
        <f>(M1880*P1880)</f>
        <v>26.74</v>
      </c>
      <c r="W1880" s="361"/>
    </row>
    <row r="1881" spans="6:23" ht="15">
      <c r="F1881" s="370">
        <v>1</v>
      </c>
      <c r="G1881" s="368" t="s">
        <v>128</v>
      </c>
      <c r="H1881" s="356" t="s">
        <v>522</v>
      </c>
      <c r="I1881" s="370">
        <f>I1880*0.4</f>
        <v>14</v>
      </c>
      <c r="J1881" s="356" t="s">
        <v>128</v>
      </c>
      <c r="K1881" s="370">
        <f>(F1881*I1881)</f>
        <v>14</v>
      </c>
      <c r="M1881" s="370">
        <v>1</v>
      </c>
      <c r="N1881" s="368" t="s">
        <v>31</v>
      </c>
      <c r="O1881" s="356" t="s">
        <v>518</v>
      </c>
      <c r="P1881" s="370">
        <f>R1872</f>
        <v>229.27333333333334</v>
      </c>
      <c r="Q1881" s="356" t="s">
        <v>31</v>
      </c>
      <c r="R1881" s="370">
        <f>(M1881*P1881)</f>
        <v>229.27333333333334</v>
      </c>
      <c r="W1881" s="361"/>
    </row>
    <row r="1882" spans="6:23" ht="15">
      <c r="F1882" s="370">
        <v>1</v>
      </c>
      <c r="G1882" s="368" t="s">
        <v>31</v>
      </c>
      <c r="H1882" s="356" t="s">
        <v>518</v>
      </c>
      <c r="I1882" s="370">
        <f>K1838</f>
        <v>222.52666666666667</v>
      </c>
      <c r="J1882" s="356" t="s">
        <v>31</v>
      </c>
      <c r="K1882" s="370">
        <f>(F1882*I1882)</f>
        <v>222.52666666666667</v>
      </c>
      <c r="N1882" s="358"/>
      <c r="P1882" s="356" t="s">
        <v>114</v>
      </c>
      <c r="Q1882" s="360"/>
      <c r="R1882" s="363" t="s">
        <v>117</v>
      </c>
      <c r="W1882" s="361"/>
    </row>
    <row r="1883" spans="6:23" ht="15.75">
      <c r="I1883" s="356" t="s">
        <v>114</v>
      </c>
      <c r="K1883" s="363" t="s">
        <v>117</v>
      </c>
      <c r="N1883" s="358"/>
      <c r="O1883" s="356" t="s">
        <v>519</v>
      </c>
      <c r="Q1883" s="360"/>
      <c r="R1883" s="369">
        <f>SUM(R1879:R1881)</f>
        <v>389.71333333333337</v>
      </c>
      <c r="W1883" s="361"/>
    </row>
    <row r="1884" spans="6:23" ht="15.75">
      <c r="H1884" s="356" t="s">
        <v>519</v>
      </c>
      <c r="K1884" s="369">
        <f>SUM(K1880:K1882)</f>
        <v>271.52666666666664</v>
      </c>
      <c r="N1884" s="358"/>
      <c r="P1884" s="356" t="s">
        <v>114</v>
      </c>
      <c r="Q1884" s="360"/>
      <c r="R1884" s="363" t="s">
        <v>156</v>
      </c>
      <c r="W1884" s="361"/>
    </row>
    <row r="1885" spans="6:23" ht="15">
      <c r="I1885" s="356" t="s">
        <v>114</v>
      </c>
      <c r="K1885" s="363" t="s">
        <v>156</v>
      </c>
      <c r="W1885" s="361"/>
    </row>
    <row r="1886" spans="6:23" ht="15">
      <c r="G1886" s="368" t="s">
        <v>438</v>
      </c>
      <c r="H1886" s="356" t="s">
        <v>523</v>
      </c>
      <c r="W1886" s="361"/>
    </row>
    <row r="1887" spans="6:23" ht="15">
      <c r="H1887" s="363" t="s">
        <v>117</v>
      </c>
      <c r="N1887" s="368" t="s">
        <v>438</v>
      </c>
      <c r="O1887" s="356" t="s">
        <v>1292</v>
      </c>
      <c r="Q1887" s="360"/>
      <c r="R1887" s="356" t="s">
        <v>2376</v>
      </c>
      <c r="W1887" s="361"/>
    </row>
    <row r="1888" spans="6:23" ht="15">
      <c r="F1888" s="370">
        <v>1</v>
      </c>
      <c r="G1888" s="368" t="s">
        <v>31</v>
      </c>
      <c r="H1888" s="356" t="s">
        <v>524</v>
      </c>
      <c r="I1888" s="370">
        <f>C521</f>
        <v>52</v>
      </c>
      <c r="J1888" s="356" t="s">
        <v>31</v>
      </c>
      <c r="K1888" s="370">
        <f>(F1888*I1888)</f>
        <v>52</v>
      </c>
      <c r="N1888" s="358"/>
      <c r="O1888" s="363" t="s">
        <v>117</v>
      </c>
      <c r="Q1888" s="360"/>
      <c r="R1888" s="363" t="s">
        <v>156</v>
      </c>
      <c r="W1888" s="361"/>
    </row>
    <row r="1889" spans="6:23" ht="15.75">
      <c r="F1889" s="370">
        <v>1</v>
      </c>
      <c r="G1889" s="368" t="s">
        <v>128</v>
      </c>
      <c r="H1889" s="356" t="s">
        <v>525</v>
      </c>
      <c r="I1889" s="370">
        <f>I1888*0.2</f>
        <v>10.4</v>
      </c>
      <c r="J1889" s="356" t="s">
        <v>128</v>
      </c>
      <c r="K1889" s="370">
        <f>(F1889*I1889)</f>
        <v>10.4</v>
      </c>
      <c r="M1889" s="370">
        <v>30</v>
      </c>
      <c r="N1889" s="368" t="s">
        <v>110</v>
      </c>
      <c r="O1889" s="356" t="s">
        <v>2377</v>
      </c>
      <c r="P1889" s="638">
        <v>18.899999999999999</v>
      </c>
      <c r="Q1889" s="356" t="s">
        <v>110</v>
      </c>
      <c r="R1889" s="370">
        <f>(M1889*P1889)</f>
        <v>567</v>
      </c>
      <c r="W1889" s="361"/>
    </row>
    <row r="1890" spans="6:23" ht="15.75">
      <c r="F1890" s="370">
        <v>1</v>
      </c>
      <c r="G1890" s="368" t="s">
        <v>31</v>
      </c>
      <c r="H1890" s="356" t="s">
        <v>518</v>
      </c>
      <c r="I1890" s="370">
        <f>K1856</f>
        <v>226.786</v>
      </c>
      <c r="J1890" s="356" t="s">
        <v>31</v>
      </c>
      <c r="K1890" s="370">
        <f>(F1890*I1890)</f>
        <v>226.786</v>
      </c>
      <c r="M1890" s="356" t="s">
        <v>114</v>
      </c>
      <c r="N1890" s="358"/>
      <c r="O1890" s="639" t="s">
        <v>2378</v>
      </c>
      <c r="P1890" s="370" t="str">
        <f t="shared" ref="P1890:P1898" si="233">P1859</f>
        <v xml:space="preserve"> </v>
      </c>
      <c r="Q1890" s="360"/>
      <c r="R1890" s="356" t="s">
        <v>114</v>
      </c>
      <c r="W1890" s="361"/>
    </row>
    <row r="1891" spans="6:23" ht="15">
      <c r="I1891" s="356" t="s">
        <v>114</v>
      </c>
      <c r="K1891" s="363" t="s">
        <v>117</v>
      </c>
      <c r="M1891" s="370">
        <v>8</v>
      </c>
      <c r="N1891" s="368" t="s">
        <v>151</v>
      </c>
      <c r="O1891" s="356" t="s">
        <v>2379</v>
      </c>
      <c r="P1891" s="381">
        <f>C47</f>
        <v>18.3</v>
      </c>
      <c r="Q1891" s="356" t="s">
        <v>151</v>
      </c>
      <c r="R1891" s="370">
        <f t="shared" ref="R1891:R1896" si="234">(M1891*P1891)</f>
        <v>146.4</v>
      </c>
      <c r="W1891" s="361"/>
    </row>
    <row r="1892" spans="6:23" ht="15.75">
      <c r="H1892" s="356" t="s">
        <v>519</v>
      </c>
      <c r="K1892" s="369">
        <f>SUM(K1888:K1890)</f>
        <v>289.18599999999998</v>
      </c>
      <c r="M1892" s="370">
        <v>8</v>
      </c>
      <c r="N1892" s="368" t="s">
        <v>151</v>
      </c>
      <c r="O1892" s="356" t="s">
        <v>2380</v>
      </c>
      <c r="P1892" s="381">
        <f>C54</f>
        <v>42.65</v>
      </c>
      <c r="Q1892" s="356" t="s">
        <v>151</v>
      </c>
      <c r="R1892" s="370">
        <f t="shared" si="234"/>
        <v>341.2</v>
      </c>
      <c r="W1892" s="361"/>
    </row>
    <row r="1893" spans="6:23" ht="15">
      <c r="I1893" s="356" t="s">
        <v>114</v>
      </c>
      <c r="K1893" s="363" t="s">
        <v>156</v>
      </c>
      <c r="M1893" s="370">
        <v>3</v>
      </c>
      <c r="N1893" s="368" t="s">
        <v>151</v>
      </c>
      <c r="O1893" s="356" t="s">
        <v>1309</v>
      </c>
      <c r="P1893" s="370">
        <f t="shared" si="233"/>
        <v>885.6</v>
      </c>
      <c r="Q1893" s="356" t="s">
        <v>151</v>
      </c>
      <c r="R1893" s="370">
        <f t="shared" si="234"/>
        <v>2656.8</v>
      </c>
      <c r="W1893" s="361"/>
    </row>
    <row r="1894" spans="6:23" ht="15">
      <c r="I1894" s="356"/>
      <c r="K1894" s="363"/>
      <c r="M1894" s="370">
        <v>1</v>
      </c>
      <c r="N1894" s="368" t="s">
        <v>151</v>
      </c>
      <c r="O1894" s="356" t="s">
        <v>2366</v>
      </c>
      <c r="P1894" s="370">
        <f t="shared" si="233"/>
        <v>1198.8</v>
      </c>
      <c r="Q1894" s="356" t="s">
        <v>151</v>
      </c>
      <c r="R1894" s="370">
        <f t="shared" si="234"/>
        <v>1198.8</v>
      </c>
      <c r="W1894" s="361"/>
    </row>
    <row r="1895" spans="6:23" ht="15">
      <c r="G1895" s="368" t="s">
        <v>438</v>
      </c>
      <c r="H1895" s="356" t="s">
        <v>2381</v>
      </c>
      <c r="M1895" s="370">
        <v>2</v>
      </c>
      <c r="N1895" s="368" t="s">
        <v>151</v>
      </c>
      <c r="O1895" s="356" t="s">
        <v>153</v>
      </c>
      <c r="P1895" s="370">
        <f t="shared" si="233"/>
        <v>781.19999999999993</v>
      </c>
      <c r="Q1895" s="356" t="s">
        <v>151</v>
      </c>
      <c r="R1895" s="370">
        <f t="shared" si="234"/>
        <v>1562.3999999999999</v>
      </c>
      <c r="W1895" s="361"/>
    </row>
    <row r="1896" spans="6:23" ht="15">
      <c r="H1896" s="363" t="s">
        <v>117</v>
      </c>
      <c r="M1896" s="370">
        <v>1</v>
      </c>
      <c r="N1896" s="368" t="s">
        <v>151</v>
      </c>
      <c r="O1896" s="356" t="s">
        <v>154</v>
      </c>
      <c r="P1896" s="370">
        <f t="shared" si="233"/>
        <v>640.79999999999995</v>
      </c>
      <c r="Q1896" s="356" t="s">
        <v>151</v>
      </c>
      <c r="R1896" s="370">
        <f t="shared" si="234"/>
        <v>640.79999999999995</v>
      </c>
      <c r="W1896" s="361"/>
    </row>
    <row r="1897" spans="6:23" ht="15">
      <c r="F1897" s="370">
        <v>1</v>
      </c>
      <c r="G1897" s="368" t="s">
        <v>31</v>
      </c>
      <c r="H1897" s="356" t="s">
        <v>2382</v>
      </c>
      <c r="I1897" s="370">
        <f>C523</f>
        <v>82</v>
      </c>
      <c r="J1897" s="356" t="s">
        <v>31</v>
      </c>
      <c r="K1897" s="370">
        <f>(F1897*I1897)</f>
        <v>82</v>
      </c>
      <c r="N1897" s="368" t="s">
        <v>128</v>
      </c>
      <c r="O1897" s="356" t="s">
        <v>2367</v>
      </c>
      <c r="P1897" s="370">
        <f t="shared" si="233"/>
        <v>5.26</v>
      </c>
      <c r="Q1897" s="356" t="s">
        <v>128</v>
      </c>
      <c r="R1897" s="370">
        <v>5</v>
      </c>
      <c r="W1897" s="361"/>
    </row>
    <row r="1898" spans="6:23" ht="15">
      <c r="F1898" s="370">
        <v>1</v>
      </c>
      <c r="G1898" s="368" t="s">
        <v>128</v>
      </c>
      <c r="H1898" s="356" t="s">
        <v>525</v>
      </c>
      <c r="I1898" s="370">
        <f>I1897*0.2</f>
        <v>16.400000000000002</v>
      </c>
      <c r="J1898" s="356" t="s">
        <v>128</v>
      </c>
      <c r="K1898" s="370">
        <f>(F1898*I1898)</f>
        <v>16.400000000000002</v>
      </c>
      <c r="N1898" s="358"/>
      <c r="O1898" s="356" t="s">
        <v>2368</v>
      </c>
      <c r="P1898" s="370" t="str">
        <f t="shared" si="233"/>
        <v xml:space="preserve"> </v>
      </c>
      <c r="Q1898" s="360"/>
      <c r="R1898" s="356" t="s">
        <v>114</v>
      </c>
      <c r="W1898" s="361"/>
    </row>
    <row r="1899" spans="6:23" ht="15">
      <c r="F1899" s="370">
        <v>1</v>
      </c>
      <c r="G1899" s="368" t="s">
        <v>31</v>
      </c>
      <c r="H1899" s="356" t="s">
        <v>518</v>
      </c>
      <c r="I1899" s="370">
        <f>I1890</f>
        <v>226.786</v>
      </c>
      <c r="J1899" s="356" t="s">
        <v>31</v>
      </c>
      <c r="K1899" s="370">
        <f>(F1899*I1899)</f>
        <v>226.786</v>
      </c>
      <c r="N1899" s="368" t="s">
        <v>128</v>
      </c>
      <c r="O1899" s="356" t="s">
        <v>129</v>
      </c>
      <c r="P1899" s="370" t="str">
        <f>I1883</f>
        <v xml:space="preserve"> </v>
      </c>
      <c r="Q1899" s="356" t="s">
        <v>128</v>
      </c>
      <c r="R1899" s="370">
        <v>0</v>
      </c>
      <c r="W1899" s="361"/>
    </row>
    <row r="1900" spans="6:23" ht="15">
      <c r="I1900" s="356" t="s">
        <v>114</v>
      </c>
      <c r="K1900" s="363" t="s">
        <v>117</v>
      </c>
      <c r="N1900" s="358"/>
      <c r="Q1900" s="360"/>
      <c r="R1900" s="363" t="s">
        <v>117</v>
      </c>
      <c r="W1900" s="361"/>
    </row>
    <row r="1901" spans="6:23" ht="15.75">
      <c r="H1901" s="356" t="s">
        <v>519</v>
      </c>
      <c r="K1901" s="369">
        <f>SUM(K1897:K1899)</f>
        <v>325.18600000000004</v>
      </c>
      <c r="N1901" s="358"/>
      <c r="O1901" s="356" t="s">
        <v>1317</v>
      </c>
      <c r="Q1901" s="360"/>
      <c r="R1901" s="370">
        <f>SUM(R1889:R1899)</f>
        <v>7118.4</v>
      </c>
      <c r="W1901" s="361"/>
    </row>
    <row r="1902" spans="6:23" ht="15">
      <c r="I1902" s="356" t="s">
        <v>114</v>
      </c>
      <c r="K1902" s="363" t="s">
        <v>156</v>
      </c>
      <c r="N1902" s="358"/>
      <c r="Q1902" s="360"/>
      <c r="R1902" s="363" t="s">
        <v>117</v>
      </c>
      <c r="W1902" s="361"/>
    </row>
    <row r="1903" spans="6:23" ht="15">
      <c r="I1903" s="356"/>
      <c r="K1903" s="363"/>
      <c r="N1903" s="358"/>
      <c r="O1903" s="356" t="s">
        <v>253</v>
      </c>
      <c r="Q1903" s="360"/>
      <c r="R1903" s="370">
        <f>(R1901/30)</f>
        <v>237.28</v>
      </c>
      <c r="W1903" s="361"/>
    </row>
    <row r="1904" spans="6:23" ht="30">
      <c r="F1904" s="37">
        <v>52.1</v>
      </c>
      <c r="H1904" s="40" t="s">
        <v>2383</v>
      </c>
      <c r="I1904" s="356"/>
      <c r="K1904" s="363"/>
      <c r="N1904" s="358"/>
      <c r="Q1904" s="360"/>
      <c r="R1904" s="363" t="s">
        <v>117</v>
      </c>
      <c r="W1904" s="361"/>
    </row>
    <row r="1905" spans="6:23" ht="15">
      <c r="I1905" s="356"/>
      <c r="K1905" s="363"/>
      <c r="W1905" s="361"/>
    </row>
    <row r="1906" spans="6:23" ht="15">
      <c r="F1906" s="357"/>
      <c r="G1906" s="368"/>
      <c r="H1906" s="356" t="s">
        <v>1193</v>
      </c>
      <c r="I1906" s="356"/>
      <c r="K1906" s="363"/>
      <c r="W1906" s="361"/>
    </row>
    <row r="1907" spans="6:23" ht="15">
      <c r="G1907" s="368"/>
      <c r="H1907" s="356" t="s">
        <v>2384</v>
      </c>
      <c r="I1907" s="356"/>
      <c r="K1907" s="363"/>
      <c r="W1907" s="361"/>
    </row>
    <row r="1908" spans="6:23" ht="15">
      <c r="H1908" s="363" t="s">
        <v>117</v>
      </c>
      <c r="I1908" s="356"/>
      <c r="K1908" s="363"/>
      <c r="N1908" s="368" t="s">
        <v>438</v>
      </c>
      <c r="O1908" s="356" t="s">
        <v>2381</v>
      </c>
      <c r="Q1908" s="360"/>
      <c r="W1908" s="361"/>
    </row>
    <row r="1909" spans="6:23" ht="15">
      <c r="F1909" s="370">
        <v>30</v>
      </c>
      <c r="G1909" s="368" t="s">
        <v>110</v>
      </c>
      <c r="H1909" s="356" t="s">
        <v>2385</v>
      </c>
      <c r="I1909" s="498">
        <f>E663</f>
        <v>20.76</v>
      </c>
      <c r="J1909" s="356" t="s">
        <v>110</v>
      </c>
      <c r="K1909" s="370">
        <f>(F1909*I1909)</f>
        <v>622.80000000000007</v>
      </c>
      <c r="N1909" s="358"/>
      <c r="O1909" s="363" t="s">
        <v>117</v>
      </c>
      <c r="Q1909" s="360"/>
      <c r="W1909" s="361"/>
    </row>
    <row r="1910" spans="6:23" ht="15.75">
      <c r="F1910" s="370">
        <v>8</v>
      </c>
      <c r="G1910" s="368" t="s">
        <v>151</v>
      </c>
      <c r="H1910" s="356" t="s">
        <v>1218</v>
      </c>
      <c r="I1910" s="498">
        <f>C665</f>
        <v>10.68</v>
      </c>
      <c r="J1910" s="356" t="s">
        <v>151</v>
      </c>
      <c r="K1910" s="370">
        <f t="shared" ref="K1910:K1915" si="235">(F1910*I1910)</f>
        <v>85.44</v>
      </c>
      <c r="M1910" s="370">
        <v>1</v>
      </c>
      <c r="N1910" s="368" t="s">
        <v>31</v>
      </c>
      <c r="O1910" s="356" t="s">
        <v>2386</v>
      </c>
      <c r="P1910" s="394">
        <v>101.4</v>
      </c>
      <c r="Q1910" s="356" t="s">
        <v>31</v>
      </c>
      <c r="R1910" s="370">
        <f>(M1910*P1910)</f>
        <v>101.4</v>
      </c>
      <c r="W1910" s="361"/>
    </row>
    <row r="1911" spans="6:23" ht="15">
      <c r="F1911" s="370">
        <v>8</v>
      </c>
      <c r="G1911" s="368" t="s">
        <v>151</v>
      </c>
      <c r="H1911" s="356" t="s">
        <v>1221</v>
      </c>
      <c r="I1911" s="498">
        <f>D674</f>
        <v>15.419999999999998</v>
      </c>
      <c r="J1911" s="356" t="s">
        <v>151</v>
      </c>
      <c r="K1911" s="370">
        <f t="shared" si="235"/>
        <v>123.35999999999999</v>
      </c>
      <c r="M1911" s="370">
        <v>1</v>
      </c>
      <c r="N1911" s="368" t="s">
        <v>128</v>
      </c>
      <c r="O1911" s="356" t="s">
        <v>525</v>
      </c>
      <c r="P1911" s="370">
        <f>P1910*0.2</f>
        <v>20.28</v>
      </c>
      <c r="Q1911" s="356" t="s">
        <v>128</v>
      </c>
      <c r="R1911" s="370">
        <f>(M1911*P1911)</f>
        <v>20.28</v>
      </c>
      <c r="W1911" s="361"/>
    </row>
    <row r="1912" spans="6:23" ht="15">
      <c r="F1912" s="370">
        <v>3</v>
      </c>
      <c r="G1912" s="368" t="s">
        <v>151</v>
      </c>
      <c r="H1912" s="356" t="s">
        <v>1309</v>
      </c>
      <c r="I1912" s="498">
        <f>C41</f>
        <v>885.6</v>
      </c>
      <c r="J1912" s="356" t="s">
        <v>151</v>
      </c>
      <c r="K1912" s="370">
        <f t="shared" si="235"/>
        <v>2656.8</v>
      </c>
      <c r="M1912" s="370">
        <v>1</v>
      </c>
      <c r="N1912" s="368" t="s">
        <v>31</v>
      </c>
      <c r="O1912" s="356" t="s">
        <v>518</v>
      </c>
      <c r="P1912" s="370">
        <f>R1903</f>
        <v>237.28</v>
      </c>
      <c r="Q1912" s="356" t="s">
        <v>31</v>
      </c>
      <c r="R1912" s="370">
        <f>(M1912*P1912)</f>
        <v>237.28</v>
      </c>
      <c r="W1912" s="361"/>
    </row>
    <row r="1913" spans="6:23" ht="15">
      <c r="F1913" s="370">
        <v>1</v>
      </c>
      <c r="G1913" s="368" t="s">
        <v>151</v>
      </c>
      <c r="H1913" s="356" t="s">
        <v>2366</v>
      </c>
      <c r="I1913" s="498">
        <f>C10</f>
        <v>1198.8</v>
      </c>
      <c r="J1913" s="356" t="s">
        <v>151</v>
      </c>
      <c r="K1913" s="370">
        <f t="shared" si="235"/>
        <v>1198.8</v>
      </c>
      <c r="N1913" s="358"/>
      <c r="P1913" s="356" t="s">
        <v>114</v>
      </c>
      <c r="Q1913" s="360"/>
      <c r="R1913" s="363" t="s">
        <v>117</v>
      </c>
      <c r="W1913" s="361"/>
    </row>
    <row r="1914" spans="6:23" ht="15.75">
      <c r="F1914" s="370">
        <v>2</v>
      </c>
      <c r="G1914" s="368" t="s">
        <v>151</v>
      </c>
      <c r="H1914" s="356" t="s">
        <v>153</v>
      </c>
      <c r="I1914" s="498">
        <f>C12</f>
        <v>781.19999999999993</v>
      </c>
      <c r="J1914" s="356" t="s">
        <v>151</v>
      </c>
      <c r="K1914" s="370">
        <f t="shared" si="235"/>
        <v>1562.3999999999999</v>
      </c>
      <c r="N1914" s="358"/>
      <c r="O1914" s="356" t="s">
        <v>519</v>
      </c>
      <c r="Q1914" s="360"/>
      <c r="R1914" s="369">
        <f>SUM(R1910:R1912)</f>
        <v>358.96000000000004</v>
      </c>
      <c r="W1914" s="361"/>
    </row>
    <row r="1915" spans="6:23" ht="15">
      <c r="F1915" s="370">
        <v>1</v>
      </c>
      <c r="G1915" s="368" t="s">
        <v>151</v>
      </c>
      <c r="H1915" s="356" t="s">
        <v>154</v>
      </c>
      <c r="I1915" s="498">
        <f>C13</f>
        <v>640.79999999999995</v>
      </c>
      <c r="J1915" s="356" t="s">
        <v>151</v>
      </c>
      <c r="K1915" s="370">
        <f t="shared" si="235"/>
        <v>640.79999999999995</v>
      </c>
      <c r="N1915" s="358"/>
      <c r="P1915" s="356" t="s">
        <v>114</v>
      </c>
      <c r="Q1915" s="360"/>
      <c r="R1915" s="363" t="s">
        <v>156</v>
      </c>
      <c r="W1915" s="361"/>
    </row>
    <row r="1916" spans="6:23" ht="15">
      <c r="K1916" s="363" t="s">
        <v>117</v>
      </c>
      <c r="W1916" s="361"/>
    </row>
    <row r="1917" spans="6:23" ht="15">
      <c r="H1917" s="356" t="s">
        <v>1317</v>
      </c>
      <c r="K1917" s="370">
        <f>SUM(K1909:K1915)</f>
        <v>6890.4</v>
      </c>
      <c r="W1917" s="361"/>
    </row>
    <row r="1918" spans="6:23" ht="15">
      <c r="K1918" s="363" t="s">
        <v>117</v>
      </c>
      <c r="W1918" s="361"/>
    </row>
    <row r="1919" spans="6:23" ht="15">
      <c r="H1919" s="356" t="s">
        <v>253</v>
      </c>
      <c r="K1919" s="370">
        <f>(K1917/30)</f>
        <v>229.67999999999998</v>
      </c>
      <c r="W1919" s="361"/>
    </row>
    <row r="1920" spans="6:23" ht="15">
      <c r="K1920" s="363" t="s">
        <v>117</v>
      </c>
      <c r="W1920" s="361"/>
    </row>
    <row r="1921" spans="6:23" ht="15">
      <c r="I1921" s="356"/>
      <c r="K1921" s="363"/>
      <c r="W1921" s="361"/>
    </row>
    <row r="1922" spans="6:23" ht="15">
      <c r="H1922" s="35" t="s">
        <v>2387</v>
      </c>
      <c r="I1922" s="356"/>
      <c r="K1922" s="363"/>
      <c r="W1922" s="361"/>
    </row>
    <row r="1923" spans="6:23" ht="15">
      <c r="H1923" s="363" t="s">
        <v>117</v>
      </c>
      <c r="I1923" s="356"/>
      <c r="K1923" s="363"/>
      <c r="W1923" s="361"/>
    </row>
    <row r="1924" spans="6:23" ht="15">
      <c r="F1924" s="370">
        <v>1</v>
      </c>
      <c r="G1924" s="368" t="s">
        <v>31</v>
      </c>
      <c r="H1924" s="356" t="s">
        <v>2388</v>
      </c>
      <c r="I1924" s="498">
        <f>E700</f>
        <v>98.6</v>
      </c>
      <c r="J1924" s="356" t="s">
        <v>31</v>
      </c>
      <c r="K1924" s="370">
        <f>(F1924*I1924)</f>
        <v>98.6</v>
      </c>
      <c r="W1924" s="361"/>
    </row>
    <row r="1925" spans="6:23" ht="15">
      <c r="F1925" s="370">
        <v>1</v>
      </c>
      <c r="G1925" s="368" t="s">
        <v>128</v>
      </c>
      <c r="H1925" s="356" t="s">
        <v>2389</v>
      </c>
      <c r="I1925" s="498">
        <f>I1924*0.2</f>
        <v>19.72</v>
      </c>
      <c r="J1925" s="356" t="s">
        <v>128</v>
      </c>
      <c r="K1925" s="370">
        <f>(F1925*I1925)</f>
        <v>19.72</v>
      </c>
      <c r="W1925" s="361"/>
    </row>
    <row r="1926" spans="6:23" ht="15">
      <c r="F1926" s="370">
        <v>1</v>
      </c>
      <c r="G1926" s="368" t="s">
        <v>31</v>
      </c>
      <c r="H1926" s="356" t="s">
        <v>518</v>
      </c>
      <c r="I1926" s="498">
        <f>K1919</f>
        <v>229.67999999999998</v>
      </c>
      <c r="J1926" s="356" t="s">
        <v>31</v>
      </c>
      <c r="K1926" s="370">
        <f>(F1926*I1926)</f>
        <v>229.67999999999998</v>
      </c>
      <c r="W1926" s="361"/>
    </row>
    <row r="1927" spans="6:23" ht="30">
      <c r="F1927" s="370"/>
      <c r="G1927" s="368"/>
      <c r="H1927" s="440" t="s">
        <v>2390</v>
      </c>
      <c r="I1927" s="498"/>
      <c r="J1927" s="356" t="s">
        <v>128</v>
      </c>
      <c r="K1927" s="370">
        <f>1.25+0.47</f>
        <v>1.72</v>
      </c>
      <c r="W1927" s="361"/>
    </row>
    <row r="1928" spans="6:23" ht="15">
      <c r="I1928" s="356"/>
      <c r="K1928" s="363" t="s">
        <v>117</v>
      </c>
      <c r="W1928" s="361"/>
    </row>
    <row r="1929" spans="6:23" ht="15.75">
      <c r="H1929" s="356" t="s">
        <v>519</v>
      </c>
      <c r="I1929" s="356"/>
      <c r="K1929" s="369">
        <f>SUM(K1924:K1927)</f>
        <v>349.72</v>
      </c>
      <c r="W1929" s="361"/>
    </row>
    <row r="1930" spans="6:23" ht="15">
      <c r="I1930" s="356"/>
      <c r="K1930" s="363" t="s">
        <v>156</v>
      </c>
      <c r="W1930" s="361"/>
    </row>
    <row r="1931" spans="6:23" ht="15">
      <c r="I1931" s="356"/>
      <c r="K1931" s="363"/>
      <c r="W1931" s="361"/>
    </row>
    <row r="1932" spans="6:23" ht="15">
      <c r="I1932" s="356"/>
      <c r="K1932" s="363"/>
      <c r="W1932" s="361"/>
    </row>
    <row r="1933" spans="6:23" ht="15">
      <c r="F1933" s="412">
        <v>53.1</v>
      </c>
      <c r="G1933" s="368" t="s">
        <v>122</v>
      </c>
      <c r="H1933" s="356" t="s">
        <v>2391</v>
      </c>
      <c r="W1933" s="361"/>
    </row>
    <row r="1934" spans="6:23" ht="15.75">
      <c r="H1934" s="359" t="s">
        <v>2392</v>
      </c>
      <c r="W1934" s="361"/>
    </row>
    <row r="1935" spans="6:23" ht="15">
      <c r="H1935" s="356" t="s">
        <v>2393</v>
      </c>
      <c r="W1935" s="361"/>
    </row>
    <row r="1936" spans="6:23" ht="15">
      <c r="H1936" s="356" t="s">
        <v>2394</v>
      </c>
      <c r="W1936" s="361"/>
    </row>
    <row r="1937" spans="6:23" ht="15">
      <c r="H1937" s="363" t="s">
        <v>117</v>
      </c>
      <c r="W1937" s="361"/>
    </row>
    <row r="1938" spans="6:23" ht="60">
      <c r="F1938" s="640">
        <v>1</v>
      </c>
      <c r="G1938" s="640" t="s">
        <v>151</v>
      </c>
      <c r="H1938" s="440" t="s">
        <v>2395</v>
      </c>
      <c r="I1938" s="641">
        <v>1672</v>
      </c>
      <c r="J1938" s="642" t="s">
        <v>151</v>
      </c>
      <c r="K1938" s="640">
        <f>(F1938*I1938)</f>
        <v>1672</v>
      </c>
      <c r="W1938" s="361"/>
    </row>
    <row r="1939" spans="6:23" ht="15.75">
      <c r="F1939" s="370"/>
      <c r="G1939" s="368"/>
      <c r="H1939" s="643"/>
      <c r="I1939" s="370"/>
      <c r="J1939" s="356"/>
      <c r="K1939" s="370"/>
      <c r="W1939" s="361"/>
    </row>
    <row r="1940" spans="6:23" ht="15.75">
      <c r="F1940" s="370"/>
      <c r="G1940" s="368"/>
      <c r="H1940" s="643"/>
      <c r="I1940" s="370"/>
      <c r="J1940" s="357"/>
      <c r="K1940" s="370"/>
      <c r="W1940" s="361"/>
    </row>
    <row r="1941" spans="6:23" ht="15.75">
      <c r="F1941" s="644">
        <v>1</v>
      </c>
      <c r="G1941" s="644" t="s">
        <v>151</v>
      </c>
      <c r="H1941" s="356" t="s">
        <v>2396</v>
      </c>
      <c r="I1941" s="645">
        <v>-169</v>
      </c>
      <c r="J1941" s="643" t="s">
        <v>151</v>
      </c>
      <c r="K1941" s="644">
        <f>(F1941*I1941)</f>
        <v>-169</v>
      </c>
      <c r="W1941" s="361"/>
    </row>
    <row r="1942" spans="6:23" ht="15.75">
      <c r="F1942" s="443"/>
      <c r="G1942" s="646"/>
      <c r="H1942" s="643"/>
      <c r="I1942" s="443"/>
      <c r="J1942" s="458"/>
      <c r="K1942" s="443"/>
      <c r="W1942" s="361"/>
    </row>
    <row r="1943" spans="6:23" ht="15.75">
      <c r="F1943" s="443">
        <v>1</v>
      </c>
      <c r="G1943" s="646" t="s">
        <v>151</v>
      </c>
      <c r="H1943" s="643" t="s">
        <v>2397</v>
      </c>
      <c r="I1943" s="647">
        <v>250</v>
      </c>
      <c r="J1943" s="643" t="s">
        <v>151</v>
      </c>
      <c r="K1943" s="648">
        <f>(F1943*I1943)</f>
        <v>250</v>
      </c>
      <c r="W1943" s="361"/>
    </row>
    <row r="1944" spans="6:23" ht="15">
      <c r="F1944" s="370"/>
      <c r="G1944" s="368"/>
      <c r="H1944" s="356"/>
      <c r="I1944" s="370"/>
      <c r="J1944" s="356"/>
      <c r="K1944" s="370"/>
      <c r="W1944" s="361"/>
    </row>
    <row r="1945" spans="6:23" ht="15">
      <c r="F1945" s="370">
        <v>0.5</v>
      </c>
      <c r="G1945" s="368" t="s">
        <v>151</v>
      </c>
      <c r="H1945" s="356" t="s">
        <v>187</v>
      </c>
      <c r="I1945" s="370">
        <f>(C15)</f>
        <v>1039.2</v>
      </c>
      <c r="J1945" s="356" t="s">
        <v>151</v>
      </c>
      <c r="K1945" s="370">
        <f>(F1945*I1945)</f>
        <v>519.6</v>
      </c>
      <c r="N1945" s="35">
        <f>7635</f>
        <v>7635</v>
      </c>
      <c r="W1945" s="361"/>
    </row>
    <row r="1946" spans="6:23" ht="15">
      <c r="F1946" s="370">
        <v>1</v>
      </c>
      <c r="G1946" s="368" t="s">
        <v>151</v>
      </c>
      <c r="H1946" s="356" t="s">
        <v>153</v>
      </c>
      <c r="I1946" s="370">
        <f>(C12)</f>
        <v>781.19999999999993</v>
      </c>
      <c r="J1946" s="356" t="s">
        <v>151</v>
      </c>
      <c r="K1946" s="370">
        <f>(F1946*I1946)</f>
        <v>781.19999999999993</v>
      </c>
      <c r="N1946" s="35">
        <f>N1945*4%</f>
        <v>305.40000000000003</v>
      </c>
      <c r="W1946" s="361"/>
    </row>
    <row r="1947" spans="6:23" ht="15">
      <c r="F1947" s="370">
        <v>0.5</v>
      </c>
      <c r="G1947" s="368" t="s">
        <v>151</v>
      </c>
      <c r="H1947" s="356" t="s">
        <v>162</v>
      </c>
      <c r="I1947" s="370">
        <f>(C10)</f>
        <v>1198.8</v>
      </c>
      <c r="J1947" s="356" t="s">
        <v>151</v>
      </c>
      <c r="K1947" s="370">
        <f>(F1947*I1947)</f>
        <v>599.4</v>
      </c>
      <c r="N1947" s="35">
        <f>SUM(N1945:N1946)</f>
        <v>7940.4</v>
      </c>
      <c r="W1947" s="361"/>
    </row>
    <row r="1948" spans="6:23" ht="15">
      <c r="G1948" s="368" t="s">
        <v>128</v>
      </c>
      <c r="H1948" s="356" t="s">
        <v>2398</v>
      </c>
      <c r="J1948" s="356" t="s">
        <v>128</v>
      </c>
      <c r="K1948" s="370">
        <v>0.82</v>
      </c>
      <c r="W1948" s="361"/>
    </row>
    <row r="1949" spans="6:23" ht="15">
      <c r="K1949" s="363" t="s">
        <v>117</v>
      </c>
      <c r="W1949" s="361"/>
    </row>
    <row r="1950" spans="6:23" ht="15">
      <c r="H1950" s="356" t="s">
        <v>188</v>
      </c>
      <c r="K1950" s="370">
        <f>SUM(K1938:K1948)</f>
        <v>3654.02</v>
      </c>
      <c r="W1950" s="361"/>
    </row>
    <row r="1951" spans="6:23" ht="15">
      <c r="K1951" s="363" t="s">
        <v>117</v>
      </c>
      <c r="W1951" s="361"/>
    </row>
    <row r="1952" spans="6:23" ht="15.75">
      <c r="F1952" s="357" t="s">
        <v>2399</v>
      </c>
      <c r="H1952" s="356" t="s">
        <v>2400</v>
      </c>
      <c r="J1952" s="356" t="s">
        <v>194</v>
      </c>
      <c r="K1952" s="649">
        <v>967.5</v>
      </c>
      <c r="V1952" s="356" t="s">
        <v>2365</v>
      </c>
      <c r="W1952" s="361"/>
    </row>
    <row r="1953" spans="6:23" ht="15.75">
      <c r="H1953" s="356" t="s">
        <v>2401</v>
      </c>
      <c r="J1953" s="356" t="s">
        <v>194</v>
      </c>
      <c r="K1953" s="650">
        <v>1864</v>
      </c>
      <c r="W1953" s="361"/>
    </row>
    <row r="1954" spans="6:23" ht="15.75">
      <c r="F1954" s="357" t="s">
        <v>2402</v>
      </c>
      <c r="H1954" s="356" t="s">
        <v>2403</v>
      </c>
      <c r="J1954" s="356" t="s">
        <v>194</v>
      </c>
      <c r="K1954" s="649">
        <v>30</v>
      </c>
      <c r="W1954" s="361"/>
    </row>
    <row r="1955" spans="6:23" ht="15">
      <c r="F1955" s="357"/>
      <c r="H1955" s="356"/>
      <c r="K1955" s="356"/>
      <c r="W1955" s="361"/>
    </row>
    <row r="1956" spans="6:23" ht="15.75">
      <c r="F1956" s="393">
        <v>54</v>
      </c>
      <c r="G1956" s="368" t="s">
        <v>122</v>
      </c>
      <c r="H1956" s="356" t="s">
        <v>2404</v>
      </c>
      <c r="J1956" s="356" t="s">
        <v>194</v>
      </c>
      <c r="K1956" s="651">
        <v>206</v>
      </c>
      <c r="W1956" s="361"/>
    </row>
    <row r="1957" spans="6:23" ht="15">
      <c r="K1957" s="363" t="s">
        <v>156</v>
      </c>
      <c r="W1957" s="361"/>
    </row>
    <row r="1958" spans="6:23" ht="15">
      <c r="W1958" s="361"/>
    </row>
    <row r="1959" spans="6:23" ht="15.75">
      <c r="F1959" s="412">
        <v>54.1</v>
      </c>
      <c r="G1959" s="368" t="s">
        <v>122</v>
      </c>
      <c r="H1959" s="356" t="s">
        <v>2405</v>
      </c>
      <c r="J1959" s="356" t="s">
        <v>194</v>
      </c>
      <c r="K1959" s="507">
        <v>300</v>
      </c>
      <c r="W1959" s="361"/>
    </row>
    <row r="1960" spans="6:23" ht="15">
      <c r="K1960" s="363" t="s">
        <v>156</v>
      </c>
      <c r="W1960" s="361"/>
    </row>
    <row r="1961" spans="6:23" ht="15">
      <c r="W1961" s="361"/>
    </row>
    <row r="1962" spans="6:23" ht="15.75">
      <c r="F1962" s="412">
        <v>54.2</v>
      </c>
      <c r="G1962" s="368" t="s">
        <v>122</v>
      </c>
      <c r="H1962" s="356" t="s">
        <v>2406</v>
      </c>
      <c r="J1962" s="356" t="s">
        <v>194</v>
      </c>
      <c r="K1962" s="507">
        <v>250</v>
      </c>
      <c r="W1962" s="361"/>
    </row>
    <row r="1963" spans="6:23" ht="15">
      <c r="K1963" s="363" t="s">
        <v>156</v>
      </c>
      <c r="W1963" s="361"/>
    </row>
    <row r="1964" spans="6:23" ht="15">
      <c r="W1964" s="361"/>
    </row>
    <row r="1965" spans="6:23" ht="15">
      <c r="F1965" s="357" t="s">
        <v>178</v>
      </c>
      <c r="G1965" s="368" t="s">
        <v>122</v>
      </c>
      <c r="H1965" s="356" t="s">
        <v>179</v>
      </c>
      <c r="M1965" s="357" t="s">
        <v>178</v>
      </c>
      <c r="N1965" s="368" t="s">
        <v>122</v>
      </c>
      <c r="O1965" s="356" t="s">
        <v>179</v>
      </c>
      <c r="Q1965" s="360"/>
      <c r="W1965" s="361"/>
    </row>
    <row r="1966" spans="6:23" ht="15">
      <c r="H1966" s="356" t="s">
        <v>180</v>
      </c>
      <c r="N1966" s="358"/>
      <c r="O1966" s="356" t="s">
        <v>180</v>
      </c>
      <c r="Q1966" s="360"/>
      <c r="W1966" s="361"/>
    </row>
    <row r="1967" spans="6:23" ht="15">
      <c r="H1967" s="356" t="s">
        <v>181</v>
      </c>
      <c r="N1967" s="358"/>
      <c r="O1967" s="356" t="s">
        <v>181</v>
      </c>
      <c r="Q1967" s="360"/>
      <c r="W1967" s="361"/>
    </row>
    <row r="1968" spans="6:23" ht="15">
      <c r="H1968" s="356" t="s">
        <v>182</v>
      </c>
      <c r="N1968" s="358"/>
      <c r="O1968" s="356" t="s">
        <v>182</v>
      </c>
      <c r="Q1968" s="360"/>
      <c r="W1968" s="361"/>
    </row>
    <row r="1969" spans="6:23" ht="15">
      <c r="H1969" s="363" t="s">
        <v>117</v>
      </c>
      <c r="N1969" s="358"/>
      <c r="O1969" s="363" t="s">
        <v>117</v>
      </c>
      <c r="Q1969" s="360"/>
      <c r="W1969" s="361"/>
    </row>
    <row r="1970" spans="6:23" ht="15">
      <c r="F1970" s="370">
        <v>1</v>
      </c>
      <c r="G1970" s="368" t="s">
        <v>151</v>
      </c>
      <c r="H1970" s="356" t="s">
        <v>183</v>
      </c>
      <c r="I1970" s="370">
        <f>(C203)</f>
        <v>1201</v>
      </c>
      <c r="J1970" s="356" t="s">
        <v>151</v>
      </c>
      <c r="K1970" s="370">
        <f t="shared" ref="K1970:K1976" si="236">(F1970*I1970)</f>
        <v>1201</v>
      </c>
      <c r="M1970" s="370">
        <v>1</v>
      </c>
      <c r="N1970" s="368" t="s">
        <v>151</v>
      </c>
      <c r="O1970" s="356" t="s">
        <v>183</v>
      </c>
      <c r="P1970" s="370">
        <f>I1970</f>
        <v>1201</v>
      </c>
      <c r="Q1970" s="356" t="s">
        <v>151</v>
      </c>
      <c r="R1970" s="370">
        <f t="shared" ref="R1970:R1976" si="237">(M1970*P1970)</f>
        <v>1201</v>
      </c>
      <c r="W1970" s="361"/>
    </row>
    <row r="1971" spans="6:23" ht="15">
      <c r="F1971" s="370">
        <v>0.65</v>
      </c>
      <c r="G1971" s="368" t="s">
        <v>108</v>
      </c>
      <c r="H1971" s="356" t="s">
        <v>184</v>
      </c>
      <c r="I1971" s="370">
        <f>(C61*2)</f>
        <v>268.91999999999996</v>
      </c>
      <c r="J1971" s="356" t="s">
        <v>108</v>
      </c>
      <c r="K1971" s="370">
        <f t="shared" si="236"/>
        <v>174.79799999999997</v>
      </c>
      <c r="M1971" s="370">
        <v>0.65</v>
      </c>
      <c r="N1971" s="368" t="s">
        <v>108</v>
      </c>
      <c r="O1971" s="356" t="s">
        <v>184</v>
      </c>
      <c r="P1971" s="370">
        <f t="shared" ref="P1971:P1977" si="238">I1971</f>
        <v>268.91999999999996</v>
      </c>
      <c r="Q1971" s="356" t="s">
        <v>108</v>
      </c>
      <c r="R1971" s="370">
        <f t="shared" si="237"/>
        <v>174.79799999999997</v>
      </c>
      <c r="W1971" s="361"/>
    </row>
    <row r="1972" spans="6:23" ht="15">
      <c r="F1972" s="370">
        <v>0.56999999999999995</v>
      </c>
      <c r="G1972" s="368" t="s">
        <v>108</v>
      </c>
      <c r="H1972" s="356" t="s">
        <v>185</v>
      </c>
      <c r="I1972" s="370">
        <f>(C26)</f>
        <v>46.74</v>
      </c>
      <c r="J1972" s="356" t="s">
        <v>108</v>
      </c>
      <c r="K1972" s="370">
        <f t="shared" si="236"/>
        <v>26.6418</v>
      </c>
      <c r="M1972" s="370">
        <v>0.56999999999999995</v>
      </c>
      <c r="N1972" s="368" t="s">
        <v>108</v>
      </c>
      <c r="O1972" s="356" t="s">
        <v>185</v>
      </c>
      <c r="P1972" s="370">
        <f t="shared" si="238"/>
        <v>46.74</v>
      </c>
      <c r="Q1972" s="356" t="s">
        <v>108</v>
      </c>
      <c r="R1972" s="370">
        <f t="shared" si="237"/>
        <v>26.6418</v>
      </c>
      <c r="W1972" s="361"/>
    </row>
    <row r="1973" spans="6:23" ht="15">
      <c r="F1973" s="407">
        <v>8.1000000000000003E-2</v>
      </c>
      <c r="G1973" s="368" t="s">
        <v>108</v>
      </c>
      <c r="H1973" s="356" t="s">
        <v>186</v>
      </c>
      <c r="I1973" s="370">
        <f>(R60)</f>
        <v>4830.3518400000003</v>
      </c>
      <c r="J1973" s="356" t="s">
        <v>108</v>
      </c>
      <c r="K1973" s="370">
        <f t="shared" si="236"/>
        <v>391.25849904000006</v>
      </c>
      <c r="M1973" s="407">
        <v>8.1000000000000003E-2</v>
      </c>
      <c r="N1973" s="368" t="s">
        <v>108</v>
      </c>
      <c r="O1973" s="356" t="s">
        <v>186</v>
      </c>
      <c r="P1973" s="370">
        <f t="shared" si="238"/>
        <v>4830.3518400000003</v>
      </c>
      <c r="Q1973" s="356" t="s">
        <v>108</v>
      </c>
      <c r="R1973" s="370">
        <f t="shared" si="237"/>
        <v>391.25849904000006</v>
      </c>
      <c r="W1973" s="361"/>
    </row>
    <row r="1974" spans="6:23" ht="15">
      <c r="F1974" s="370">
        <v>1</v>
      </c>
      <c r="G1974" s="368" t="s">
        <v>151</v>
      </c>
      <c r="H1974" s="356" t="s">
        <v>187</v>
      </c>
      <c r="I1974" s="370">
        <f>(C15)</f>
        <v>1039.2</v>
      </c>
      <c r="J1974" s="356" t="s">
        <v>151</v>
      </c>
      <c r="K1974" s="370">
        <f t="shared" si="236"/>
        <v>1039.2</v>
      </c>
      <c r="M1974" s="370">
        <v>1</v>
      </c>
      <c r="N1974" s="368" t="s">
        <v>151</v>
      </c>
      <c r="O1974" s="356" t="s">
        <v>187</v>
      </c>
      <c r="P1974" s="370">
        <f t="shared" si="238"/>
        <v>1039.2</v>
      </c>
      <c r="Q1974" s="356" t="s">
        <v>151</v>
      </c>
      <c r="R1974" s="370">
        <f t="shared" si="237"/>
        <v>1039.2</v>
      </c>
      <c r="W1974" s="361"/>
    </row>
    <row r="1975" spans="6:23" ht="15">
      <c r="F1975" s="370">
        <v>0.5</v>
      </c>
      <c r="G1975" s="368" t="s">
        <v>151</v>
      </c>
      <c r="H1975" s="356" t="s">
        <v>152</v>
      </c>
      <c r="I1975" s="370">
        <f>(C11)</f>
        <v>1118.3999999999999</v>
      </c>
      <c r="J1975" s="356" t="s">
        <v>151</v>
      </c>
      <c r="K1975" s="370">
        <f t="shared" si="236"/>
        <v>559.19999999999993</v>
      </c>
      <c r="M1975" s="370">
        <v>0.5</v>
      </c>
      <c r="N1975" s="368" t="s">
        <v>151</v>
      </c>
      <c r="O1975" s="356" t="s">
        <v>152</v>
      </c>
      <c r="P1975" s="370">
        <f t="shared" si="238"/>
        <v>1118.3999999999999</v>
      </c>
      <c r="Q1975" s="356" t="s">
        <v>151</v>
      </c>
      <c r="R1975" s="370">
        <f t="shared" si="237"/>
        <v>559.19999999999993</v>
      </c>
      <c r="W1975" s="361"/>
    </row>
    <row r="1976" spans="6:23" ht="15">
      <c r="F1976" s="370">
        <v>0.5</v>
      </c>
      <c r="G1976" s="368" t="s">
        <v>151</v>
      </c>
      <c r="H1976" s="356" t="s">
        <v>153</v>
      </c>
      <c r="I1976" s="370">
        <f>(C12)</f>
        <v>781.19999999999993</v>
      </c>
      <c r="J1976" s="356" t="s">
        <v>151</v>
      </c>
      <c r="K1976" s="370">
        <f t="shared" si="236"/>
        <v>390.59999999999997</v>
      </c>
      <c r="M1976" s="370">
        <v>0.5</v>
      </c>
      <c r="N1976" s="368" t="s">
        <v>151</v>
      </c>
      <c r="O1976" s="356" t="s">
        <v>153</v>
      </c>
      <c r="P1976" s="370">
        <f t="shared" si="238"/>
        <v>781.19999999999993</v>
      </c>
      <c r="Q1976" s="356" t="s">
        <v>151</v>
      </c>
      <c r="R1976" s="370">
        <f t="shared" si="237"/>
        <v>390.59999999999997</v>
      </c>
      <c r="W1976" s="361"/>
    </row>
    <row r="1977" spans="6:23" ht="15.75">
      <c r="G1977" s="368" t="s">
        <v>128</v>
      </c>
      <c r="H1977" s="356" t="s">
        <v>129</v>
      </c>
      <c r="I1977" s="356" t="s">
        <v>114</v>
      </c>
      <c r="J1977" s="356" t="s">
        <v>128</v>
      </c>
      <c r="K1977" s="370">
        <v>1.25</v>
      </c>
      <c r="N1977" s="368"/>
      <c r="O1977" s="359" t="s">
        <v>501</v>
      </c>
      <c r="P1977" s="370" t="str">
        <f t="shared" si="238"/>
        <v xml:space="preserve"> </v>
      </c>
      <c r="Q1977" s="356"/>
      <c r="R1977" s="652">
        <v>-164</v>
      </c>
      <c r="W1977" s="361"/>
    </row>
    <row r="1978" spans="6:23" ht="15.75">
      <c r="K1978" s="363" t="s">
        <v>117</v>
      </c>
      <c r="O1978" s="359" t="s">
        <v>503</v>
      </c>
      <c r="P1978" s="370"/>
      <c r="Q1978" s="356"/>
      <c r="R1978" s="652">
        <v>134.1</v>
      </c>
      <c r="W1978" s="361"/>
    </row>
    <row r="1979" spans="6:23" ht="16.5" thickBot="1">
      <c r="H1979" s="356" t="s">
        <v>188</v>
      </c>
      <c r="K1979" s="370">
        <f>SUM(K1970:K1977)</f>
        <v>3783.9482990399997</v>
      </c>
      <c r="N1979" s="358" t="s">
        <v>265</v>
      </c>
      <c r="O1979" s="359" t="s">
        <v>331</v>
      </c>
      <c r="Q1979" s="360"/>
      <c r="R1979" s="370">
        <v>0.39</v>
      </c>
      <c r="W1979" s="361"/>
    </row>
    <row r="1980" spans="6:23" ht="16.5" thickTop="1">
      <c r="K1980" s="363" t="s">
        <v>156</v>
      </c>
      <c r="N1980" s="358"/>
      <c r="O1980" s="356" t="s">
        <v>188</v>
      </c>
      <c r="Q1980" s="360"/>
      <c r="R1980" s="653">
        <f>SUM(R1970:R1979)</f>
        <v>3753.1882990399995</v>
      </c>
      <c r="W1980" s="361"/>
    </row>
    <row r="1981" spans="6:23" ht="15.75" thickBot="1">
      <c r="G1981" s="368" t="s">
        <v>114</v>
      </c>
      <c r="H1981" s="356" t="s">
        <v>114</v>
      </c>
      <c r="K1981" s="356" t="s">
        <v>114</v>
      </c>
      <c r="N1981" s="358"/>
      <c r="Q1981" s="360"/>
      <c r="R1981" s="654"/>
      <c r="W1981" s="361"/>
    </row>
    <row r="1982" spans="6:23" ht="15.75" thickTop="1">
      <c r="J1982" s="356" t="s">
        <v>114</v>
      </c>
      <c r="K1982" s="356" t="s">
        <v>114</v>
      </c>
      <c r="W1982" s="361"/>
    </row>
    <row r="1983" spans="6:23" ht="15">
      <c r="F1983" s="357" t="s">
        <v>2407</v>
      </c>
      <c r="G1983" s="368" t="s">
        <v>122</v>
      </c>
      <c r="H1983" s="356" t="s">
        <v>179</v>
      </c>
      <c r="M1983" s="357" t="s">
        <v>2407</v>
      </c>
      <c r="N1983" s="368" t="s">
        <v>122</v>
      </c>
      <c r="O1983" s="356" t="s">
        <v>179</v>
      </c>
      <c r="Q1983" s="360"/>
      <c r="W1983" s="361"/>
    </row>
    <row r="1984" spans="6:23" ht="15">
      <c r="H1984" s="356" t="s">
        <v>180</v>
      </c>
      <c r="N1984" s="358"/>
      <c r="O1984" s="356" t="s">
        <v>180</v>
      </c>
      <c r="Q1984" s="360"/>
      <c r="W1984" s="361"/>
    </row>
    <row r="1985" spans="6:23" ht="15">
      <c r="H1985" s="356" t="s">
        <v>181</v>
      </c>
      <c r="N1985" s="358"/>
      <c r="O1985" s="356" t="s">
        <v>181</v>
      </c>
      <c r="Q1985" s="360"/>
      <c r="W1985" s="361"/>
    </row>
    <row r="1986" spans="6:23" ht="15">
      <c r="H1986" s="356" t="s">
        <v>2408</v>
      </c>
      <c r="N1986" s="358"/>
      <c r="O1986" s="356" t="s">
        <v>2408</v>
      </c>
      <c r="Q1986" s="360"/>
      <c r="W1986" s="361"/>
    </row>
    <row r="1987" spans="6:23" ht="15">
      <c r="H1987" s="363" t="s">
        <v>117</v>
      </c>
      <c r="N1987" s="358"/>
      <c r="O1987" s="363" t="s">
        <v>117</v>
      </c>
      <c r="Q1987" s="360"/>
      <c r="W1987" s="361"/>
    </row>
    <row r="1988" spans="6:23" ht="15">
      <c r="F1988" s="370">
        <v>1</v>
      </c>
      <c r="G1988" s="368" t="s">
        <v>151</v>
      </c>
      <c r="H1988" s="356" t="s">
        <v>183</v>
      </c>
      <c r="I1988" s="370">
        <f>(C203)</f>
        <v>1201</v>
      </c>
      <c r="J1988" s="356" t="s">
        <v>151</v>
      </c>
      <c r="K1988" s="370">
        <f>(F1988*I1988)</f>
        <v>1201</v>
      </c>
      <c r="M1988" s="370">
        <v>1</v>
      </c>
      <c r="N1988" s="368" t="s">
        <v>151</v>
      </c>
      <c r="O1988" s="356" t="s">
        <v>183</v>
      </c>
      <c r="P1988" s="370">
        <f>I1988</f>
        <v>1201</v>
      </c>
      <c r="Q1988" s="356" t="s">
        <v>151</v>
      </c>
      <c r="R1988" s="370">
        <f>(M1988*P1988)</f>
        <v>1201</v>
      </c>
      <c r="W1988" s="361"/>
    </row>
    <row r="1989" spans="6:23" ht="15">
      <c r="F1989" s="407">
        <v>0.40500000000000003</v>
      </c>
      <c r="G1989" s="368" t="s">
        <v>108</v>
      </c>
      <c r="H1989" s="356" t="s">
        <v>2409</v>
      </c>
      <c r="I1989" s="370">
        <f>(K1332)</f>
        <v>4530.7991999999995</v>
      </c>
      <c r="J1989" s="356" t="s">
        <v>108</v>
      </c>
      <c r="K1989" s="370">
        <f>(F1989*I1989)</f>
        <v>1834.9736759999998</v>
      </c>
      <c r="M1989" s="407">
        <v>0.40500000000000003</v>
      </c>
      <c r="N1989" s="368" t="s">
        <v>108</v>
      </c>
      <c r="O1989" s="356" t="s">
        <v>2409</v>
      </c>
      <c r="P1989" s="370">
        <f t="shared" ref="P1989:P1998" si="239">I1989</f>
        <v>4530.7991999999995</v>
      </c>
      <c r="Q1989" s="356" t="s">
        <v>108</v>
      </c>
      <c r="R1989" s="370">
        <f>(M1989*P1989)</f>
        <v>1834.9736759999998</v>
      </c>
      <c r="W1989" s="361"/>
    </row>
    <row r="1990" spans="6:23" ht="15">
      <c r="H1990" s="356" t="s">
        <v>2410</v>
      </c>
      <c r="I1990" s="356" t="s">
        <v>114</v>
      </c>
      <c r="K1990" s="356" t="s">
        <v>114</v>
      </c>
      <c r="N1990" s="358"/>
      <c r="O1990" s="356" t="s">
        <v>2410</v>
      </c>
      <c r="P1990" s="370" t="str">
        <f t="shared" si="239"/>
        <v xml:space="preserve"> </v>
      </c>
      <c r="Q1990" s="360"/>
      <c r="R1990" s="356" t="s">
        <v>114</v>
      </c>
      <c r="W1990" s="361"/>
    </row>
    <row r="1991" spans="6:23" ht="15">
      <c r="F1991" s="370">
        <v>1.89</v>
      </c>
      <c r="G1991" s="368" t="s">
        <v>107</v>
      </c>
      <c r="H1991" s="356" t="s">
        <v>2411</v>
      </c>
      <c r="I1991" s="370">
        <f>(K1444)</f>
        <v>320.1334008</v>
      </c>
      <c r="J1991" s="356" t="s">
        <v>107</v>
      </c>
      <c r="K1991" s="370">
        <f>(F1991*I1991)</f>
        <v>605.05212751199997</v>
      </c>
      <c r="M1991" s="370">
        <v>1.89</v>
      </c>
      <c r="N1991" s="368" t="s">
        <v>107</v>
      </c>
      <c r="O1991" s="356" t="s">
        <v>2411</v>
      </c>
      <c r="P1991" s="370">
        <f t="shared" si="239"/>
        <v>320.1334008</v>
      </c>
      <c r="Q1991" s="356" t="s">
        <v>107</v>
      </c>
      <c r="R1991" s="370">
        <f>(M1991*P1991)</f>
        <v>605.05212751199997</v>
      </c>
      <c r="W1991" s="361"/>
    </row>
    <row r="1992" spans="6:23" ht="15">
      <c r="H1992" s="356" t="s">
        <v>2412</v>
      </c>
      <c r="I1992" s="356" t="s">
        <v>114</v>
      </c>
      <c r="K1992" s="356" t="s">
        <v>114</v>
      </c>
      <c r="N1992" s="358"/>
      <c r="O1992" s="356" t="s">
        <v>2412</v>
      </c>
      <c r="P1992" s="370" t="str">
        <f t="shared" si="239"/>
        <v xml:space="preserve"> </v>
      </c>
      <c r="Q1992" s="360"/>
      <c r="R1992" s="356" t="s">
        <v>114</v>
      </c>
      <c r="W1992" s="361"/>
    </row>
    <row r="1993" spans="6:23" ht="15">
      <c r="F1993" s="407">
        <v>8.1000000000000003E-2</v>
      </c>
      <c r="G1993" s="368" t="s">
        <v>108</v>
      </c>
      <c r="H1993" s="356" t="s">
        <v>2413</v>
      </c>
      <c r="I1993" s="370">
        <f>(R60)</f>
        <v>4830.3518400000003</v>
      </c>
      <c r="J1993" s="356" t="s">
        <v>108</v>
      </c>
      <c r="K1993" s="370">
        <f>(F1993*I1993)</f>
        <v>391.25849904000006</v>
      </c>
      <c r="M1993" s="407">
        <v>8.1000000000000003E-2</v>
      </c>
      <c r="N1993" s="368" t="s">
        <v>108</v>
      </c>
      <c r="O1993" s="356" t="s">
        <v>2413</v>
      </c>
      <c r="P1993" s="370">
        <f t="shared" si="239"/>
        <v>4830.3518400000003</v>
      </c>
      <c r="Q1993" s="356" t="s">
        <v>108</v>
      </c>
      <c r="R1993" s="370">
        <f>(M1993*P1993)</f>
        <v>391.25849904000006</v>
      </c>
      <c r="W1993" s="361"/>
    </row>
    <row r="1994" spans="6:23" ht="15">
      <c r="H1994" s="356" t="s">
        <v>2414</v>
      </c>
      <c r="N1994" s="358"/>
      <c r="O1994" s="356" t="s">
        <v>2414</v>
      </c>
      <c r="P1994" s="370"/>
      <c r="Q1994" s="360"/>
      <c r="W1994" s="361"/>
    </row>
    <row r="1995" spans="6:23" ht="15">
      <c r="F1995" s="370">
        <v>1</v>
      </c>
      <c r="G1995" s="368" t="s">
        <v>223</v>
      </c>
      <c r="H1995" s="356" t="s">
        <v>187</v>
      </c>
      <c r="I1995" s="370">
        <f>(C15)</f>
        <v>1039.2</v>
      </c>
      <c r="J1995" s="356" t="s">
        <v>223</v>
      </c>
      <c r="K1995" s="370">
        <f>(F1995*I1995)</f>
        <v>1039.2</v>
      </c>
      <c r="M1995" s="370">
        <v>1</v>
      </c>
      <c r="N1995" s="368" t="s">
        <v>223</v>
      </c>
      <c r="O1995" s="356" t="s">
        <v>187</v>
      </c>
      <c r="P1995" s="370">
        <f t="shared" si="239"/>
        <v>1039.2</v>
      </c>
      <c r="Q1995" s="356" t="s">
        <v>223</v>
      </c>
      <c r="R1995" s="370">
        <f>(M1995*P1995)</f>
        <v>1039.2</v>
      </c>
      <c r="W1995" s="361"/>
    </row>
    <row r="1996" spans="6:23" ht="15.75">
      <c r="F1996" s="370">
        <v>0.5</v>
      </c>
      <c r="G1996" s="368" t="s">
        <v>151</v>
      </c>
      <c r="H1996" s="356" t="s">
        <v>152</v>
      </c>
      <c r="I1996" s="370">
        <f>(C11)</f>
        <v>1118.3999999999999</v>
      </c>
      <c r="J1996" s="356" t="s">
        <v>151</v>
      </c>
      <c r="K1996" s="370">
        <f>(F1996*I1996)</f>
        <v>559.19999999999993</v>
      </c>
      <c r="M1996" s="370">
        <v>0.5</v>
      </c>
      <c r="N1996" s="368" t="s">
        <v>151</v>
      </c>
      <c r="O1996" s="356" t="s">
        <v>152</v>
      </c>
      <c r="P1996" s="370">
        <f t="shared" si="239"/>
        <v>1118.3999999999999</v>
      </c>
      <c r="Q1996" s="356" t="s">
        <v>151</v>
      </c>
      <c r="R1996" s="652">
        <f>(M1996*P1996)</f>
        <v>559.19999999999993</v>
      </c>
      <c r="W1996" s="361"/>
    </row>
    <row r="1997" spans="6:23" ht="15.75">
      <c r="F1997" s="370">
        <v>0.5</v>
      </c>
      <c r="G1997" s="368" t="s">
        <v>151</v>
      </c>
      <c r="H1997" s="356" t="s">
        <v>153</v>
      </c>
      <c r="I1997" s="370">
        <f>(C12)</f>
        <v>781.19999999999993</v>
      </c>
      <c r="J1997" s="356" t="s">
        <v>151</v>
      </c>
      <c r="K1997" s="370">
        <f>(F1997*I1997)</f>
        <v>390.59999999999997</v>
      </c>
      <c r="M1997" s="370">
        <v>0.5</v>
      </c>
      <c r="N1997" s="368" t="s">
        <v>151</v>
      </c>
      <c r="O1997" s="356" t="s">
        <v>153</v>
      </c>
      <c r="P1997" s="370">
        <f t="shared" si="239"/>
        <v>781.19999999999993</v>
      </c>
      <c r="Q1997" s="356" t="s">
        <v>151</v>
      </c>
      <c r="R1997" s="652">
        <f>(M1997*P1997)</f>
        <v>390.59999999999997</v>
      </c>
      <c r="W1997" s="361"/>
    </row>
    <row r="1998" spans="6:23" ht="15.75">
      <c r="G1998" s="368" t="s">
        <v>128</v>
      </c>
      <c r="H1998" s="356" t="s">
        <v>129</v>
      </c>
      <c r="I1998" s="356" t="s">
        <v>114</v>
      </c>
      <c r="J1998" s="356" t="s">
        <v>128</v>
      </c>
      <c r="K1998" s="370">
        <v>1.03</v>
      </c>
      <c r="N1998" s="368"/>
      <c r="O1998" s="359" t="s">
        <v>501</v>
      </c>
      <c r="P1998" s="370" t="str">
        <f t="shared" si="239"/>
        <v xml:space="preserve"> </v>
      </c>
      <c r="Q1998" s="356"/>
      <c r="R1998" s="652">
        <v>-164</v>
      </c>
      <c r="W1998" s="361"/>
    </row>
    <row r="1999" spans="6:23" ht="15.75">
      <c r="H1999" s="356" t="s">
        <v>114</v>
      </c>
      <c r="K1999" s="363" t="s">
        <v>117</v>
      </c>
      <c r="O1999" s="359" t="s">
        <v>503</v>
      </c>
      <c r="P1999" s="370"/>
      <c r="Q1999" s="356"/>
      <c r="R1999" s="652">
        <v>134.1</v>
      </c>
      <c r="W1999" s="361"/>
    </row>
    <row r="2000" spans="6:23" ht="16.5" thickBot="1">
      <c r="H2000" s="356" t="s">
        <v>188</v>
      </c>
      <c r="K2000" s="370">
        <f>SUM(K1988:K1998)</f>
        <v>6022.3143025519994</v>
      </c>
      <c r="N2000" s="358" t="s">
        <v>265</v>
      </c>
      <c r="O2000" s="359" t="s">
        <v>331</v>
      </c>
      <c r="Q2000" s="360"/>
      <c r="R2000" s="652">
        <v>0.47</v>
      </c>
      <c r="W2000" s="361"/>
    </row>
    <row r="2001" spans="6:23" ht="16.5" thickTop="1">
      <c r="K2001" s="363" t="s">
        <v>156</v>
      </c>
      <c r="N2001" s="358"/>
      <c r="O2001" s="383" t="s">
        <v>188</v>
      </c>
      <c r="Q2001" s="360"/>
      <c r="R2001" s="653">
        <f>SUM(R1988:R2000)</f>
        <v>5991.8543025520003</v>
      </c>
      <c r="W2001" s="361"/>
    </row>
    <row r="2002" spans="6:23" ht="15.75" thickBot="1">
      <c r="G2002" s="368" t="s">
        <v>114</v>
      </c>
      <c r="H2002" s="356" t="s">
        <v>114</v>
      </c>
      <c r="K2002" s="356" t="s">
        <v>114</v>
      </c>
      <c r="N2002" s="358"/>
      <c r="Q2002" s="360"/>
      <c r="R2002" s="654"/>
      <c r="W2002" s="361"/>
    </row>
    <row r="2003" spans="6:23" ht="16.5" thickTop="1">
      <c r="F2003" s="393">
        <v>57</v>
      </c>
      <c r="G2003" s="368" t="s">
        <v>122</v>
      </c>
      <c r="H2003" s="356" t="s">
        <v>2415</v>
      </c>
      <c r="W2003" s="361"/>
    </row>
    <row r="2004" spans="6:23" ht="15.75">
      <c r="H2004" s="356" t="s">
        <v>2416</v>
      </c>
      <c r="M2004" s="393">
        <v>57</v>
      </c>
      <c r="N2004" s="368" t="s">
        <v>122</v>
      </c>
      <c r="O2004" s="356" t="s">
        <v>2415</v>
      </c>
      <c r="Q2004" s="360"/>
      <c r="S2004" s="35"/>
      <c r="W2004" s="361"/>
    </row>
    <row r="2005" spans="6:23" ht="15">
      <c r="H2005" s="356" t="s">
        <v>2417</v>
      </c>
      <c r="N2005" s="358"/>
      <c r="O2005" s="356" t="s">
        <v>2416</v>
      </c>
      <c r="Q2005" s="360"/>
      <c r="S2005" s="35"/>
      <c r="W2005" s="361"/>
    </row>
    <row r="2006" spans="6:23" ht="15">
      <c r="H2006" s="363" t="s">
        <v>117</v>
      </c>
      <c r="N2006" s="358"/>
      <c r="O2006" s="356" t="s">
        <v>2417</v>
      </c>
      <c r="Q2006" s="360"/>
      <c r="S2006" s="35"/>
      <c r="W2006" s="361"/>
    </row>
    <row r="2007" spans="6:23" ht="60">
      <c r="F2007" s="640">
        <v>1</v>
      </c>
      <c r="G2007" s="640" t="s">
        <v>1431</v>
      </c>
      <c r="H2007" s="445" t="s">
        <v>2418</v>
      </c>
      <c r="I2007" s="640">
        <f>C615</f>
        <v>3090</v>
      </c>
      <c r="J2007" s="642" t="s">
        <v>1431</v>
      </c>
      <c r="K2007" s="640">
        <f>(F2007*I2007)</f>
        <v>3090</v>
      </c>
      <c r="N2007" s="358"/>
      <c r="O2007" s="363" t="s">
        <v>117</v>
      </c>
      <c r="Q2007" s="360"/>
      <c r="S2007" s="35"/>
      <c r="W2007" s="361"/>
    </row>
    <row r="2008" spans="6:23" ht="60">
      <c r="F2008" s="370"/>
      <c r="G2008" s="368"/>
      <c r="H2008" s="655" t="s">
        <v>2419</v>
      </c>
      <c r="I2008" s="370"/>
      <c r="J2008" s="356"/>
      <c r="K2008" s="370"/>
      <c r="M2008" s="640">
        <v>1</v>
      </c>
      <c r="N2008" s="640" t="s">
        <v>1431</v>
      </c>
      <c r="O2008" s="445" t="s">
        <v>2420</v>
      </c>
      <c r="P2008" s="640">
        <f>I2007</f>
        <v>3090</v>
      </c>
      <c r="Q2008" s="642" t="s">
        <v>1431</v>
      </c>
      <c r="R2008" s="640">
        <f>(M2008*P2008)</f>
        <v>3090</v>
      </c>
      <c r="S2008" s="35"/>
      <c r="W2008" s="361"/>
    </row>
    <row r="2009" spans="6:23" ht="15.75">
      <c r="F2009" s="370">
        <v>1</v>
      </c>
      <c r="G2009" s="368" t="s">
        <v>151</v>
      </c>
      <c r="H2009" s="356" t="s">
        <v>162</v>
      </c>
      <c r="I2009" s="370">
        <f>(C10)</f>
        <v>1198.8</v>
      </c>
      <c r="J2009" s="356" t="s">
        <v>151</v>
      </c>
      <c r="K2009" s="370">
        <f>(F2009*I2009)</f>
        <v>1198.8</v>
      </c>
      <c r="M2009" s="370"/>
      <c r="N2009" s="368"/>
      <c r="O2009" s="655" t="s">
        <v>2419</v>
      </c>
      <c r="P2009" s="370"/>
      <c r="Q2009" s="356"/>
      <c r="R2009" s="370"/>
      <c r="S2009" s="35"/>
      <c r="W2009" s="361"/>
    </row>
    <row r="2010" spans="6:23" ht="15">
      <c r="F2010" s="370">
        <v>2</v>
      </c>
      <c r="G2010" s="368" t="s">
        <v>151</v>
      </c>
      <c r="H2010" s="356" t="s">
        <v>187</v>
      </c>
      <c r="I2010" s="370">
        <f>(C15)</f>
        <v>1039.2</v>
      </c>
      <c r="J2010" s="356" t="s">
        <v>151</v>
      </c>
      <c r="K2010" s="370">
        <f>(F2010*I2010)</f>
        <v>2078.4</v>
      </c>
      <c r="M2010" s="370">
        <v>1</v>
      </c>
      <c r="N2010" s="368" t="s">
        <v>151</v>
      </c>
      <c r="O2010" s="356" t="s">
        <v>162</v>
      </c>
      <c r="P2010" s="370">
        <f t="shared" ref="P2010:P2015" si="240">I2009</f>
        <v>1198.8</v>
      </c>
      <c r="Q2010" s="356" t="s">
        <v>151</v>
      </c>
      <c r="R2010" s="370">
        <f>(M2010*P2010)</f>
        <v>1198.8</v>
      </c>
      <c r="S2010" s="35"/>
      <c r="W2010" s="361"/>
    </row>
    <row r="2011" spans="6:23" ht="15">
      <c r="F2011" s="370">
        <v>1</v>
      </c>
      <c r="G2011" s="368" t="s">
        <v>151</v>
      </c>
      <c r="H2011" s="356" t="s">
        <v>154</v>
      </c>
      <c r="I2011" s="370">
        <f>(C13)</f>
        <v>640.79999999999995</v>
      </c>
      <c r="J2011" s="356" t="s">
        <v>151</v>
      </c>
      <c r="K2011" s="370">
        <f>(F2011*I2011)</f>
        <v>640.79999999999995</v>
      </c>
      <c r="M2011" s="370">
        <v>2</v>
      </c>
      <c r="N2011" s="368" t="s">
        <v>151</v>
      </c>
      <c r="O2011" s="356" t="s">
        <v>187</v>
      </c>
      <c r="P2011" s="370">
        <f t="shared" si="240"/>
        <v>1039.2</v>
      </c>
      <c r="Q2011" s="356" t="s">
        <v>151</v>
      </c>
      <c r="R2011" s="370">
        <f>(M2011*P2011)</f>
        <v>2078.4</v>
      </c>
      <c r="S2011" s="35"/>
      <c r="W2011" s="361"/>
    </row>
    <row r="2012" spans="6:23" ht="15.75">
      <c r="F2012" s="370"/>
      <c r="G2012" s="368"/>
      <c r="H2012" s="655" t="s">
        <v>2421</v>
      </c>
      <c r="I2012" s="370"/>
      <c r="J2012" s="356"/>
      <c r="K2012" s="370"/>
      <c r="M2012" s="370">
        <v>1</v>
      </c>
      <c r="N2012" s="368" t="s">
        <v>151</v>
      </c>
      <c r="O2012" s="356" t="s">
        <v>154</v>
      </c>
      <c r="P2012" s="370">
        <f t="shared" si="240"/>
        <v>640.79999999999995</v>
      </c>
      <c r="Q2012" s="356" t="s">
        <v>151</v>
      </c>
      <c r="R2012" s="370">
        <f>(M2012*P2012)</f>
        <v>640.79999999999995</v>
      </c>
      <c r="S2012" s="35"/>
      <c r="W2012" s="361"/>
    </row>
    <row r="2013" spans="6:23" ht="15.75">
      <c r="F2013" s="370">
        <v>0.5</v>
      </c>
      <c r="G2013" s="368" t="s">
        <v>151</v>
      </c>
      <c r="H2013" s="356" t="s">
        <v>187</v>
      </c>
      <c r="I2013" s="370">
        <f>(C15)</f>
        <v>1039.2</v>
      </c>
      <c r="J2013" s="356" t="s">
        <v>151</v>
      </c>
      <c r="K2013" s="370">
        <f>(F2013*I2013)</f>
        <v>519.6</v>
      </c>
      <c r="M2013" s="370"/>
      <c r="N2013" s="368"/>
      <c r="O2013" s="655" t="s">
        <v>2421</v>
      </c>
      <c r="P2013" s="370"/>
      <c r="Q2013" s="356"/>
      <c r="R2013" s="370"/>
      <c r="S2013" s="35"/>
      <c r="W2013" s="361"/>
    </row>
    <row r="2014" spans="6:23" ht="15">
      <c r="F2014" s="370">
        <v>0.5</v>
      </c>
      <c r="G2014" s="368" t="s">
        <v>151</v>
      </c>
      <c r="H2014" s="356" t="s">
        <v>153</v>
      </c>
      <c r="I2014" s="370">
        <f>(C12)</f>
        <v>781.19999999999993</v>
      </c>
      <c r="J2014" s="356" t="s">
        <v>151</v>
      </c>
      <c r="K2014" s="370">
        <f>(F2014*I2014)</f>
        <v>390.59999999999997</v>
      </c>
      <c r="M2014" s="370">
        <v>0.5</v>
      </c>
      <c r="N2014" s="368" t="s">
        <v>151</v>
      </c>
      <c r="O2014" s="356" t="s">
        <v>187</v>
      </c>
      <c r="P2014" s="370">
        <f t="shared" si="240"/>
        <v>1039.2</v>
      </c>
      <c r="Q2014" s="356" t="s">
        <v>151</v>
      </c>
      <c r="R2014" s="370">
        <f>(M2014*P2014)</f>
        <v>519.6</v>
      </c>
      <c r="S2014" s="35"/>
      <c r="W2014" s="361"/>
    </row>
    <row r="2015" spans="6:23" ht="15">
      <c r="G2015" s="368" t="s">
        <v>128</v>
      </c>
      <c r="H2015" s="356" t="s">
        <v>129</v>
      </c>
      <c r="J2015" s="356" t="s">
        <v>128</v>
      </c>
      <c r="K2015" s="370">
        <v>0.7</v>
      </c>
      <c r="M2015" s="370">
        <v>0.5</v>
      </c>
      <c r="N2015" s="368" t="s">
        <v>151</v>
      </c>
      <c r="O2015" s="356" t="s">
        <v>153</v>
      </c>
      <c r="P2015" s="370">
        <f t="shared" si="240"/>
        <v>781.19999999999993</v>
      </c>
      <c r="Q2015" s="356" t="s">
        <v>151</v>
      </c>
      <c r="R2015" s="370">
        <f>(M2015*P2015)</f>
        <v>390.59999999999997</v>
      </c>
      <c r="S2015" s="35"/>
      <c r="W2015" s="361"/>
    </row>
    <row r="2016" spans="6:23" ht="15.75">
      <c r="K2016" s="363" t="s">
        <v>117</v>
      </c>
      <c r="M2016" s="370"/>
      <c r="N2016" s="368"/>
      <c r="O2016" s="359" t="s">
        <v>501</v>
      </c>
      <c r="P2016" s="370">
        <f>I2016</f>
        <v>0</v>
      </c>
      <c r="Q2016" s="356"/>
      <c r="R2016" s="402">
        <v>-164</v>
      </c>
      <c r="S2016" s="35"/>
      <c r="W2016" s="361"/>
    </row>
    <row r="2017" spans="6:23" ht="15.75">
      <c r="H2017" s="356" t="s">
        <v>188</v>
      </c>
      <c r="K2017" s="370">
        <f>SUM(K2007:K2015)</f>
        <v>7918.9000000000015</v>
      </c>
      <c r="M2017" s="370"/>
      <c r="N2017" s="368"/>
      <c r="O2017" s="359" t="s">
        <v>503</v>
      </c>
      <c r="P2017" s="370"/>
      <c r="Q2017" s="356"/>
      <c r="R2017" s="402">
        <v>134.1</v>
      </c>
      <c r="S2017" s="35"/>
      <c r="W2017" s="361"/>
    </row>
    <row r="2018" spans="6:23" ht="15">
      <c r="F2018" s="356" t="s">
        <v>114</v>
      </c>
      <c r="N2018" s="368" t="s">
        <v>128</v>
      </c>
      <c r="O2018" s="356" t="s">
        <v>129</v>
      </c>
      <c r="Q2018" s="356" t="s">
        <v>128</v>
      </c>
      <c r="R2018" s="370">
        <v>0.7</v>
      </c>
      <c r="S2018" s="35"/>
      <c r="W2018" s="361"/>
    </row>
    <row r="2019" spans="6:23" ht="15">
      <c r="K2019" s="363" t="s">
        <v>117</v>
      </c>
      <c r="N2019" s="358"/>
      <c r="O2019" s="356" t="s">
        <v>188</v>
      </c>
      <c r="Q2019" s="360"/>
      <c r="R2019" s="370"/>
      <c r="S2019" s="35"/>
      <c r="W2019" s="361"/>
    </row>
    <row r="2020" spans="6:23" ht="15.75">
      <c r="G2020" s="368" t="s">
        <v>114</v>
      </c>
      <c r="H2020" s="356" t="s">
        <v>114</v>
      </c>
      <c r="K2020" s="356" t="s">
        <v>114</v>
      </c>
      <c r="N2020" s="358"/>
      <c r="Q2020" s="360"/>
      <c r="R2020" s="411">
        <f>SUM(R2008:R2019)</f>
        <v>7889.0000000000018</v>
      </c>
      <c r="S2020" s="35"/>
      <c r="W2020" s="361"/>
    </row>
    <row r="2021" spans="6:23" ht="15">
      <c r="H2021" s="356" t="s">
        <v>114</v>
      </c>
      <c r="M2021" s="356" t="s">
        <v>114</v>
      </c>
      <c r="N2021" s="358"/>
      <c r="S2021" s="35"/>
      <c r="W2021" s="361"/>
    </row>
    <row r="2022" spans="6:23" ht="15.75">
      <c r="F2022" s="412">
        <v>57.1</v>
      </c>
      <c r="G2022" s="368" t="s">
        <v>122</v>
      </c>
      <c r="H2022" s="356" t="s">
        <v>2422</v>
      </c>
      <c r="M2022" s="393">
        <v>57</v>
      </c>
      <c r="N2022" s="368" t="s">
        <v>122</v>
      </c>
      <c r="O2022" s="356" t="s">
        <v>2422</v>
      </c>
      <c r="Q2022" s="360"/>
      <c r="S2022" s="35"/>
      <c r="W2022" s="361"/>
    </row>
    <row r="2023" spans="6:23" ht="15">
      <c r="H2023" s="356" t="s">
        <v>2416</v>
      </c>
      <c r="N2023" s="358"/>
      <c r="O2023" s="356" t="s">
        <v>2416</v>
      </c>
      <c r="Q2023" s="360"/>
      <c r="W2023" s="361"/>
    </row>
    <row r="2024" spans="6:23" ht="15">
      <c r="H2024" s="356" t="s">
        <v>2417</v>
      </c>
      <c r="N2024" s="358"/>
      <c r="O2024" s="356" t="s">
        <v>2417</v>
      </c>
      <c r="Q2024" s="360"/>
      <c r="W2024" s="361"/>
    </row>
    <row r="2025" spans="6:23" ht="15">
      <c r="H2025" s="363" t="s">
        <v>117</v>
      </c>
      <c r="N2025" s="358"/>
      <c r="O2025" s="363" t="s">
        <v>117</v>
      </c>
      <c r="Q2025" s="360"/>
      <c r="W2025" s="361"/>
    </row>
    <row r="2026" spans="6:23" ht="60">
      <c r="F2026" s="640">
        <v>1</v>
      </c>
      <c r="G2026" s="640" t="s">
        <v>1431</v>
      </c>
      <c r="H2026" s="440" t="s">
        <v>2420</v>
      </c>
      <c r="I2026" s="35">
        <f>E615</f>
        <v>3484</v>
      </c>
      <c r="J2026" s="642" t="s">
        <v>1431</v>
      </c>
      <c r="K2026" s="640">
        <f>(F2026*I2026)</f>
        <v>3484</v>
      </c>
      <c r="M2026" s="640">
        <v>1</v>
      </c>
      <c r="N2026" s="640" t="s">
        <v>1431</v>
      </c>
      <c r="O2026" s="445" t="s">
        <v>2420</v>
      </c>
      <c r="P2026" s="640">
        <f>I2026</f>
        <v>3484</v>
      </c>
      <c r="Q2026" s="642" t="s">
        <v>1431</v>
      </c>
      <c r="R2026" s="640">
        <f>(M2026*P2026)</f>
        <v>3484</v>
      </c>
      <c r="W2026" s="361"/>
    </row>
    <row r="2027" spans="6:23" ht="15.75">
      <c r="F2027" s="370"/>
      <c r="G2027" s="368"/>
      <c r="H2027" s="655" t="s">
        <v>2419</v>
      </c>
      <c r="J2027" s="356"/>
      <c r="K2027" s="370"/>
      <c r="M2027" s="370"/>
      <c r="N2027" s="368"/>
      <c r="O2027" s="655" t="s">
        <v>2419</v>
      </c>
      <c r="P2027" s="370"/>
      <c r="Q2027" s="356"/>
      <c r="R2027" s="640"/>
      <c r="W2027" s="361"/>
    </row>
    <row r="2028" spans="6:23" ht="15">
      <c r="F2028" s="370">
        <v>1</v>
      </c>
      <c r="G2028" s="368" t="s">
        <v>151</v>
      </c>
      <c r="H2028" s="356" t="s">
        <v>162</v>
      </c>
      <c r="I2028" s="35">
        <f>C10</f>
        <v>1198.8</v>
      </c>
      <c r="J2028" s="356" t="s">
        <v>151</v>
      </c>
      <c r="K2028" s="370">
        <f>(F2028*I2028)</f>
        <v>1198.8</v>
      </c>
      <c r="M2028" s="370">
        <v>1</v>
      </c>
      <c r="N2028" s="368" t="s">
        <v>151</v>
      </c>
      <c r="O2028" s="356" t="s">
        <v>162</v>
      </c>
      <c r="P2028" s="370">
        <f>I2028</f>
        <v>1198.8</v>
      </c>
      <c r="Q2028" s="356" t="s">
        <v>151</v>
      </c>
      <c r="R2028" s="640">
        <f>(M2028*P2028)</f>
        <v>1198.8</v>
      </c>
      <c r="W2028" s="361"/>
    </row>
    <row r="2029" spans="6:23" ht="15">
      <c r="F2029" s="370">
        <v>2</v>
      </c>
      <c r="G2029" s="368" t="s">
        <v>151</v>
      </c>
      <c r="H2029" s="356" t="s">
        <v>187</v>
      </c>
      <c r="I2029" s="35">
        <f>C15</f>
        <v>1039.2</v>
      </c>
      <c r="J2029" s="356" t="s">
        <v>151</v>
      </c>
      <c r="K2029" s="370">
        <f>(F2029*I2029)</f>
        <v>2078.4</v>
      </c>
      <c r="M2029" s="370">
        <v>2</v>
      </c>
      <c r="N2029" s="368" t="s">
        <v>151</v>
      </c>
      <c r="O2029" s="356" t="s">
        <v>187</v>
      </c>
      <c r="P2029" s="370">
        <f>I2029</f>
        <v>1039.2</v>
      </c>
      <c r="Q2029" s="356" t="s">
        <v>151</v>
      </c>
      <c r="R2029" s="640">
        <f>(M2029*P2029)</f>
        <v>2078.4</v>
      </c>
      <c r="W2029" s="361"/>
    </row>
    <row r="2030" spans="6:23" ht="15">
      <c r="F2030" s="370">
        <v>1</v>
      </c>
      <c r="G2030" s="368" t="s">
        <v>151</v>
      </c>
      <c r="H2030" s="356" t="s">
        <v>154</v>
      </c>
      <c r="I2030" s="35">
        <f>C13</f>
        <v>640.79999999999995</v>
      </c>
      <c r="J2030" s="356" t="s">
        <v>151</v>
      </c>
      <c r="K2030" s="370">
        <f>(F2030*I2030)</f>
        <v>640.79999999999995</v>
      </c>
      <c r="M2030" s="370">
        <v>1</v>
      </c>
      <c r="N2030" s="368" t="s">
        <v>151</v>
      </c>
      <c r="O2030" s="356" t="s">
        <v>154</v>
      </c>
      <c r="P2030" s="370">
        <f>I2030</f>
        <v>640.79999999999995</v>
      </c>
      <c r="Q2030" s="356" t="s">
        <v>151</v>
      </c>
      <c r="R2030" s="640">
        <f>(M2030*P2030)</f>
        <v>640.79999999999995</v>
      </c>
      <c r="W2030" s="361"/>
    </row>
    <row r="2031" spans="6:23" ht="15.75">
      <c r="F2031" s="370"/>
      <c r="G2031" s="368"/>
      <c r="H2031" s="655" t="s">
        <v>2421</v>
      </c>
      <c r="J2031" s="356"/>
      <c r="K2031" s="370"/>
      <c r="M2031" s="370"/>
      <c r="N2031" s="368"/>
      <c r="O2031" s="655" t="s">
        <v>2421</v>
      </c>
      <c r="Q2031" s="356"/>
      <c r="R2031" s="370"/>
      <c r="W2031" s="361"/>
    </row>
    <row r="2032" spans="6:23" ht="15">
      <c r="F2032" s="370">
        <v>0.5</v>
      </c>
      <c r="G2032" s="368" t="s">
        <v>151</v>
      </c>
      <c r="H2032" s="356" t="s">
        <v>187</v>
      </c>
      <c r="I2032" s="35">
        <f>C15</f>
        <v>1039.2</v>
      </c>
      <c r="J2032" s="356" t="s">
        <v>151</v>
      </c>
      <c r="K2032" s="370">
        <f>(F2032*I2032)</f>
        <v>519.6</v>
      </c>
      <c r="M2032" s="370">
        <v>0.5</v>
      </c>
      <c r="N2032" s="368" t="s">
        <v>151</v>
      </c>
      <c r="O2032" s="356" t="s">
        <v>187</v>
      </c>
      <c r="P2032" s="370">
        <f>I2032</f>
        <v>1039.2</v>
      </c>
      <c r="Q2032" s="356" t="s">
        <v>151</v>
      </c>
      <c r="R2032" s="370">
        <f>(M2032*P2032)</f>
        <v>519.6</v>
      </c>
      <c r="W2032" s="361"/>
    </row>
    <row r="2033" spans="6:23" ht="15">
      <c r="F2033" s="370">
        <v>0.5</v>
      </c>
      <c r="G2033" s="368" t="s">
        <v>151</v>
      </c>
      <c r="H2033" s="356" t="s">
        <v>153</v>
      </c>
      <c r="I2033" s="35">
        <f>C12</f>
        <v>781.19999999999993</v>
      </c>
      <c r="J2033" s="356" t="s">
        <v>151</v>
      </c>
      <c r="K2033" s="370">
        <f>(F2033*I2033)</f>
        <v>390.59999999999997</v>
      </c>
      <c r="M2033" s="370">
        <v>0.5</v>
      </c>
      <c r="N2033" s="368" t="s">
        <v>151</v>
      </c>
      <c r="O2033" s="356" t="s">
        <v>153</v>
      </c>
      <c r="P2033" s="370">
        <f>I2033</f>
        <v>781.19999999999993</v>
      </c>
      <c r="Q2033" s="356" t="s">
        <v>151</v>
      </c>
      <c r="R2033" s="370">
        <f>(M2033*P2033)</f>
        <v>390.59999999999997</v>
      </c>
      <c r="W2033" s="361"/>
    </row>
    <row r="2034" spans="6:23" ht="15.75">
      <c r="G2034" s="368" t="s">
        <v>128</v>
      </c>
      <c r="H2034" s="356" t="s">
        <v>129</v>
      </c>
      <c r="J2034" s="356" t="s">
        <v>128</v>
      </c>
      <c r="K2034" s="370">
        <v>0.7</v>
      </c>
      <c r="M2034" s="370"/>
      <c r="N2034" s="368"/>
      <c r="O2034" s="359" t="s">
        <v>501</v>
      </c>
      <c r="P2034" s="370">
        <f>I2034</f>
        <v>0</v>
      </c>
      <c r="Q2034" s="356"/>
      <c r="R2034" s="402">
        <v>-164</v>
      </c>
      <c r="W2034" s="361"/>
    </row>
    <row r="2035" spans="6:23" ht="15.75">
      <c r="K2035" s="363" t="s">
        <v>117</v>
      </c>
      <c r="M2035" s="370"/>
      <c r="N2035" s="368"/>
      <c r="O2035" s="359" t="s">
        <v>503</v>
      </c>
      <c r="P2035" s="370"/>
      <c r="Q2035" s="356"/>
      <c r="R2035" s="402">
        <v>134.1</v>
      </c>
      <c r="W2035" s="361"/>
    </row>
    <row r="2036" spans="6:23" ht="15">
      <c r="H2036" s="356" t="s">
        <v>188</v>
      </c>
      <c r="K2036" s="370">
        <f>SUM(K2026:K2034)</f>
        <v>8312.9000000000015</v>
      </c>
      <c r="N2036" s="368" t="s">
        <v>128</v>
      </c>
      <c r="O2036" s="356" t="s">
        <v>129</v>
      </c>
      <c r="Q2036" s="356" t="s">
        <v>128</v>
      </c>
      <c r="R2036" s="370">
        <v>0.7</v>
      </c>
      <c r="W2036" s="361"/>
    </row>
    <row r="2037" spans="6:23" ht="15">
      <c r="H2037" s="356"/>
      <c r="N2037" s="358"/>
      <c r="Q2037" s="360"/>
      <c r="R2037" s="363" t="s">
        <v>117</v>
      </c>
      <c r="W2037" s="361"/>
    </row>
    <row r="2038" spans="6:23" ht="15">
      <c r="H2038" s="356"/>
      <c r="K2038" s="363" t="s">
        <v>117</v>
      </c>
      <c r="N2038" s="358"/>
      <c r="O2038" s="356" t="s">
        <v>188</v>
      </c>
      <c r="Q2038" s="360"/>
      <c r="R2038" s="370"/>
      <c r="W2038" s="361"/>
    </row>
    <row r="2039" spans="6:23" ht="15.75">
      <c r="H2039" s="356"/>
      <c r="M2039" s="356" t="s">
        <v>114</v>
      </c>
      <c r="N2039" s="358"/>
      <c r="Q2039" s="360"/>
      <c r="R2039" s="411">
        <f>SUM(R2026:R2038)</f>
        <v>8283.0000000000018</v>
      </c>
      <c r="W2039" s="361"/>
    </row>
    <row r="2040" spans="6:23" ht="15">
      <c r="F2040" s="357" t="s">
        <v>232</v>
      </c>
      <c r="G2040" s="368" t="s">
        <v>122</v>
      </c>
      <c r="H2040" s="356" t="s">
        <v>233</v>
      </c>
      <c r="N2040" s="358"/>
      <c r="Q2040" s="360"/>
      <c r="R2040" s="363" t="s">
        <v>117</v>
      </c>
      <c r="W2040" s="361"/>
    </row>
    <row r="2041" spans="6:23" ht="15">
      <c r="H2041" s="356" t="s">
        <v>234</v>
      </c>
      <c r="W2041" s="361"/>
    </row>
    <row r="2042" spans="6:23" ht="15">
      <c r="H2042" s="363" t="s">
        <v>117</v>
      </c>
      <c r="W2042" s="361"/>
    </row>
    <row r="2043" spans="6:23" ht="15">
      <c r="G2043" s="368" t="s">
        <v>235</v>
      </c>
      <c r="H2043" s="356" t="s">
        <v>236</v>
      </c>
      <c r="W2043" s="361"/>
    </row>
    <row r="2044" spans="6:23" ht="15.75">
      <c r="H2044" s="356" t="s">
        <v>2423</v>
      </c>
      <c r="W2044" s="361"/>
    </row>
    <row r="2045" spans="6:23" ht="18.75">
      <c r="H2045" s="356" t="s">
        <v>238</v>
      </c>
      <c r="M2045" s="656"/>
      <c r="N2045" s="657"/>
      <c r="O2045" s="658" t="s">
        <v>1982</v>
      </c>
      <c r="P2045" s="659"/>
      <c r="Q2045" s="660"/>
      <c r="R2045" s="659"/>
      <c r="W2045" s="361"/>
    </row>
    <row r="2046" spans="6:23" ht="18.75">
      <c r="H2046" s="356" t="s">
        <v>239</v>
      </c>
      <c r="M2046" s="656"/>
      <c r="N2046" s="657"/>
      <c r="O2046" s="658" t="s">
        <v>2424</v>
      </c>
      <c r="P2046" s="659"/>
      <c r="Q2046" s="660"/>
      <c r="R2046" s="659"/>
      <c r="W2046" s="361"/>
    </row>
    <row r="2047" spans="6:23" ht="18.75">
      <c r="H2047" s="356" t="s">
        <v>240</v>
      </c>
      <c r="M2047" s="659"/>
      <c r="N2047" s="657"/>
      <c r="O2047" s="661" t="s">
        <v>117</v>
      </c>
      <c r="P2047" s="661" t="s">
        <v>117</v>
      </c>
      <c r="Q2047" s="658" t="s">
        <v>117</v>
      </c>
      <c r="R2047" s="659"/>
      <c r="W2047" s="361"/>
    </row>
    <row r="2048" spans="6:23" ht="18.75">
      <c r="H2048" s="356" t="s">
        <v>241</v>
      </c>
      <c r="M2048" s="659"/>
      <c r="N2048" s="657"/>
      <c r="O2048" s="659"/>
      <c r="P2048" s="659"/>
      <c r="Q2048" s="660"/>
      <c r="R2048" s="659"/>
      <c r="W2048" s="361"/>
    </row>
    <row r="2049" spans="6:23" ht="18.75">
      <c r="H2049" s="356" t="s">
        <v>242</v>
      </c>
      <c r="M2049" s="659"/>
      <c r="N2049" s="657"/>
      <c r="O2049" s="662" t="s">
        <v>2425</v>
      </c>
      <c r="P2049" s="659">
        <f>3.93*2.1</f>
        <v>8.2530000000000001</v>
      </c>
      <c r="Q2049" s="660" t="s">
        <v>793</v>
      </c>
      <c r="R2049" s="659"/>
      <c r="W2049" s="361"/>
    </row>
    <row r="2050" spans="6:23" ht="18.75">
      <c r="H2050" s="363" t="s">
        <v>117</v>
      </c>
      <c r="M2050" s="659"/>
      <c r="N2050" s="657"/>
      <c r="O2050" s="658" t="s">
        <v>2426</v>
      </c>
      <c r="P2050" s="659"/>
      <c r="Q2050" s="660"/>
      <c r="R2050" s="659"/>
      <c r="W2050" s="361"/>
    </row>
    <row r="2051" spans="6:23" ht="18.75">
      <c r="F2051" s="370">
        <v>3</v>
      </c>
      <c r="G2051" s="368" t="s">
        <v>110</v>
      </c>
      <c r="H2051" s="356" t="s">
        <v>243</v>
      </c>
      <c r="I2051" s="493">
        <f>(C622)</f>
        <v>193.05</v>
      </c>
      <c r="J2051" s="356" t="s">
        <v>110</v>
      </c>
      <c r="K2051" s="370">
        <f t="shared" ref="K2051:K2057" si="241">(F2051*I2051)</f>
        <v>579.15000000000009</v>
      </c>
      <c r="M2051" s="659"/>
      <c r="N2051" s="657"/>
      <c r="O2051" s="658" t="s">
        <v>2427</v>
      </c>
      <c r="P2051" s="663">
        <f>1*7*2.1*0.075*0.0375</f>
        <v>4.1343749999999999E-2</v>
      </c>
      <c r="Q2051" s="660"/>
      <c r="R2051" s="659"/>
      <c r="W2051" s="361"/>
    </row>
    <row r="2052" spans="6:23" ht="18.75">
      <c r="F2052" s="370">
        <v>1</v>
      </c>
      <c r="G2052" s="368" t="s">
        <v>223</v>
      </c>
      <c r="H2052" s="356" t="s">
        <v>244</v>
      </c>
      <c r="I2052" s="402">
        <v>76</v>
      </c>
      <c r="J2052" s="356" t="s">
        <v>245</v>
      </c>
      <c r="K2052" s="370">
        <f t="shared" si="241"/>
        <v>76</v>
      </c>
      <c r="M2052" s="659"/>
      <c r="N2052" s="657"/>
      <c r="O2052" s="658" t="s">
        <v>2428</v>
      </c>
      <c r="P2052" s="663">
        <f>5*3.93*0.075*0.0375</f>
        <v>5.5265625000000006E-2</v>
      </c>
      <c r="Q2052" s="660"/>
      <c r="R2052" s="659"/>
      <c r="W2052" s="361"/>
    </row>
    <row r="2053" spans="6:23" ht="18.75">
      <c r="F2053" s="370">
        <v>1</v>
      </c>
      <c r="G2053" s="368" t="s">
        <v>223</v>
      </c>
      <c r="H2053" s="356" t="s">
        <v>246</v>
      </c>
      <c r="I2053" s="370">
        <f>C650</f>
        <v>82.3</v>
      </c>
      <c r="J2053" s="356" t="s">
        <v>245</v>
      </c>
      <c r="K2053" s="370">
        <f t="shared" si="241"/>
        <v>82.3</v>
      </c>
      <c r="M2053" s="659"/>
      <c r="N2053" s="657"/>
      <c r="O2053" s="658"/>
      <c r="P2053" s="664">
        <f>SUM(P2051:P2052)</f>
        <v>9.6609374999999997E-2</v>
      </c>
      <c r="Q2053" s="660" t="s">
        <v>793</v>
      </c>
      <c r="R2053" s="659"/>
      <c r="W2053" s="361"/>
    </row>
    <row r="2054" spans="6:23" ht="18.75">
      <c r="F2054" s="370">
        <v>1</v>
      </c>
      <c r="G2054" s="368" t="s">
        <v>223</v>
      </c>
      <c r="H2054" s="356" t="s">
        <v>247</v>
      </c>
      <c r="I2054" s="370">
        <f>C647</f>
        <v>187.8</v>
      </c>
      <c r="J2054" s="356" t="s">
        <v>245</v>
      </c>
      <c r="K2054" s="370">
        <f t="shared" si="241"/>
        <v>187.8</v>
      </c>
      <c r="M2054" s="659"/>
      <c r="N2054" s="657"/>
      <c r="O2054" s="658" t="s">
        <v>2429</v>
      </c>
      <c r="P2054" s="659"/>
      <c r="Q2054" s="660"/>
      <c r="R2054" s="659"/>
      <c r="W2054" s="361"/>
    </row>
    <row r="2055" spans="6:23" ht="18.75">
      <c r="F2055" s="370">
        <v>0.5</v>
      </c>
      <c r="G2055" s="368" t="s">
        <v>151</v>
      </c>
      <c r="H2055" s="356" t="s">
        <v>187</v>
      </c>
      <c r="I2055" s="370">
        <f>(C15)</f>
        <v>1039.2</v>
      </c>
      <c r="J2055" s="356" t="s">
        <v>245</v>
      </c>
      <c r="K2055" s="370">
        <f t="shared" si="241"/>
        <v>519.6</v>
      </c>
      <c r="M2055" s="659"/>
      <c r="N2055" s="657"/>
      <c r="O2055" s="658" t="s">
        <v>2430</v>
      </c>
      <c r="P2055" s="659"/>
      <c r="Q2055" s="660"/>
      <c r="R2055" s="659"/>
      <c r="W2055" s="361"/>
    </row>
    <row r="2056" spans="6:23" ht="18.75">
      <c r="F2056" s="370">
        <v>0.5</v>
      </c>
      <c r="G2056" s="368" t="s">
        <v>151</v>
      </c>
      <c r="H2056" s="356" t="s">
        <v>152</v>
      </c>
      <c r="I2056" s="370">
        <f>(C11)</f>
        <v>1118.3999999999999</v>
      </c>
      <c r="J2056" s="356" t="s">
        <v>245</v>
      </c>
      <c r="K2056" s="370">
        <f t="shared" si="241"/>
        <v>559.19999999999993</v>
      </c>
      <c r="M2056" s="659"/>
      <c r="N2056" s="657"/>
      <c r="O2056" s="658" t="s">
        <v>2431</v>
      </c>
      <c r="P2056" s="663">
        <f>2*18*0.6*0.075*0.0375</f>
        <v>6.0749999999999992E-2</v>
      </c>
      <c r="Q2056" s="660"/>
      <c r="R2056" s="659"/>
      <c r="W2056" s="361"/>
    </row>
    <row r="2057" spans="6:23" ht="18.75">
      <c r="F2057" s="370">
        <v>0.5</v>
      </c>
      <c r="G2057" s="368" t="s">
        <v>151</v>
      </c>
      <c r="H2057" s="356" t="s">
        <v>153</v>
      </c>
      <c r="I2057" s="370">
        <f>(C12)</f>
        <v>781.19999999999993</v>
      </c>
      <c r="J2057" s="356" t="s">
        <v>245</v>
      </c>
      <c r="K2057" s="370">
        <f t="shared" si="241"/>
        <v>390.59999999999997</v>
      </c>
      <c r="M2057" s="659"/>
      <c r="N2057" s="657"/>
      <c r="O2057" s="658" t="s">
        <v>2432</v>
      </c>
      <c r="P2057" s="663">
        <f>2*18*0.69*0.075*0.0375</f>
        <v>6.986249999999998E-2</v>
      </c>
      <c r="Q2057" s="660"/>
      <c r="R2057" s="659"/>
      <c r="W2057" s="361"/>
    </row>
    <row r="2058" spans="6:23" ht="18.75">
      <c r="G2058" s="368" t="s">
        <v>128</v>
      </c>
      <c r="H2058" s="356" t="s">
        <v>248</v>
      </c>
      <c r="I2058" s="493">
        <v>2.79</v>
      </c>
      <c r="J2058" s="356" t="s">
        <v>128</v>
      </c>
      <c r="K2058" s="370">
        <v>2.79</v>
      </c>
      <c r="M2058" s="659"/>
      <c r="N2058" s="657"/>
      <c r="O2058" s="658"/>
      <c r="P2058" s="664">
        <f>SUM(P2056:P2057)</f>
        <v>0.13061249999999996</v>
      </c>
      <c r="Q2058" s="660"/>
      <c r="R2058" s="659"/>
      <c r="W2058" s="361"/>
    </row>
    <row r="2059" spans="6:23" ht="18.75">
      <c r="H2059" s="356" t="s">
        <v>249</v>
      </c>
      <c r="M2059" s="659"/>
      <c r="N2059" s="657"/>
      <c r="O2059" s="658" t="s">
        <v>2433</v>
      </c>
      <c r="P2059" s="659"/>
      <c r="Q2059" s="660"/>
      <c r="R2059" s="659"/>
      <c r="W2059" s="361"/>
    </row>
    <row r="2060" spans="6:23" ht="18.75">
      <c r="H2060" s="356" t="s">
        <v>250</v>
      </c>
      <c r="M2060" s="659"/>
      <c r="N2060" s="657"/>
      <c r="O2060" s="658" t="s">
        <v>2434</v>
      </c>
      <c r="P2060" s="663">
        <f>2*6*0.66*0.075*0.0375</f>
        <v>2.2275E-2</v>
      </c>
      <c r="Q2060" s="660"/>
      <c r="R2060" s="659"/>
      <c r="W2060" s="361"/>
    </row>
    <row r="2061" spans="6:23" ht="18.75">
      <c r="H2061" s="356" t="s">
        <v>251</v>
      </c>
      <c r="J2061" s="356" t="s">
        <v>128</v>
      </c>
      <c r="K2061" s="370">
        <v>0.12</v>
      </c>
      <c r="M2061" s="659"/>
      <c r="N2061" s="657"/>
      <c r="O2061" s="658" t="s">
        <v>2435</v>
      </c>
      <c r="P2061" s="663">
        <f>2*6*0.69*0.075*0.0375</f>
        <v>2.3287499999999996E-2</v>
      </c>
      <c r="Q2061" s="660"/>
      <c r="R2061" s="659"/>
      <c r="W2061" s="361"/>
    </row>
    <row r="2062" spans="6:23" ht="18.75">
      <c r="K2062" s="363" t="s">
        <v>117</v>
      </c>
      <c r="M2062" s="659"/>
      <c r="N2062" s="657"/>
      <c r="O2062" s="658"/>
      <c r="P2062" s="664">
        <f>SUM(P2060:P2061)</f>
        <v>4.5562499999999992E-2</v>
      </c>
      <c r="Q2062" s="660"/>
      <c r="R2062" s="659"/>
      <c r="W2062" s="361"/>
    </row>
    <row r="2063" spans="6:23" ht="18.75">
      <c r="H2063" s="356" t="s">
        <v>252</v>
      </c>
      <c r="K2063" s="370">
        <f>SUM(K2051:K2061)</f>
        <v>2397.5599999999995</v>
      </c>
      <c r="M2063" s="659"/>
      <c r="N2063" s="657"/>
      <c r="O2063" s="658"/>
      <c r="P2063" s="664">
        <f>P2058+P2062</f>
        <v>0.17617499999999997</v>
      </c>
      <c r="Q2063" s="660" t="s">
        <v>793</v>
      </c>
      <c r="R2063" s="663">
        <f>P2063+P2053</f>
        <v>0.27278437499999997</v>
      </c>
      <c r="W2063" s="361"/>
    </row>
    <row r="2064" spans="6:23" ht="18.75">
      <c r="K2064" s="363" t="s">
        <v>117</v>
      </c>
      <c r="M2064" s="659"/>
      <c r="N2064" s="657"/>
      <c r="O2064" s="658" t="s">
        <v>2436</v>
      </c>
      <c r="P2064" s="659"/>
      <c r="Q2064" s="660"/>
      <c r="R2064" s="659"/>
      <c r="W2064" s="361"/>
    </row>
    <row r="2065" spans="6:23" ht="18.75">
      <c r="H2065" s="356" t="s">
        <v>253</v>
      </c>
      <c r="K2065" s="370">
        <f>(K2063/3)</f>
        <v>799.1866666666665</v>
      </c>
      <c r="M2065" s="659"/>
      <c r="N2065" s="657"/>
      <c r="O2065" s="658" t="s">
        <v>2437</v>
      </c>
      <c r="P2065" s="659">
        <f>1*18*0.54*0.45</f>
        <v>4.3740000000000006</v>
      </c>
      <c r="Q2065" s="660"/>
      <c r="R2065" s="659"/>
      <c r="W2065" s="361"/>
    </row>
    <row r="2066" spans="6:23" ht="18.75">
      <c r="K2066" s="363" t="s">
        <v>117</v>
      </c>
      <c r="M2066" s="659"/>
      <c r="N2066" s="657"/>
      <c r="O2066" s="658" t="s">
        <v>2438</v>
      </c>
      <c r="P2066" s="659">
        <f>1*6*0.54*0.51</f>
        <v>1.6524000000000001</v>
      </c>
      <c r="Q2066" s="660"/>
      <c r="R2066" s="659"/>
      <c r="W2066" s="361"/>
    </row>
    <row r="2067" spans="6:23" ht="18.75">
      <c r="F2067" s="357" t="s">
        <v>2439</v>
      </c>
      <c r="G2067" s="368" t="s">
        <v>2440</v>
      </c>
      <c r="H2067" s="356" t="s">
        <v>2441</v>
      </c>
      <c r="M2067" s="659"/>
      <c r="N2067" s="657"/>
      <c r="O2067" s="658"/>
      <c r="P2067" s="665">
        <f>SUM(P2065:P2066)</f>
        <v>6.0264000000000006</v>
      </c>
      <c r="Q2067" s="660" t="s">
        <v>262</v>
      </c>
      <c r="R2067" s="659"/>
      <c r="W2067" s="361"/>
    </row>
    <row r="2068" spans="6:23" ht="18.75">
      <c r="H2068" s="356" t="s">
        <v>2442</v>
      </c>
      <c r="M2068" s="659"/>
      <c r="N2068" s="657"/>
      <c r="O2068" s="658"/>
      <c r="P2068" s="659"/>
      <c r="Q2068" s="660"/>
      <c r="R2068" s="659"/>
      <c r="W2068" s="361"/>
    </row>
    <row r="2069" spans="6:23" ht="18.75">
      <c r="H2069" s="356" t="s">
        <v>238</v>
      </c>
      <c r="M2069" s="659"/>
      <c r="N2069" s="657"/>
      <c r="O2069" s="658" t="s">
        <v>2443</v>
      </c>
      <c r="P2069" s="659">
        <f>3.78*1.95</f>
        <v>7.3709999999999996</v>
      </c>
      <c r="Q2069" s="660" t="s">
        <v>262</v>
      </c>
      <c r="R2069" s="666" t="s">
        <v>114</v>
      </c>
      <c r="W2069" s="361"/>
    </row>
    <row r="2070" spans="6:23" ht="18.75">
      <c r="H2070" s="356" t="s">
        <v>2444</v>
      </c>
      <c r="M2070" s="659"/>
      <c r="N2070" s="657"/>
      <c r="O2070" s="658"/>
      <c r="P2070" s="659"/>
      <c r="Q2070" s="660"/>
      <c r="R2070" s="666"/>
      <c r="W2070" s="361"/>
    </row>
    <row r="2071" spans="6:23" ht="18.75">
      <c r="H2071" s="356" t="s">
        <v>2445</v>
      </c>
      <c r="M2071" s="659"/>
      <c r="N2071" s="657"/>
      <c r="O2071" s="658" t="s">
        <v>2446</v>
      </c>
      <c r="P2071" s="659">
        <f>18*2</f>
        <v>36</v>
      </c>
      <c r="Q2071" s="660" t="s">
        <v>292</v>
      </c>
      <c r="R2071" s="666"/>
      <c r="W2071" s="361"/>
    </row>
    <row r="2072" spans="6:23" ht="18.75">
      <c r="H2072" s="356" t="s">
        <v>241</v>
      </c>
      <c r="M2072" s="659"/>
      <c r="N2072" s="657"/>
      <c r="O2072" s="658" t="s">
        <v>2447</v>
      </c>
      <c r="P2072" s="659">
        <f>18*1</f>
        <v>18</v>
      </c>
      <c r="Q2072" s="660" t="s">
        <v>292</v>
      </c>
      <c r="R2072" s="666"/>
      <c r="W2072" s="361"/>
    </row>
    <row r="2073" spans="6:23" ht="18.75">
      <c r="H2073" s="356" t="s">
        <v>242</v>
      </c>
      <c r="M2073" s="659"/>
      <c r="N2073" s="657"/>
      <c r="O2073" s="667" t="s">
        <v>2002</v>
      </c>
      <c r="P2073" s="659">
        <f>18*1</f>
        <v>18</v>
      </c>
      <c r="Q2073" s="660" t="s">
        <v>292</v>
      </c>
      <c r="R2073" s="666"/>
      <c r="W2073" s="361"/>
    </row>
    <row r="2074" spans="6:23" ht="18.75">
      <c r="H2074" s="363" t="s">
        <v>117</v>
      </c>
      <c r="M2074" s="659"/>
      <c r="N2074" s="657"/>
      <c r="O2074" s="658" t="s">
        <v>2448</v>
      </c>
      <c r="P2074" s="659">
        <f>3.93*2.6*2.1</f>
        <v>21.457800000000002</v>
      </c>
      <c r="Q2074" s="660" t="s">
        <v>262</v>
      </c>
      <c r="R2074" s="666"/>
      <c r="W2074" s="361"/>
    </row>
    <row r="2075" spans="6:23" ht="18.75">
      <c r="F2075" s="370">
        <v>3</v>
      </c>
      <c r="G2075" s="368" t="s">
        <v>110</v>
      </c>
      <c r="H2075" s="356" t="s">
        <v>2449</v>
      </c>
      <c r="I2075" s="402">
        <f>C623</f>
        <v>115.85</v>
      </c>
      <c r="J2075" s="356" t="s">
        <v>110</v>
      </c>
      <c r="K2075" s="370">
        <f t="shared" ref="K2075:K2081" si="242">(F2075*I2075)</f>
        <v>347.54999999999995</v>
      </c>
      <c r="M2075" s="659"/>
      <c r="N2075" s="657"/>
      <c r="O2075" s="659"/>
      <c r="P2075" s="659"/>
      <c r="Q2075" s="660"/>
      <c r="R2075" s="659"/>
      <c r="W2075" s="361"/>
    </row>
    <row r="2076" spans="6:23" ht="18.75">
      <c r="F2076" s="370">
        <v>1</v>
      </c>
      <c r="G2076" s="368" t="s">
        <v>223</v>
      </c>
      <c r="H2076" s="356" t="s">
        <v>2450</v>
      </c>
      <c r="I2076" s="402">
        <f>C626</f>
        <v>45</v>
      </c>
      <c r="J2076" s="356" t="s">
        <v>245</v>
      </c>
      <c r="K2076" s="370">
        <f t="shared" si="242"/>
        <v>45</v>
      </c>
      <c r="M2076" s="668">
        <f>P2053</f>
        <v>9.6609374999999997E-2</v>
      </c>
      <c r="N2076" s="669" t="s">
        <v>108</v>
      </c>
      <c r="O2076" s="658" t="s">
        <v>986</v>
      </c>
      <c r="P2076" s="670">
        <f>I3102</f>
        <v>111965.44</v>
      </c>
      <c r="Q2076" s="658" t="s">
        <v>108</v>
      </c>
      <c r="R2076" s="670">
        <f t="shared" ref="R2076:R2085" si="243">(M2076*P2076)</f>
        <v>10816.911179999999</v>
      </c>
      <c r="W2076" s="361"/>
    </row>
    <row r="2077" spans="6:23" ht="18.75">
      <c r="F2077" s="370">
        <v>1</v>
      </c>
      <c r="G2077" s="368" t="s">
        <v>223</v>
      </c>
      <c r="H2077" s="356" t="s">
        <v>2451</v>
      </c>
      <c r="I2077" s="370">
        <f>C651</f>
        <v>55.5</v>
      </c>
      <c r="J2077" s="356" t="s">
        <v>245</v>
      </c>
      <c r="K2077" s="370">
        <f t="shared" si="242"/>
        <v>55.5</v>
      </c>
      <c r="M2077" s="668">
        <f>P2063</f>
        <v>0.17617499999999997</v>
      </c>
      <c r="N2077" s="669" t="s">
        <v>108</v>
      </c>
      <c r="O2077" s="658" t="s">
        <v>987</v>
      </c>
      <c r="P2077" s="670">
        <f t="shared" ref="P2077:P2085" si="244">I3103</f>
        <v>99765.440000000002</v>
      </c>
      <c r="Q2077" s="658" t="s">
        <v>108</v>
      </c>
      <c r="R2077" s="670">
        <f t="shared" si="243"/>
        <v>17576.176391999998</v>
      </c>
      <c r="W2077" s="361"/>
    </row>
    <row r="2078" spans="6:23" ht="18.75">
      <c r="F2078" s="370">
        <v>1</v>
      </c>
      <c r="G2078" s="368" t="s">
        <v>223</v>
      </c>
      <c r="H2078" s="356" t="s">
        <v>2452</v>
      </c>
      <c r="I2078" s="370">
        <f>C648</f>
        <v>125.2</v>
      </c>
      <c r="J2078" s="356" t="s">
        <v>245</v>
      </c>
      <c r="K2078" s="370">
        <f t="shared" si="242"/>
        <v>125.2</v>
      </c>
      <c r="M2078" s="668">
        <f>SUM(M2076:M2077)</f>
        <v>0.27278437499999997</v>
      </c>
      <c r="N2078" s="669" t="s">
        <v>108</v>
      </c>
      <c r="O2078" s="658" t="s">
        <v>1997</v>
      </c>
      <c r="P2078" s="670">
        <f t="shared" si="244"/>
        <v>16428</v>
      </c>
      <c r="Q2078" s="658" t="s">
        <v>108</v>
      </c>
      <c r="R2078" s="670">
        <f t="shared" si="243"/>
        <v>4481.3017124999997</v>
      </c>
      <c r="W2078" s="361"/>
    </row>
    <row r="2079" spans="6:23" ht="18.75">
      <c r="F2079" s="370">
        <v>0.5</v>
      </c>
      <c r="G2079" s="368" t="s">
        <v>151</v>
      </c>
      <c r="H2079" s="356" t="s">
        <v>187</v>
      </c>
      <c r="I2079" s="370">
        <f>(C15)</f>
        <v>1039.2</v>
      </c>
      <c r="J2079" s="356" t="s">
        <v>245</v>
      </c>
      <c r="K2079" s="370">
        <f t="shared" si="242"/>
        <v>519.6</v>
      </c>
      <c r="M2079" s="668">
        <f>P2067</f>
        <v>6.0264000000000006</v>
      </c>
      <c r="N2079" s="669" t="s">
        <v>107</v>
      </c>
      <c r="O2079" s="658" t="s">
        <v>2453</v>
      </c>
      <c r="P2079" s="670">
        <f t="shared" si="244"/>
        <v>387.4</v>
      </c>
      <c r="Q2079" s="658" t="s">
        <v>107</v>
      </c>
      <c r="R2079" s="670">
        <f t="shared" si="243"/>
        <v>2334.62736</v>
      </c>
      <c r="W2079" s="361"/>
    </row>
    <row r="2080" spans="6:23" ht="18.75">
      <c r="F2080" s="370">
        <v>0.5</v>
      </c>
      <c r="G2080" s="368" t="s">
        <v>151</v>
      </c>
      <c r="H2080" s="356" t="s">
        <v>152</v>
      </c>
      <c r="I2080" s="370">
        <f>(C11)</f>
        <v>1118.3999999999999</v>
      </c>
      <c r="J2080" s="356" t="s">
        <v>245</v>
      </c>
      <c r="K2080" s="370">
        <f t="shared" si="242"/>
        <v>559.19999999999993</v>
      </c>
      <c r="M2080" s="668">
        <f>P2069</f>
        <v>7.3709999999999996</v>
      </c>
      <c r="N2080" s="669" t="s">
        <v>107</v>
      </c>
      <c r="O2080" s="658" t="s">
        <v>1999</v>
      </c>
      <c r="P2080" s="670">
        <f t="shared" si="244"/>
        <v>1537.2</v>
      </c>
      <c r="Q2080" s="658" t="s">
        <v>107</v>
      </c>
      <c r="R2080" s="670">
        <f t="shared" si="243"/>
        <v>11330.7012</v>
      </c>
      <c r="W2080" s="361"/>
    </row>
    <row r="2081" spans="6:23" ht="18.75">
      <c r="F2081" s="370">
        <v>0.5</v>
      </c>
      <c r="G2081" s="368" t="s">
        <v>151</v>
      </c>
      <c r="H2081" s="356" t="s">
        <v>153</v>
      </c>
      <c r="I2081" s="370">
        <f>(C12)</f>
        <v>781.19999999999993</v>
      </c>
      <c r="J2081" s="356" t="s">
        <v>245</v>
      </c>
      <c r="K2081" s="370">
        <f t="shared" si="242"/>
        <v>390.59999999999997</v>
      </c>
      <c r="M2081" s="670">
        <f>P2071</f>
        <v>36</v>
      </c>
      <c r="N2081" s="669" t="s">
        <v>151</v>
      </c>
      <c r="O2081" s="658" t="s">
        <v>1958</v>
      </c>
      <c r="P2081" s="670">
        <f t="shared" si="244"/>
        <v>57</v>
      </c>
      <c r="Q2081" s="658" t="s">
        <v>151</v>
      </c>
      <c r="R2081" s="670">
        <f t="shared" si="243"/>
        <v>2052</v>
      </c>
      <c r="W2081" s="361"/>
    </row>
    <row r="2082" spans="6:23" ht="18.75">
      <c r="G2082" s="368" t="s">
        <v>128</v>
      </c>
      <c r="H2082" s="356" t="s">
        <v>248</v>
      </c>
      <c r="I2082" s="356" t="s">
        <v>114</v>
      </c>
      <c r="J2082" s="356" t="s">
        <v>128</v>
      </c>
      <c r="K2082" s="370">
        <v>2.73</v>
      </c>
      <c r="M2082" s="670">
        <f>P2072</f>
        <v>18</v>
      </c>
      <c r="N2082" s="669" t="s">
        <v>151</v>
      </c>
      <c r="O2082" s="658" t="s">
        <v>2454</v>
      </c>
      <c r="P2082" s="670">
        <f t="shared" si="244"/>
        <v>49.35</v>
      </c>
      <c r="Q2082" s="658" t="s">
        <v>151</v>
      </c>
      <c r="R2082" s="670">
        <f t="shared" si="243"/>
        <v>888.30000000000007</v>
      </c>
      <c r="W2082" s="361"/>
    </row>
    <row r="2083" spans="6:23" ht="18.75">
      <c r="H2083" s="356" t="s">
        <v>249</v>
      </c>
      <c r="M2083" s="670">
        <f>P2073</f>
        <v>18</v>
      </c>
      <c r="N2083" s="669" t="s">
        <v>151</v>
      </c>
      <c r="O2083" s="667" t="s">
        <v>2455</v>
      </c>
      <c r="P2083" s="670">
        <f t="shared" si="244"/>
        <v>60.9</v>
      </c>
      <c r="Q2083" s="658" t="s">
        <v>151</v>
      </c>
      <c r="R2083" s="670">
        <f t="shared" si="243"/>
        <v>1096.2</v>
      </c>
      <c r="W2083" s="361"/>
    </row>
    <row r="2084" spans="6:23" ht="18.75">
      <c r="H2084" s="356" t="s">
        <v>250</v>
      </c>
      <c r="M2084" s="670">
        <f>P2074</f>
        <v>21.457800000000002</v>
      </c>
      <c r="N2084" s="669" t="s">
        <v>107</v>
      </c>
      <c r="O2084" s="658" t="s">
        <v>2456</v>
      </c>
      <c r="P2084" s="670">
        <f t="shared" si="244"/>
        <v>63.2</v>
      </c>
      <c r="Q2084" s="658" t="s">
        <v>107</v>
      </c>
      <c r="R2084" s="670">
        <f t="shared" si="243"/>
        <v>1356.1329600000001</v>
      </c>
      <c r="W2084" s="361"/>
    </row>
    <row r="2085" spans="6:23" ht="18.75">
      <c r="H2085" s="356" t="s">
        <v>251</v>
      </c>
      <c r="J2085" s="356" t="s">
        <v>128</v>
      </c>
      <c r="K2085" s="370">
        <v>0.27</v>
      </c>
      <c r="M2085" s="659">
        <v>50</v>
      </c>
      <c r="N2085" s="669" t="s">
        <v>192</v>
      </c>
      <c r="O2085" s="658" t="s">
        <v>2004</v>
      </c>
      <c r="P2085" s="670">
        <f t="shared" si="244"/>
        <v>264.02549999999997</v>
      </c>
      <c r="Q2085" s="660" t="s">
        <v>151</v>
      </c>
      <c r="R2085" s="670">
        <f t="shared" si="243"/>
        <v>13201.274999999998</v>
      </c>
      <c r="W2085" s="361"/>
    </row>
    <row r="2086" spans="6:23" ht="18.75">
      <c r="K2086" s="363" t="s">
        <v>117</v>
      </c>
      <c r="M2086" s="659"/>
      <c r="N2086" s="657"/>
      <c r="O2086" s="659"/>
      <c r="P2086" s="659"/>
      <c r="Q2086" s="660"/>
      <c r="R2086" s="661" t="s">
        <v>117</v>
      </c>
      <c r="W2086" s="361"/>
    </row>
    <row r="2087" spans="6:23" ht="18.75">
      <c r="H2087" s="356" t="s">
        <v>252</v>
      </c>
      <c r="K2087" s="370">
        <f>SUM(K2075:K2085)</f>
        <v>2045.6499999999996</v>
      </c>
      <c r="M2087" s="659"/>
      <c r="N2087" s="657"/>
      <c r="O2087" s="671" t="s">
        <v>2005</v>
      </c>
      <c r="P2087" s="659"/>
      <c r="Q2087" s="660"/>
      <c r="R2087" s="670">
        <f>SUM(R2076:R2085)</f>
        <v>65133.625804499985</v>
      </c>
      <c r="W2087" s="361"/>
    </row>
    <row r="2088" spans="6:23" ht="18.75">
      <c r="K2088" s="363" t="s">
        <v>117</v>
      </c>
      <c r="M2088" s="659"/>
      <c r="N2088" s="669" t="s">
        <v>114</v>
      </c>
      <c r="O2088" s="659"/>
      <c r="P2088" s="659"/>
      <c r="Q2088" s="660"/>
      <c r="R2088" s="661" t="s">
        <v>117</v>
      </c>
      <c r="W2088" s="361"/>
    </row>
    <row r="2089" spans="6:23" ht="18.75">
      <c r="H2089" s="356" t="s">
        <v>253</v>
      </c>
      <c r="K2089" s="370">
        <f>(K2087/3)</f>
        <v>681.88333333333321</v>
      </c>
      <c r="M2089" s="659"/>
      <c r="N2089" s="657"/>
      <c r="O2089" s="672" t="s">
        <v>177</v>
      </c>
      <c r="P2089" s="659"/>
      <c r="Q2089" s="660"/>
      <c r="R2089" s="673">
        <f>R2087/P2049</f>
        <v>7892.1150859687368</v>
      </c>
      <c r="W2089" s="361"/>
    </row>
    <row r="2090" spans="6:23" ht="18.75">
      <c r="K2090" s="363" t="s">
        <v>117</v>
      </c>
      <c r="M2090" s="659"/>
      <c r="N2090" s="657"/>
      <c r="O2090" s="659"/>
      <c r="P2090" s="659"/>
      <c r="Q2090" s="660"/>
      <c r="R2090" s="661" t="s">
        <v>156</v>
      </c>
      <c r="W2090" s="361"/>
    </row>
    <row r="2091" spans="6:23" ht="18.75">
      <c r="F2091" s="357" t="s">
        <v>448</v>
      </c>
      <c r="H2091" s="356" t="s">
        <v>449</v>
      </c>
      <c r="M2091" s="659"/>
      <c r="N2091" s="659"/>
      <c r="O2091" s="659"/>
      <c r="P2091" s="659"/>
      <c r="Q2091" s="659"/>
      <c r="R2091" s="659"/>
      <c r="W2091" s="361"/>
    </row>
    <row r="2092" spans="6:23" ht="15">
      <c r="H2092" s="356" t="s">
        <v>450</v>
      </c>
      <c r="W2092" s="361"/>
    </row>
    <row r="2093" spans="6:23" ht="15">
      <c r="F2093" s="356" t="s">
        <v>114</v>
      </c>
      <c r="H2093" s="356" t="s">
        <v>451</v>
      </c>
      <c r="W2093" s="361"/>
    </row>
    <row r="2094" spans="6:23" ht="47.25">
      <c r="H2094" s="363" t="s">
        <v>117</v>
      </c>
      <c r="M2094" s="674"/>
      <c r="N2094" s="674"/>
      <c r="O2094" s="674" t="s">
        <v>2457</v>
      </c>
      <c r="P2094" s="674"/>
      <c r="Q2094" s="674"/>
      <c r="R2094" s="674"/>
      <c r="W2094" s="361"/>
    </row>
    <row r="2095" spans="6:23" ht="15.75">
      <c r="F2095" s="370">
        <v>3</v>
      </c>
      <c r="G2095" s="368" t="s">
        <v>452</v>
      </c>
      <c r="H2095" s="356" t="s">
        <v>453</v>
      </c>
      <c r="I2095" s="402">
        <f>D622</f>
        <v>120.54</v>
      </c>
      <c r="J2095" s="356" t="s">
        <v>452</v>
      </c>
      <c r="K2095" s="370">
        <f>(F2095*I2095)</f>
        <v>361.62</v>
      </c>
      <c r="M2095" s="675">
        <v>8.5000000000000006E-2</v>
      </c>
      <c r="N2095" s="674" t="s">
        <v>793</v>
      </c>
      <c r="O2095" s="674" t="s">
        <v>2458</v>
      </c>
      <c r="P2095" s="674">
        <f>AA720</f>
        <v>8825.0046658500014</v>
      </c>
      <c r="Q2095" s="674" t="s">
        <v>194</v>
      </c>
      <c r="R2095" s="674">
        <f>M2095*P2095</f>
        <v>750.12539659725019</v>
      </c>
      <c r="W2095" s="361"/>
    </row>
    <row r="2096" spans="6:23" ht="15.75">
      <c r="F2096" s="370">
        <v>1</v>
      </c>
      <c r="G2096" s="368" t="s">
        <v>454</v>
      </c>
      <c r="H2096" s="356" t="s">
        <v>455</v>
      </c>
      <c r="I2096" s="370">
        <f>C650</f>
        <v>82.3</v>
      </c>
      <c r="J2096" s="356" t="s">
        <v>454</v>
      </c>
      <c r="K2096" s="370">
        <f>(F2096*I2096)</f>
        <v>82.3</v>
      </c>
      <c r="M2096" s="674">
        <v>8.5</v>
      </c>
      <c r="N2096" s="674" t="s">
        <v>213</v>
      </c>
      <c r="O2096" s="674" t="s">
        <v>2459</v>
      </c>
      <c r="P2096" s="674">
        <f>K1610/1000</f>
        <v>95.267640000000014</v>
      </c>
      <c r="Q2096" s="674" t="s">
        <v>213</v>
      </c>
      <c r="R2096" s="674">
        <f>M2096*P2096</f>
        <v>809.77494000000013</v>
      </c>
      <c r="W2096" s="361"/>
    </row>
    <row r="2097" spans="6:23" ht="15.75">
      <c r="F2097" s="370">
        <v>1</v>
      </c>
      <c r="G2097" s="368" t="s">
        <v>454</v>
      </c>
      <c r="H2097" s="356" t="s">
        <v>456</v>
      </c>
      <c r="I2097" s="370">
        <v>8</v>
      </c>
      <c r="J2097" s="356" t="s">
        <v>454</v>
      </c>
      <c r="K2097" s="370">
        <f>(F2097*I2097)</f>
        <v>8</v>
      </c>
      <c r="M2097" s="674"/>
      <c r="N2097" s="674"/>
      <c r="O2097" s="674" t="s">
        <v>331</v>
      </c>
      <c r="P2097" s="674"/>
      <c r="Q2097" s="674"/>
      <c r="R2097" s="676" t="s">
        <v>117</v>
      </c>
      <c r="W2097" s="361"/>
    </row>
    <row r="2098" spans="6:23" ht="15.75">
      <c r="F2098" s="357" t="s">
        <v>457</v>
      </c>
      <c r="H2098" s="356" t="s">
        <v>458</v>
      </c>
      <c r="I2098" s="357" t="s">
        <v>457</v>
      </c>
      <c r="K2098" s="370">
        <f>1.21+0.47+0.4</f>
        <v>2.08</v>
      </c>
      <c r="M2098" s="674"/>
      <c r="N2098" s="674"/>
      <c r="O2098" s="674"/>
      <c r="P2098" s="674"/>
      <c r="Q2098" s="674"/>
      <c r="R2098" s="674">
        <f>SUM(R2095:R2097)</f>
        <v>1559.9003365972503</v>
      </c>
      <c r="W2098" s="361"/>
    </row>
    <row r="2099" spans="6:23" ht="15">
      <c r="K2099" s="363" t="s">
        <v>117</v>
      </c>
      <c r="W2099" s="361"/>
    </row>
    <row r="2100" spans="6:23" ht="47.25">
      <c r="H2100" s="356" t="s">
        <v>459</v>
      </c>
      <c r="K2100" s="370">
        <f>SUM(K2095:K2098)</f>
        <v>454</v>
      </c>
      <c r="M2100" s="674"/>
      <c r="N2100" s="674"/>
      <c r="O2100" s="674" t="s">
        <v>2457</v>
      </c>
      <c r="P2100" s="674"/>
      <c r="Q2100" s="674"/>
      <c r="R2100" s="674"/>
      <c r="W2100" s="361"/>
    </row>
    <row r="2101" spans="6:23" ht="15.75">
      <c r="K2101" s="363" t="s">
        <v>117</v>
      </c>
      <c r="M2101" s="675">
        <v>4.4999999999999998E-2</v>
      </c>
      <c r="N2101" s="674" t="s">
        <v>793</v>
      </c>
      <c r="O2101" s="674" t="s">
        <v>2460</v>
      </c>
      <c r="P2101" s="674">
        <f>P2095</f>
        <v>8825.0046658500014</v>
      </c>
      <c r="Q2101" s="674" t="s">
        <v>194</v>
      </c>
      <c r="R2101" s="674">
        <f>M2101*P2101</f>
        <v>397.12520996325003</v>
      </c>
      <c r="W2101" s="361"/>
    </row>
    <row r="2102" spans="6:23" ht="15.75">
      <c r="M2102" s="674">
        <v>4.5</v>
      </c>
      <c r="N2102" s="674" t="s">
        <v>213</v>
      </c>
      <c r="O2102" s="674" t="s">
        <v>2459</v>
      </c>
      <c r="P2102" s="674">
        <f>P2096</f>
        <v>95.267640000000014</v>
      </c>
      <c r="Q2102" s="674" t="s">
        <v>213</v>
      </c>
      <c r="R2102" s="674">
        <f>M2102*P2102</f>
        <v>428.70438000000007</v>
      </c>
      <c r="W2102" s="361"/>
    </row>
    <row r="2103" spans="6:23" ht="15.75">
      <c r="F2103" s="357" t="s">
        <v>2461</v>
      </c>
      <c r="G2103" s="368" t="s">
        <v>122</v>
      </c>
      <c r="H2103" s="356" t="s">
        <v>2462</v>
      </c>
      <c r="M2103" s="674"/>
      <c r="N2103" s="674"/>
      <c r="O2103" s="674" t="s">
        <v>331</v>
      </c>
      <c r="P2103" s="674"/>
      <c r="Q2103" s="674"/>
      <c r="R2103" s="676" t="s">
        <v>117</v>
      </c>
      <c r="W2103" s="361"/>
    </row>
    <row r="2104" spans="6:23" ht="15.75">
      <c r="H2104" s="356" t="s">
        <v>2463</v>
      </c>
      <c r="M2104" s="674"/>
      <c r="N2104" s="674"/>
      <c r="O2104" s="674"/>
      <c r="P2104" s="674"/>
      <c r="Q2104" s="674"/>
      <c r="R2104" s="674">
        <f>SUM(R2101:R2103)</f>
        <v>825.8295899632501</v>
      </c>
      <c r="W2104" s="361"/>
    </row>
    <row r="2105" spans="6:23" ht="15">
      <c r="H2105" s="363" t="s">
        <v>117</v>
      </c>
      <c r="W2105" s="361"/>
    </row>
    <row r="2106" spans="6:23" ht="15">
      <c r="F2106" s="370">
        <v>1</v>
      </c>
      <c r="G2106" s="368" t="s">
        <v>151</v>
      </c>
      <c r="H2106" s="356" t="s">
        <v>2463</v>
      </c>
      <c r="I2106" s="370">
        <f>(C268)</f>
        <v>170.35</v>
      </c>
      <c r="J2106" s="356" t="s">
        <v>151</v>
      </c>
      <c r="K2106" s="370">
        <f>(F2106*I2106)</f>
        <v>170.35</v>
      </c>
      <c r="W2106" s="361"/>
    </row>
    <row r="2107" spans="6:23" ht="47.25">
      <c r="F2107" s="370">
        <v>0.05</v>
      </c>
      <c r="G2107" s="368" t="s">
        <v>108</v>
      </c>
      <c r="H2107" s="356" t="s">
        <v>2464</v>
      </c>
      <c r="I2107" s="370">
        <f>(R60)</f>
        <v>4830.3518400000003</v>
      </c>
      <c r="J2107" s="356" t="s">
        <v>108</v>
      </c>
      <c r="K2107" s="370">
        <f>(F2107*I2107)</f>
        <v>241.51759200000004</v>
      </c>
      <c r="M2107" s="674"/>
      <c r="N2107" s="674"/>
      <c r="O2107" s="674" t="s">
        <v>2465</v>
      </c>
      <c r="P2107" s="674"/>
      <c r="Q2107" s="674"/>
      <c r="R2107" s="674"/>
      <c r="W2107" s="361"/>
    </row>
    <row r="2108" spans="6:23" ht="15.75">
      <c r="F2108" s="370">
        <v>0.5</v>
      </c>
      <c r="G2108" s="368" t="s">
        <v>151</v>
      </c>
      <c r="H2108" s="356" t="s">
        <v>187</v>
      </c>
      <c r="I2108" s="370">
        <f>(C15)</f>
        <v>1039.2</v>
      </c>
      <c r="J2108" s="356" t="s">
        <v>151</v>
      </c>
      <c r="K2108" s="370">
        <f>(F2108*I2108)</f>
        <v>519.6</v>
      </c>
      <c r="M2108" s="675">
        <v>8.5000000000000006E-2</v>
      </c>
      <c r="N2108" s="674" t="s">
        <v>793</v>
      </c>
      <c r="O2108" s="674" t="s">
        <v>2458</v>
      </c>
      <c r="P2108" s="674">
        <f>AA720</f>
        <v>8825.0046658500014</v>
      </c>
      <c r="Q2108" s="674" t="s">
        <v>194</v>
      </c>
      <c r="R2108" s="674">
        <f>M2108*P2108</f>
        <v>750.12539659725019</v>
      </c>
      <c r="W2108" s="361"/>
    </row>
    <row r="2109" spans="6:23" ht="15.75">
      <c r="F2109" s="370">
        <v>1</v>
      </c>
      <c r="G2109" s="368" t="s">
        <v>151</v>
      </c>
      <c r="H2109" s="356" t="s">
        <v>153</v>
      </c>
      <c r="I2109" s="370">
        <f>(C12)</f>
        <v>781.19999999999993</v>
      </c>
      <c r="J2109" s="356" t="s">
        <v>151</v>
      </c>
      <c r="K2109" s="370">
        <f>(F2109*I2109)</f>
        <v>781.19999999999993</v>
      </c>
      <c r="M2109" s="674">
        <v>8.5</v>
      </c>
      <c r="N2109" s="674" t="s">
        <v>213</v>
      </c>
      <c r="O2109" s="674" t="s">
        <v>2459</v>
      </c>
      <c r="P2109" s="674">
        <f>P2102</f>
        <v>95.267640000000014</v>
      </c>
      <c r="Q2109" s="674" t="s">
        <v>213</v>
      </c>
      <c r="R2109" s="674">
        <f>M2109*P2109</f>
        <v>809.77494000000013</v>
      </c>
      <c r="W2109" s="361"/>
    </row>
    <row r="2110" spans="6:23" ht="15.75">
      <c r="F2110" s="370">
        <v>1</v>
      </c>
      <c r="G2110" s="368" t="s">
        <v>151</v>
      </c>
      <c r="H2110" s="356" t="s">
        <v>154</v>
      </c>
      <c r="I2110" s="370">
        <f>(C13)</f>
        <v>640.79999999999995</v>
      </c>
      <c r="J2110" s="356" t="s">
        <v>151</v>
      </c>
      <c r="K2110" s="370">
        <f>(F2110*I2110)</f>
        <v>640.79999999999995</v>
      </c>
      <c r="M2110" s="674"/>
      <c r="N2110" s="674"/>
      <c r="O2110" s="674" t="s">
        <v>331</v>
      </c>
      <c r="P2110" s="674"/>
      <c r="Q2110" s="674"/>
      <c r="R2110" s="676" t="s">
        <v>117</v>
      </c>
      <c r="W2110" s="361"/>
    </row>
    <row r="2111" spans="6:23" ht="15.75">
      <c r="G2111" s="368" t="s">
        <v>128</v>
      </c>
      <c r="H2111" s="356" t="s">
        <v>129</v>
      </c>
      <c r="I2111" s="356" t="s">
        <v>114</v>
      </c>
      <c r="J2111" s="356" t="s">
        <v>128</v>
      </c>
      <c r="K2111" s="370">
        <v>0.54</v>
      </c>
      <c r="M2111" s="674"/>
      <c r="N2111" s="674"/>
      <c r="O2111" s="674"/>
      <c r="P2111" s="674"/>
      <c r="Q2111" s="674"/>
      <c r="R2111" s="674">
        <f>SUM(R2108:R2110)</f>
        <v>1559.9003365972503</v>
      </c>
      <c r="W2111" s="361"/>
    </row>
    <row r="2112" spans="6:23" ht="15">
      <c r="H2112" s="356" t="s">
        <v>114</v>
      </c>
      <c r="K2112" s="363" t="s">
        <v>117</v>
      </c>
      <c r="W2112" s="361"/>
    </row>
    <row r="2113" spans="6:23" ht="15">
      <c r="H2113" s="356" t="s">
        <v>188</v>
      </c>
      <c r="K2113" s="370">
        <f>SUM(K2106:K2111)</f>
        <v>2354.0075919999999</v>
      </c>
      <c r="W2113" s="361"/>
    </row>
    <row r="2114" spans="6:23" ht="47.25">
      <c r="K2114" s="363" t="s">
        <v>156</v>
      </c>
      <c r="M2114" s="674"/>
      <c r="N2114" s="674"/>
      <c r="O2114" s="674" t="s">
        <v>2465</v>
      </c>
      <c r="P2114" s="674"/>
      <c r="Q2114" s="674"/>
      <c r="R2114" s="674"/>
      <c r="W2114" s="361"/>
    </row>
    <row r="2115" spans="6:23" ht="15.75">
      <c r="F2115" s="357" t="s">
        <v>207</v>
      </c>
      <c r="G2115" s="368" t="s">
        <v>122</v>
      </c>
      <c r="H2115" s="356" t="s">
        <v>208</v>
      </c>
      <c r="M2115" s="675">
        <v>8.5000000000000006E-2</v>
      </c>
      <c r="N2115" s="674" t="s">
        <v>793</v>
      </c>
      <c r="O2115" s="674" t="s">
        <v>2458</v>
      </c>
      <c r="P2115" s="674">
        <f>AA727</f>
        <v>0</v>
      </c>
      <c r="Q2115" s="674" t="s">
        <v>194</v>
      </c>
      <c r="R2115" s="674">
        <f>M2115*P2115</f>
        <v>0</v>
      </c>
      <c r="W2115" s="361"/>
    </row>
    <row r="2116" spans="6:23" ht="15.75">
      <c r="H2116" s="356" t="s">
        <v>209</v>
      </c>
      <c r="M2116" s="674">
        <v>8.5</v>
      </c>
      <c r="N2116" s="674" t="s">
        <v>213</v>
      </c>
      <c r="O2116" s="674" t="s">
        <v>2459</v>
      </c>
      <c r="P2116" s="674">
        <f>P2109</f>
        <v>95.267640000000014</v>
      </c>
      <c r="Q2116" s="674" t="s">
        <v>213</v>
      </c>
      <c r="R2116" s="674">
        <f>M2116*P2116</f>
        <v>809.77494000000013</v>
      </c>
      <c r="W2116" s="361"/>
    </row>
    <row r="2117" spans="6:23" ht="15.75">
      <c r="H2117" s="363" t="s">
        <v>117</v>
      </c>
      <c r="M2117" s="674"/>
      <c r="N2117" s="674"/>
      <c r="O2117" s="674" t="s">
        <v>331</v>
      </c>
      <c r="P2117" s="674"/>
      <c r="Q2117" s="674"/>
      <c r="R2117" s="676" t="s">
        <v>117</v>
      </c>
      <c r="W2117" s="361"/>
    </row>
    <row r="2118" spans="6:23" ht="15.75">
      <c r="F2118" s="370">
        <v>1</v>
      </c>
      <c r="G2118" s="368" t="s">
        <v>151</v>
      </c>
      <c r="H2118" s="356" t="s">
        <v>210</v>
      </c>
      <c r="I2118" s="370">
        <f>(D269)</f>
        <v>156</v>
      </c>
      <c r="J2118" s="356" t="s">
        <v>151</v>
      </c>
      <c r="K2118" s="370">
        <f>(F2118*I2118)</f>
        <v>156</v>
      </c>
      <c r="M2118" s="674"/>
      <c r="N2118" s="674"/>
      <c r="O2118" s="674"/>
      <c r="P2118" s="674"/>
      <c r="Q2118" s="674"/>
      <c r="R2118" s="674">
        <f>SUM(R2115:R2117)</f>
        <v>809.77494000000013</v>
      </c>
      <c r="W2118" s="361"/>
    </row>
    <row r="2119" spans="6:23" ht="15">
      <c r="G2119" s="368" t="s">
        <v>128</v>
      </c>
      <c r="H2119" s="356" t="s">
        <v>211</v>
      </c>
      <c r="J2119" s="356" t="s">
        <v>128</v>
      </c>
      <c r="K2119" s="370">
        <v>4</v>
      </c>
      <c r="W2119" s="361"/>
    </row>
    <row r="2120" spans="6:23" ht="15">
      <c r="J2120" s="356" t="s">
        <v>114</v>
      </c>
      <c r="K2120" s="363" t="s">
        <v>117</v>
      </c>
      <c r="W2120" s="361"/>
    </row>
    <row r="2121" spans="6:23" ht="15">
      <c r="H2121" s="356" t="s">
        <v>188</v>
      </c>
      <c r="K2121" s="370">
        <f>SUM(K2118:K2120)</f>
        <v>160</v>
      </c>
      <c r="W2121" s="361"/>
    </row>
    <row r="2122" spans="6:23" ht="15">
      <c r="K2122" s="363" t="s">
        <v>117</v>
      </c>
      <c r="W2122" s="361"/>
    </row>
    <row r="2123" spans="6:23" ht="15">
      <c r="F2123" s="357" t="s">
        <v>2466</v>
      </c>
      <c r="G2123" s="368" t="s">
        <v>122</v>
      </c>
      <c r="H2123" s="356" t="s">
        <v>2467</v>
      </c>
      <c r="W2123" s="361"/>
    </row>
    <row r="2124" spans="6:23" ht="15">
      <c r="H2124" s="356" t="s">
        <v>2468</v>
      </c>
      <c r="W2124" s="361"/>
    </row>
    <row r="2125" spans="6:23" ht="15">
      <c r="H2125" s="363" t="s">
        <v>117</v>
      </c>
      <c r="W2125" s="361"/>
    </row>
    <row r="2126" spans="6:23" ht="15.75">
      <c r="F2126" s="370">
        <v>50</v>
      </c>
      <c r="G2126" s="368" t="s">
        <v>151</v>
      </c>
      <c r="H2126" s="356" t="s">
        <v>2469</v>
      </c>
      <c r="I2126" s="443">
        <f>C206</f>
        <v>63.4</v>
      </c>
      <c r="J2126" s="356" t="s">
        <v>151</v>
      </c>
      <c r="K2126" s="370">
        <f t="shared" ref="K2126:K2135" si="245">(F2126*I2126)</f>
        <v>3170</v>
      </c>
      <c r="W2126" s="361"/>
    </row>
    <row r="2127" spans="6:23" ht="15">
      <c r="F2127" s="370">
        <v>21.6</v>
      </c>
      <c r="G2127" s="368" t="s">
        <v>108</v>
      </c>
      <c r="H2127" s="356" t="s">
        <v>2470</v>
      </c>
      <c r="I2127" s="370">
        <f>(C61*2)</f>
        <v>268.91999999999996</v>
      </c>
      <c r="J2127" s="356" t="s">
        <v>108</v>
      </c>
      <c r="K2127" s="370">
        <f t="shared" si="245"/>
        <v>5808.6719999999996</v>
      </c>
      <c r="W2127" s="361"/>
    </row>
    <row r="2128" spans="6:23" ht="15">
      <c r="F2128" s="370">
        <v>21.6</v>
      </c>
      <c r="G2128" s="368" t="s">
        <v>108</v>
      </c>
      <c r="H2128" s="356" t="s">
        <v>185</v>
      </c>
      <c r="I2128" s="370">
        <f>(C26)</f>
        <v>46.74</v>
      </c>
      <c r="J2128" s="356" t="s">
        <v>108</v>
      </c>
      <c r="K2128" s="370">
        <f t="shared" si="245"/>
        <v>1009.5840000000001</v>
      </c>
      <c r="W2128" s="361"/>
    </row>
    <row r="2129" spans="6:23" ht="15">
      <c r="F2129" s="370">
        <v>45</v>
      </c>
      <c r="G2129" s="368" t="s">
        <v>213</v>
      </c>
      <c r="H2129" s="356" t="s">
        <v>125</v>
      </c>
      <c r="I2129" s="370">
        <f>(C67/1000)</f>
        <v>6.3721399999999999</v>
      </c>
      <c r="J2129" s="356" t="s">
        <v>213</v>
      </c>
      <c r="K2129" s="370">
        <f t="shared" si="245"/>
        <v>286.74630000000002</v>
      </c>
      <c r="W2129" s="361"/>
    </row>
    <row r="2130" spans="6:23" ht="15">
      <c r="F2130" s="370">
        <v>0.04</v>
      </c>
      <c r="G2130" s="368" t="s">
        <v>108</v>
      </c>
      <c r="H2130" s="356" t="s">
        <v>126</v>
      </c>
      <c r="I2130" s="370">
        <f>(C78)</f>
        <v>1779.13</v>
      </c>
      <c r="J2130" s="356" t="s">
        <v>108</v>
      </c>
      <c r="K2130" s="370">
        <f t="shared" si="245"/>
        <v>71.165200000000013</v>
      </c>
      <c r="W2130" s="361"/>
    </row>
    <row r="2131" spans="6:23" ht="15">
      <c r="F2131" s="370">
        <v>3.63</v>
      </c>
      <c r="G2131" s="368" t="s">
        <v>213</v>
      </c>
      <c r="H2131" s="356" t="s">
        <v>2471</v>
      </c>
      <c r="I2131" s="370">
        <f>(C609)</f>
        <v>11.8</v>
      </c>
      <c r="J2131" s="356" t="s">
        <v>213</v>
      </c>
      <c r="K2131" s="370">
        <f t="shared" si="245"/>
        <v>42.834000000000003</v>
      </c>
      <c r="W2131" s="361"/>
    </row>
    <row r="2132" spans="6:23" ht="15">
      <c r="F2132" s="370">
        <v>2</v>
      </c>
      <c r="G2132" s="368" t="s">
        <v>151</v>
      </c>
      <c r="H2132" s="356" t="s">
        <v>162</v>
      </c>
      <c r="I2132" s="370">
        <f>(C10)</f>
        <v>1198.8</v>
      </c>
      <c r="J2132" s="356" t="s">
        <v>151</v>
      </c>
      <c r="K2132" s="370">
        <f t="shared" si="245"/>
        <v>2397.6</v>
      </c>
      <c r="W2132" s="361"/>
    </row>
    <row r="2133" spans="6:23" ht="15">
      <c r="F2133" s="370">
        <v>1</v>
      </c>
      <c r="G2133" s="368" t="s">
        <v>151</v>
      </c>
      <c r="H2133" s="356" t="s">
        <v>2472</v>
      </c>
      <c r="I2133" s="370">
        <f>AG37</f>
        <v>1006.8</v>
      </c>
      <c r="J2133" s="356" t="s">
        <v>151</v>
      </c>
      <c r="K2133" s="370">
        <f t="shared" si="245"/>
        <v>1006.8</v>
      </c>
      <c r="W2133" s="361"/>
    </row>
    <row r="2134" spans="6:23" ht="15">
      <c r="F2134" s="370">
        <v>5</v>
      </c>
      <c r="G2134" s="368" t="s">
        <v>151</v>
      </c>
      <c r="H2134" s="356" t="s">
        <v>153</v>
      </c>
      <c r="I2134" s="370">
        <f>(C12)</f>
        <v>781.19999999999993</v>
      </c>
      <c r="J2134" s="356" t="s">
        <v>151</v>
      </c>
      <c r="K2134" s="370">
        <f t="shared" si="245"/>
        <v>3905.9999999999995</v>
      </c>
      <c r="W2134" s="361"/>
    </row>
    <row r="2135" spans="6:23" ht="15">
      <c r="F2135" s="370">
        <v>2</v>
      </c>
      <c r="G2135" s="368" t="s">
        <v>151</v>
      </c>
      <c r="H2135" s="356" t="s">
        <v>154</v>
      </c>
      <c r="I2135" s="370">
        <f>(C13)</f>
        <v>640.79999999999995</v>
      </c>
      <c r="J2135" s="356" t="s">
        <v>151</v>
      </c>
      <c r="K2135" s="370">
        <f t="shared" si="245"/>
        <v>1281.5999999999999</v>
      </c>
      <c r="W2135" s="361"/>
    </row>
    <row r="2136" spans="6:23" ht="15">
      <c r="G2136" s="368" t="s">
        <v>128</v>
      </c>
      <c r="H2136" s="356" t="s">
        <v>2473</v>
      </c>
      <c r="J2136" s="356" t="s">
        <v>128</v>
      </c>
      <c r="K2136" s="370">
        <f>SUM(K2132:K2135)/10+7.5</f>
        <v>866.7</v>
      </c>
      <c r="W2136" s="361"/>
    </row>
    <row r="2137" spans="6:23" ht="15">
      <c r="K2137" s="363" t="s">
        <v>117</v>
      </c>
      <c r="W2137" s="361"/>
    </row>
    <row r="2138" spans="6:23" ht="15">
      <c r="H2138" s="356" t="s">
        <v>2474</v>
      </c>
      <c r="K2138" s="370">
        <f>SUM(K2126:K2136)</f>
        <v>19847.701499999999</v>
      </c>
      <c r="W2138" s="361"/>
    </row>
    <row r="2139" spans="6:23" ht="15">
      <c r="K2139" s="363" t="s">
        <v>117</v>
      </c>
      <c r="W2139" s="361"/>
    </row>
    <row r="2140" spans="6:23" ht="15">
      <c r="H2140" s="356" t="s">
        <v>2475</v>
      </c>
      <c r="K2140" s="370">
        <f>(K2138/30)</f>
        <v>661.59005000000002</v>
      </c>
      <c r="W2140" s="361"/>
    </row>
    <row r="2141" spans="6:23" ht="15">
      <c r="K2141" s="363" t="s">
        <v>156</v>
      </c>
      <c r="W2141" s="361"/>
    </row>
    <row r="2142" spans="6:23" ht="15">
      <c r="W2142" s="361"/>
    </row>
    <row r="2143" spans="6:23" ht="15">
      <c r="F2143" s="357" t="s">
        <v>2476</v>
      </c>
      <c r="G2143" s="368" t="s">
        <v>122</v>
      </c>
      <c r="H2143" s="356" t="s">
        <v>2477</v>
      </c>
      <c r="W2143" s="361"/>
    </row>
    <row r="2144" spans="6:23" ht="15">
      <c r="H2144" s="356" t="s">
        <v>2468</v>
      </c>
      <c r="W2144" s="361"/>
    </row>
    <row r="2145" spans="6:23" ht="15">
      <c r="H2145" s="363" t="s">
        <v>117</v>
      </c>
      <c r="W2145" s="361"/>
    </row>
    <row r="2146" spans="6:23" ht="15.75">
      <c r="F2146" s="370">
        <v>50</v>
      </c>
      <c r="G2146" s="368" t="s">
        <v>151</v>
      </c>
      <c r="H2146" s="356" t="s">
        <v>2478</v>
      </c>
      <c r="I2146" s="443">
        <f>C207</f>
        <v>102</v>
      </c>
      <c r="J2146" s="356" t="s">
        <v>151</v>
      </c>
      <c r="K2146" s="370">
        <f t="shared" ref="K2146:K2155" si="246">(F2146*I2146)</f>
        <v>5100</v>
      </c>
      <c r="W2146" s="361"/>
    </row>
    <row r="2147" spans="6:23" ht="15">
      <c r="F2147" s="370">
        <v>21.6</v>
      </c>
      <c r="G2147" s="368" t="s">
        <v>108</v>
      </c>
      <c r="H2147" s="356" t="s">
        <v>2470</v>
      </c>
      <c r="I2147" s="370">
        <f>(C61*2)</f>
        <v>268.91999999999996</v>
      </c>
      <c r="J2147" s="356" t="s">
        <v>108</v>
      </c>
      <c r="K2147" s="370">
        <f t="shared" si="246"/>
        <v>5808.6719999999996</v>
      </c>
      <c r="W2147" s="361"/>
    </row>
    <row r="2148" spans="6:23" ht="15">
      <c r="F2148" s="370">
        <v>21.6</v>
      </c>
      <c r="G2148" s="368" t="s">
        <v>108</v>
      </c>
      <c r="H2148" s="356" t="s">
        <v>185</v>
      </c>
      <c r="I2148" s="370">
        <f>(C26)</f>
        <v>46.74</v>
      </c>
      <c r="J2148" s="356" t="s">
        <v>108</v>
      </c>
      <c r="K2148" s="370">
        <f t="shared" si="246"/>
        <v>1009.5840000000001</v>
      </c>
      <c r="W2148" s="361"/>
    </row>
    <row r="2149" spans="6:23" ht="15">
      <c r="F2149" s="370">
        <v>68</v>
      </c>
      <c r="G2149" s="368" t="s">
        <v>213</v>
      </c>
      <c r="H2149" s="356" t="s">
        <v>125</v>
      </c>
      <c r="I2149" s="370">
        <f>(C67/1000)</f>
        <v>6.3721399999999999</v>
      </c>
      <c r="J2149" s="356" t="s">
        <v>213</v>
      </c>
      <c r="K2149" s="370">
        <f t="shared" si="246"/>
        <v>433.30552</v>
      </c>
      <c r="W2149" s="361"/>
    </row>
    <row r="2150" spans="6:23" ht="15">
      <c r="F2150" s="370">
        <v>7.0000000000000007E-2</v>
      </c>
      <c r="G2150" s="368" t="s">
        <v>108</v>
      </c>
      <c r="H2150" s="356" t="s">
        <v>126</v>
      </c>
      <c r="I2150" s="370">
        <f>(C78)</f>
        <v>1779.13</v>
      </c>
      <c r="J2150" s="356" t="s">
        <v>108</v>
      </c>
      <c r="K2150" s="370">
        <f t="shared" si="246"/>
        <v>124.53910000000002</v>
      </c>
      <c r="M2150" s="357" t="s">
        <v>2476</v>
      </c>
      <c r="N2150" s="368" t="s">
        <v>122</v>
      </c>
      <c r="O2150" s="356" t="s">
        <v>2479</v>
      </c>
      <c r="Q2150" s="360"/>
      <c r="W2150" s="361"/>
    </row>
    <row r="2151" spans="6:23" ht="15">
      <c r="F2151" s="370">
        <v>5.45</v>
      </c>
      <c r="G2151" s="368" t="s">
        <v>213</v>
      </c>
      <c r="H2151" s="356" t="s">
        <v>2471</v>
      </c>
      <c r="I2151" s="370">
        <f>(C609)</f>
        <v>11.8</v>
      </c>
      <c r="J2151" s="356" t="s">
        <v>213</v>
      </c>
      <c r="K2151" s="370">
        <f t="shared" si="246"/>
        <v>64.31</v>
      </c>
      <c r="N2151" s="358"/>
      <c r="O2151" s="356" t="s">
        <v>2468</v>
      </c>
      <c r="Q2151" s="360"/>
      <c r="W2151" s="361"/>
    </row>
    <row r="2152" spans="6:23" ht="15">
      <c r="F2152" s="370">
        <v>3</v>
      </c>
      <c r="G2152" s="368" t="s">
        <v>151</v>
      </c>
      <c r="H2152" s="356" t="s">
        <v>162</v>
      </c>
      <c r="I2152" s="370">
        <f>(C10)</f>
        <v>1198.8</v>
      </c>
      <c r="J2152" s="356" t="s">
        <v>151</v>
      </c>
      <c r="K2152" s="370">
        <f t="shared" si="246"/>
        <v>3596.3999999999996</v>
      </c>
      <c r="N2152" s="358"/>
      <c r="O2152" s="363" t="s">
        <v>117</v>
      </c>
      <c r="Q2152" s="360"/>
      <c r="W2152" s="361"/>
    </row>
    <row r="2153" spans="6:23" ht="31.5">
      <c r="F2153" s="370">
        <v>2</v>
      </c>
      <c r="G2153" s="368" t="s">
        <v>151</v>
      </c>
      <c r="H2153" s="356" t="s">
        <v>2472</v>
      </c>
      <c r="I2153" s="370">
        <f>AG37</f>
        <v>1006.8</v>
      </c>
      <c r="J2153" s="356" t="s">
        <v>151</v>
      </c>
      <c r="K2153" s="370">
        <f t="shared" si="246"/>
        <v>2013.6</v>
      </c>
      <c r="M2153" s="370">
        <v>50</v>
      </c>
      <c r="N2153" s="368" t="s">
        <v>151</v>
      </c>
      <c r="O2153" s="440" t="s">
        <v>2480</v>
      </c>
      <c r="P2153" s="677">
        <v>455</v>
      </c>
      <c r="Q2153" s="356" t="s">
        <v>151</v>
      </c>
      <c r="R2153" s="370">
        <f t="shared" ref="R2153:R2162" si="247">(M2153*P2153)</f>
        <v>22750</v>
      </c>
      <c r="W2153" s="361"/>
    </row>
    <row r="2154" spans="6:23" ht="15">
      <c r="F2154" s="370">
        <v>6</v>
      </c>
      <c r="G2154" s="368" t="s">
        <v>151</v>
      </c>
      <c r="H2154" s="356" t="s">
        <v>153</v>
      </c>
      <c r="I2154" s="370">
        <f>(C12)</f>
        <v>781.19999999999993</v>
      </c>
      <c r="J2154" s="356" t="s">
        <v>151</v>
      </c>
      <c r="K2154" s="370">
        <f t="shared" si="246"/>
        <v>4687.2</v>
      </c>
      <c r="M2154" s="370">
        <v>21.6</v>
      </c>
      <c r="N2154" s="368" t="s">
        <v>108</v>
      </c>
      <c r="O2154" s="356" t="s">
        <v>2470</v>
      </c>
      <c r="P2154" s="370">
        <f>I2147</f>
        <v>268.91999999999996</v>
      </c>
      <c r="Q2154" s="356" t="s">
        <v>108</v>
      </c>
      <c r="R2154" s="370">
        <f t="shared" si="247"/>
        <v>5808.6719999999996</v>
      </c>
      <c r="W2154" s="361"/>
    </row>
    <row r="2155" spans="6:23" ht="15">
      <c r="F2155" s="370">
        <v>3</v>
      </c>
      <c r="G2155" s="368" t="s">
        <v>151</v>
      </c>
      <c r="H2155" s="356" t="s">
        <v>154</v>
      </c>
      <c r="I2155" s="370">
        <f>(C13)</f>
        <v>640.79999999999995</v>
      </c>
      <c r="J2155" s="356" t="s">
        <v>151</v>
      </c>
      <c r="K2155" s="370">
        <f t="shared" si="246"/>
        <v>1922.3999999999999</v>
      </c>
      <c r="M2155" s="370">
        <v>21.6</v>
      </c>
      <c r="N2155" s="368" t="s">
        <v>108</v>
      </c>
      <c r="O2155" s="356" t="s">
        <v>185</v>
      </c>
      <c r="P2155" s="370">
        <f t="shared" ref="P2155:P2162" si="248">I2148</f>
        <v>46.74</v>
      </c>
      <c r="Q2155" s="356" t="s">
        <v>108</v>
      </c>
      <c r="R2155" s="370">
        <f t="shared" si="247"/>
        <v>1009.5840000000001</v>
      </c>
      <c r="W2155" s="361"/>
    </row>
    <row r="2156" spans="6:23" ht="15">
      <c r="G2156" s="368" t="s">
        <v>128</v>
      </c>
      <c r="H2156" s="356" t="s">
        <v>2473</v>
      </c>
      <c r="J2156" s="356" t="s">
        <v>128</v>
      </c>
      <c r="K2156" s="370">
        <f>SUM(K2152:K2155)/10+4.8</f>
        <v>1226.76</v>
      </c>
      <c r="M2156" s="370">
        <v>115</v>
      </c>
      <c r="N2156" s="368" t="s">
        <v>213</v>
      </c>
      <c r="O2156" s="356" t="s">
        <v>125</v>
      </c>
      <c r="P2156" s="370">
        <f t="shared" si="248"/>
        <v>6.3721399999999999</v>
      </c>
      <c r="Q2156" s="356" t="s">
        <v>213</v>
      </c>
      <c r="R2156" s="370">
        <f t="shared" si="247"/>
        <v>732.79610000000002</v>
      </c>
      <c r="W2156" s="361"/>
    </row>
    <row r="2157" spans="6:23" ht="15">
      <c r="K2157" s="363" t="s">
        <v>117</v>
      </c>
      <c r="M2157" s="370">
        <v>0.11</v>
      </c>
      <c r="N2157" s="368" t="s">
        <v>108</v>
      </c>
      <c r="O2157" s="356" t="s">
        <v>126</v>
      </c>
      <c r="P2157" s="370">
        <f t="shared" si="248"/>
        <v>1779.13</v>
      </c>
      <c r="Q2157" s="356" t="s">
        <v>108</v>
      </c>
      <c r="R2157" s="370">
        <f t="shared" si="247"/>
        <v>195.70430000000002</v>
      </c>
      <c r="W2157" s="361"/>
    </row>
    <row r="2158" spans="6:23" ht="15">
      <c r="H2158" s="356" t="s">
        <v>2474</v>
      </c>
      <c r="K2158" s="370">
        <f>SUM(K2146:K2156)</f>
        <v>25986.770619999999</v>
      </c>
      <c r="M2158" s="370">
        <v>8.35</v>
      </c>
      <c r="N2158" s="368" t="s">
        <v>213</v>
      </c>
      <c r="O2158" s="356" t="s">
        <v>2471</v>
      </c>
      <c r="P2158" s="370">
        <f t="shared" si="248"/>
        <v>11.8</v>
      </c>
      <c r="Q2158" s="356" t="s">
        <v>213</v>
      </c>
      <c r="R2158" s="370">
        <f t="shared" si="247"/>
        <v>98.53</v>
      </c>
      <c r="W2158" s="361"/>
    </row>
    <row r="2159" spans="6:23" ht="15">
      <c r="K2159" s="363" t="s">
        <v>117</v>
      </c>
      <c r="M2159" s="370">
        <v>5</v>
      </c>
      <c r="N2159" s="368" t="s">
        <v>151</v>
      </c>
      <c r="O2159" s="356" t="s">
        <v>162</v>
      </c>
      <c r="P2159" s="370">
        <f t="shared" si="248"/>
        <v>1198.8</v>
      </c>
      <c r="Q2159" s="356" t="s">
        <v>151</v>
      </c>
      <c r="R2159" s="370">
        <f t="shared" si="247"/>
        <v>5994</v>
      </c>
      <c r="W2159" s="361"/>
    </row>
    <row r="2160" spans="6:23" ht="15">
      <c r="H2160" s="356" t="s">
        <v>2475</v>
      </c>
      <c r="K2160" s="370">
        <f>(K2158/30)</f>
        <v>866.22568733333333</v>
      </c>
      <c r="M2160" s="370">
        <v>3</v>
      </c>
      <c r="N2160" s="368" t="s">
        <v>151</v>
      </c>
      <c r="O2160" s="356" t="s">
        <v>2472</v>
      </c>
      <c r="P2160" s="370">
        <f t="shared" si="248"/>
        <v>1006.8</v>
      </c>
      <c r="Q2160" s="356" t="s">
        <v>151</v>
      </c>
      <c r="R2160" s="370">
        <f t="shared" si="247"/>
        <v>3020.3999999999996</v>
      </c>
      <c r="W2160" s="361"/>
    </row>
    <row r="2161" spans="6:23" ht="15">
      <c r="K2161" s="363" t="s">
        <v>156</v>
      </c>
      <c r="M2161" s="370">
        <v>7</v>
      </c>
      <c r="N2161" s="368" t="s">
        <v>151</v>
      </c>
      <c r="O2161" s="356" t="s">
        <v>153</v>
      </c>
      <c r="P2161" s="370">
        <f t="shared" si="248"/>
        <v>781.19999999999993</v>
      </c>
      <c r="Q2161" s="356" t="s">
        <v>151</v>
      </c>
      <c r="R2161" s="370">
        <f t="shared" si="247"/>
        <v>5468.4</v>
      </c>
      <c r="W2161" s="361"/>
    </row>
    <row r="2162" spans="6:23" ht="15">
      <c r="F2162" s="357" t="s">
        <v>2481</v>
      </c>
      <c r="G2162" s="368" t="s">
        <v>122</v>
      </c>
      <c r="H2162" s="356" t="s">
        <v>2467</v>
      </c>
      <c r="M2162" s="370">
        <v>5</v>
      </c>
      <c r="N2162" s="368" t="s">
        <v>151</v>
      </c>
      <c r="O2162" s="356" t="s">
        <v>154</v>
      </c>
      <c r="P2162" s="370">
        <f t="shared" si="248"/>
        <v>640.79999999999995</v>
      </c>
      <c r="Q2162" s="356" t="s">
        <v>151</v>
      </c>
      <c r="R2162" s="370">
        <f t="shared" si="247"/>
        <v>3204</v>
      </c>
      <c r="W2162" s="361"/>
    </row>
    <row r="2163" spans="6:23" ht="15">
      <c r="H2163" s="356" t="s">
        <v>2482</v>
      </c>
      <c r="N2163" s="368" t="s">
        <v>128</v>
      </c>
      <c r="O2163" s="356" t="s">
        <v>2473</v>
      </c>
      <c r="Q2163" s="356" t="s">
        <v>128</v>
      </c>
      <c r="R2163" s="370">
        <v>234</v>
      </c>
      <c r="W2163" s="361"/>
    </row>
    <row r="2164" spans="6:23" ht="15">
      <c r="H2164" s="363" t="s">
        <v>117</v>
      </c>
      <c r="N2164" s="358"/>
      <c r="Q2164" s="360"/>
      <c r="R2164" s="363" t="s">
        <v>117</v>
      </c>
      <c r="W2164" s="361"/>
    </row>
    <row r="2165" spans="6:23" ht="15">
      <c r="F2165" s="370">
        <v>50</v>
      </c>
      <c r="G2165" s="368" t="s">
        <v>151</v>
      </c>
      <c r="H2165" s="356" t="s">
        <v>2483</v>
      </c>
      <c r="I2165" s="370">
        <f>C206</f>
        <v>63.4</v>
      </c>
      <c r="J2165" s="356" t="s">
        <v>151</v>
      </c>
      <c r="K2165" s="370">
        <f>(F2165*I2165)</f>
        <v>3170</v>
      </c>
      <c r="N2165" s="358"/>
      <c r="O2165" s="356" t="s">
        <v>2474</v>
      </c>
      <c r="Q2165" s="360"/>
      <c r="R2165" s="370">
        <f>SUM(R2153:R2163)</f>
        <v>48516.0864</v>
      </c>
      <c r="W2165" s="361"/>
    </row>
    <row r="2166" spans="6:23" ht="15">
      <c r="F2166" s="370">
        <v>1</v>
      </c>
      <c r="G2166" s="368" t="s">
        <v>151</v>
      </c>
      <c r="H2166" s="356" t="s">
        <v>2472</v>
      </c>
      <c r="I2166" s="370">
        <f>AG37</f>
        <v>1006.8</v>
      </c>
      <c r="J2166" s="356" t="s">
        <v>151</v>
      </c>
      <c r="K2166" s="370">
        <f>(F2166*I2166)</f>
        <v>1006.8</v>
      </c>
      <c r="N2166" s="358"/>
      <c r="Q2166" s="360"/>
      <c r="R2166" s="363" t="s">
        <v>117</v>
      </c>
      <c r="W2166" s="361"/>
    </row>
    <row r="2167" spans="6:23" ht="15">
      <c r="F2167" s="370">
        <v>5</v>
      </c>
      <c r="G2167" s="368" t="s">
        <v>151</v>
      </c>
      <c r="H2167" s="356" t="s">
        <v>153</v>
      </c>
      <c r="I2167" s="370">
        <f>C12</f>
        <v>781.19999999999993</v>
      </c>
      <c r="J2167" s="356" t="s">
        <v>151</v>
      </c>
      <c r="K2167" s="370">
        <f>(F2167*I2167)</f>
        <v>3905.9999999999995</v>
      </c>
      <c r="N2167" s="358"/>
      <c r="O2167" s="356" t="s">
        <v>2475</v>
      </c>
      <c r="Q2167" s="360"/>
      <c r="R2167" s="370">
        <f>(R2165/30)</f>
        <v>1617.2028800000001</v>
      </c>
      <c r="W2167" s="361"/>
    </row>
    <row r="2168" spans="6:23" ht="15">
      <c r="H2168" s="356" t="s">
        <v>331</v>
      </c>
      <c r="K2168" s="498">
        <v>1.8</v>
      </c>
      <c r="N2168" s="358"/>
      <c r="Q2168" s="360"/>
      <c r="R2168" s="363" t="s">
        <v>156</v>
      </c>
      <c r="W2168" s="361"/>
    </row>
    <row r="2169" spans="6:23" ht="15">
      <c r="H2169" s="356" t="s">
        <v>2474</v>
      </c>
      <c r="K2169" s="370">
        <f>SUM(K2165:K2168)</f>
        <v>8084.5999999999995</v>
      </c>
      <c r="W2169" s="361"/>
    </row>
    <row r="2170" spans="6:23" ht="15">
      <c r="F2170" s="356" t="s">
        <v>114</v>
      </c>
      <c r="K2170" s="363" t="s">
        <v>117</v>
      </c>
      <c r="W2170" s="361"/>
    </row>
    <row r="2171" spans="6:23" ht="15">
      <c r="H2171" s="356" t="s">
        <v>2475</v>
      </c>
      <c r="K2171" s="370">
        <f>(K2169/30)</f>
        <v>269.48666666666662</v>
      </c>
      <c r="W2171" s="361"/>
    </row>
    <row r="2172" spans="6:23" ht="15">
      <c r="F2172" s="356" t="s">
        <v>114</v>
      </c>
      <c r="W2172" s="361"/>
    </row>
    <row r="2173" spans="6:23" ht="15">
      <c r="F2173" s="356" t="s">
        <v>114</v>
      </c>
      <c r="W2173" s="361"/>
    </row>
    <row r="2174" spans="6:23" ht="15">
      <c r="K2174" s="363" t="s">
        <v>156</v>
      </c>
      <c r="W2174" s="361"/>
    </row>
    <row r="2175" spans="6:23" ht="15">
      <c r="F2175" s="357" t="s">
        <v>2476</v>
      </c>
      <c r="G2175" s="368" t="s">
        <v>122</v>
      </c>
      <c r="H2175" s="356" t="s">
        <v>2477</v>
      </c>
      <c r="W2175" s="361"/>
    </row>
    <row r="2176" spans="6:23" ht="15">
      <c r="H2176" s="370" t="str">
        <f>H2163</f>
        <v>DIA S.W.PIPE(LOOSE JOINTING)</v>
      </c>
      <c r="W2176" s="361"/>
    </row>
    <row r="2177" spans="6:23" ht="15">
      <c r="H2177" s="363" t="s">
        <v>117</v>
      </c>
      <c r="W2177" s="361"/>
    </row>
    <row r="2178" spans="6:23" ht="15">
      <c r="F2178" s="370">
        <v>50</v>
      </c>
      <c r="G2178" s="368" t="s">
        <v>151</v>
      </c>
      <c r="H2178" s="356" t="s">
        <v>2484</v>
      </c>
      <c r="I2178" s="370">
        <f>C207</f>
        <v>102</v>
      </c>
      <c r="J2178" s="356" t="s">
        <v>151</v>
      </c>
      <c r="K2178" s="370">
        <f>(F2178*I2178)</f>
        <v>5100</v>
      </c>
      <c r="W2178" s="361"/>
    </row>
    <row r="2179" spans="6:23" ht="15">
      <c r="F2179" s="370">
        <v>2</v>
      </c>
      <c r="G2179" s="368" t="s">
        <v>151</v>
      </c>
      <c r="H2179" s="356" t="s">
        <v>2472</v>
      </c>
      <c r="I2179" s="370">
        <f>AG37</f>
        <v>1006.8</v>
      </c>
      <c r="J2179" s="356" t="s">
        <v>151</v>
      </c>
      <c r="K2179" s="370">
        <f>(F2179*I2179)</f>
        <v>2013.6</v>
      </c>
      <c r="W2179" s="361"/>
    </row>
    <row r="2180" spans="6:23" ht="15">
      <c r="F2180" s="370">
        <v>6</v>
      </c>
      <c r="G2180" s="368" t="s">
        <v>151</v>
      </c>
      <c r="H2180" s="356" t="s">
        <v>153</v>
      </c>
      <c r="I2180" s="370">
        <f>C12</f>
        <v>781.19999999999993</v>
      </c>
      <c r="J2180" s="356" t="s">
        <v>151</v>
      </c>
      <c r="K2180" s="370">
        <f>(F2180*I2180)</f>
        <v>4687.2</v>
      </c>
      <c r="W2180" s="361"/>
    </row>
    <row r="2181" spans="6:23" ht="15">
      <c r="H2181" s="356" t="s">
        <v>331</v>
      </c>
      <c r="K2181" s="498">
        <v>0.6</v>
      </c>
      <c r="W2181" s="361"/>
    </row>
    <row r="2182" spans="6:23" ht="15">
      <c r="H2182" s="356" t="s">
        <v>2474</v>
      </c>
      <c r="K2182" s="370">
        <f>SUM(K2178:K2181)</f>
        <v>11801.4</v>
      </c>
      <c r="W2182" s="361"/>
    </row>
    <row r="2183" spans="6:23" ht="15">
      <c r="K2183" s="363" t="s">
        <v>117</v>
      </c>
      <c r="W2183" s="361"/>
    </row>
    <row r="2184" spans="6:23" ht="15">
      <c r="H2184" s="356" t="s">
        <v>2475</v>
      </c>
      <c r="K2184" s="370">
        <f>(K2182/30)</f>
        <v>393.38</v>
      </c>
      <c r="W2184" s="361"/>
    </row>
    <row r="2185" spans="6:23" ht="15">
      <c r="K2185" s="363" t="s">
        <v>156</v>
      </c>
      <c r="W2185" s="361"/>
    </row>
    <row r="2186" spans="6:23" ht="15">
      <c r="H2186" s="357" t="s">
        <v>2485</v>
      </c>
      <c r="K2186" s="370">
        <f>SUM(K2183:K2184)</f>
        <v>393.38</v>
      </c>
      <c r="W2186" s="361"/>
    </row>
    <row r="2187" spans="6:23" ht="15">
      <c r="K2187" s="363" t="s">
        <v>156</v>
      </c>
      <c r="W2187" s="361"/>
    </row>
    <row r="2188" spans="6:23" ht="15">
      <c r="F2188" s="357" t="s">
        <v>2486</v>
      </c>
      <c r="G2188" s="368" t="s">
        <v>122</v>
      </c>
      <c r="H2188" s="356" t="s">
        <v>2467</v>
      </c>
      <c r="W2188" s="361"/>
    </row>
    <row r="2189" spans="6:23" ht="15">
      <c r="H2189" s="356" t="s">
        <v>2487</v>
      </c>
      <c r="W2189" s="361"/>
    </row>
    <row r="2190" spans="6:23" ht="15">
      <c r="H2190" s="363" t="s">
        <v>117</v>
      </c>
      <c r="W2190" s="361"/>
    </row>
    <row r="2191" spans="6:23" ht="15">
      <c r="F2191" s="370">
        <v>1</v>
      </c>
      <c r="G2191" s="368" t="s">
        <v>151</v>
      </c>
      <c r="H2191" s="356" t="s">
        <v>2488</v>
      </c>
      <c r="I2191" s="370">
        <f>C208</f>
        <v>101.6</v>
      </c>
      <c r="J2191" s="356" t="s">
        <v>151</v>
      </c>
      <c r="K2191" s="370">
        <f>(F2191*I2191)</f>
        <v>101.6</v>
      </c>
      <c r="W2191" s="361"/>
    </row>
    <row r="2192" spans="6:23" ht="15">
      <c r="F2192" s="356" t="s">
        <v>114</v>
      </c>
      <c r="H2192" s="356" t="s">
        <v>2489</v>
      </c>
      <c r="W2192" s="361"/>
    </row>
    <row r="2193" spans="6:23" ht="15">
      <c r="F2193" s="356" t="s">
        <v>114</v>
      </c>
      <c r="H2193" s="356" t="s">
        <v>2490</v>
      </c>
      <c r="I2193" s="357" t="s">
        <v>128</v>
      </c>
      <c r="K2193" s="370">
        <v>2.5</v>
      </c>
      <c r="W2193" s="361"/>
    </row>
    <row r="2194" spans="6:23" ht="15">
      <c r="K2194" s="363" t="s">
        <v>117</v>
      </c>
      <c r="W2194" s="361"/>
    </row>
    <row r="2195" spans="6:23" ht="15">
      <c r="H2195" s="356" t="s">
        <v>2474</v>
      </c>
      <c r="K2195" s="370">
        <f>SUM(K2191:K2193)</f>
        <v>104.1</v>
      </c>
      <c r="W2195" s="361"/>
    </row>
    <row r="2196" spans="6:23" ht="15">
      <c r="F2196" s="357" t="s">
        <v>2486</v>
      </c>
      <c r="G2196" s="368" t="s">
        <v>122</v>
      </c>
      <c r="H2196" s="356" t="s">
        <v>2477</v>
      </c>
      <c r="K2196" s="363" t="s">
        <v>117</v>
      </c>
      <c r="W2196" s="361"/>
    </row>
    <row r="2197" spans="6:23" ht="15">
      <c r="H2197" s="356" t="s">
        <v>2487</v>
      </c>
      <c r="K2197" s="370"/>
      <c r="W2197" s="361"/>
    </row>
    <row r="2198" spans="6:23" ht="15">
      <c r="H2198" s="363" t="s">
        <v>117</v>
      </c>
      <c r="K2198" s="363" t="s">
        <v>117</v>
      </c>
      <c r="W2198" s="361"/>
    </row>
    <row r="2199" spans="6:23" ht="15">
      <c r="F2199" s="35">
        <v>1</v>
      </c>
      <c r="G2199" s="358" t="s">
        <v>223</v>
      </c>
      <c r="H2199" s="356" t="s">
        <v>2491</v>
      </c>
      <c r="J2199" s="360">
        <f>E208</f>
        <v>140.65</v>
      </c>
      <c r="K2199" s="370">
        <f>J2199</f>
        <v>140.65</v>
      </c>
      <c r="W2199" s="361"/>
    </row>
    <row r="2200" spans="6:23" ht="15">
      <c r="H2200" s="356" t="s">
        <v>2490</v>
      </c>
      <c r="I2200" s="357" t="s">
        <v>128</v>
      </c>
      <c r="K2200" s="370">
        <v>2.5</v>
      </c>
      <c r="W2200" s="361"/>
    </row>
    <row r="2201" spans="6:23" ht="15.75">
      <c r="F2201" s="357" t="s">
        <v>2492</v>
      </c>
      <c r="G2201" s="368" t="s">
        <v>122</v>
      </c>
      <c r="H2201" s="359" t="s">
        <v>2467</v>
      </c>
      <c r="K2201" s="363" t="s">
        <v>117</v>
      </c>
      <c r="W2201" s="361"/>
    </row>
    <row r="2202" spans="6:23" ht="15.75">
      <c r="H2202" s="359" t="s">
        <v>2493</v>
      </c>
      <c r="K2202" s="370">
        <f>SUM(K2198:K2200)</f>
        <v>143.15</v>
      </c>
      <c r="W2202" s="361"/>
    </row>
    <row r="2203" spans="6:23" ht="15">
      <c r="H2203" s="363" t="s">
        <v>117</v>
      </c>
      <c r="K2203" s="363" t="s">
        <v>117</v>
      </c>
      <c r="W2203" s="361"/>
    </row>
    <row r="2204" spans="6:23" ht="15">
      <c r="F2204" s="370">
        <v>1</v>
      </c>
      <c r="G2204" s="368" t="s">
        <v>151</v>
      </c>
      <c r="H2204" s="356" t="s">
        <v>2494</v>
      </c>
      <c r="I2204" s="370">
        <f>C205</f>
        <v>128</v>
      </c>
      <c r="J2204" s="356" t="s">
        <v>151</v>
      </c>
      <c r="K2204" s="370">
        <f>(F2204*I2204)</f>
        <v>128</v>
      </c>
      <c r="W2204" s="361"/>
    </row>
    <row r="2205" spans="6:23" ht="15">
      <c r="F2205" s="356" t="s">
        <v>114</v>
      </c>
      <c r="H2205" s="356" t="s">
        <v>2489</v>
      </c>
      <c r="W2205" s="361"/>
    </row>
    <row r="2206" spans="6:23" ht="15">
      <c r="F2206" s="356" t="s">
        <v>114</v>
      </c>
      <c r="H2206" s="356" t="s">
        <v>2490</v>
      </c>
      <c r="I2206" s="357" t="s">
        <v>128</v>
      </c>
      <c r="K2206" s="370">
        <v>3</v>
      </c>
      <c r="W2206" s="361"/>
    </row>
    <row r="2207" spans="6:23" ht="15">
      <c r="K2207" s="363" t="s">
        <v>117</v>
      </c>
      <c r="W2207" s="361"/>
    </row>
    <row r="2208" spans="6:23" ht="15">
      <c r="H2208" s="356" t="s">
        <v>2474</v>
      </c>
      <c r="K2208" s="370">
        <f>SUM(K2204:K2206)</f>
        <v>131</v>
      </c>
      <c r="W2208" s="361"/>
    </row>
    <row r="2209" spans="6:23" ht="15">
      <c r="K2209" s="363" t="s">
        <v>117</v>
      </c>
      <c r="W2209" s="361"/>
    </row>
    <row r="2210" spans="6:23" ht="15">
      <c r="W2210" s="361"/>
    </row>
    <row r="2211" spans="6:23" ht="15.75">
      <c r="F2211" s="357" t="s">
        <v>2495</v>
      </c>
      <c r="G2211" s="368" t="s">
        <v>122</v>
      </c>
      <c r="H2211" s="359" t="s">
        <v>2477</v>
      </c>
      <c r="W2211" s="361"/>
    </row>
    <row r="2212" spans="6:23" ht="15.75">
      <c r="H2212" s="359" t="s">
        <v>2493</v>
      </c>
      <c r="W2212" s="361"/>
    </row>
    <row r="2213" spans="6:23" ht="15">
      <c r="H2213" s="363" t="s">
        <v>117</v>
      </c>
      <c r="W2213" s="361"/>
    </row>
    <row r="2214" spans="6:23" ht="15">
      <c r="F2214" s="370">
        <v>1</v>
      </c>
      <c r="G2214" s="368" t="s">
        <v>151</v>
      </c>
      <c r="H2214" s="356" t="s">
        <v>2496</v>
      </c>
      <c r="I2214" s="370">
        <f>C210</f>
        <v>166.15</v>
      </c>
      <c r="J2214" s="356" t="s">
        <v>151</v>
      </c>
      <c r="K2214" s="370">
        <f>(F2214*I2214)</f>
        <v>166.15</v>
      </c>
      <c r="W2214" s="361"/>
    </row>
    <row r="2215" spans="6:23" ht="15">
      <c r="F2215" s="356" t="s">
        <v>114</v>
      </c>
      <c r="H2215" s="356" t="s">
        <v>2489</v>
      </c>
      <c r="W2215" s="361"/>
    </row>
    <row r="2216" spans="6:23" ht="15">
      <c r="F2216" s="356" t="s">
        <v>114</v>
      </c>
      <c r="H2216" s="356" t="s">
        <v>2490</v>
      </c>
      <c r="I2216" s="357" t="s">
        <v>128</v>
      </c>
      <c r="K2216" s="370">
        <v>3</v>
      </c>
      <c r="W2216" s="361"/>
    </row>
    <row r="2217" spans="6:23" ht="15">
      <c r="K2217" s="363" t="s">
        <v>117</v>
      </c>
      <c r="W2217" s="361"/>
    </row>
    <row r="2218" spans="6:23" ht="15.75">
      <c r="H2218" s="359" t="s">
        <v>2474</v>
      </c>
      <c r="K2218" s="370">
        <f>SUM(K2214:K2216)</f>
        <v>169.15</v>
      </c>
      <c r="W2218" s="361"/>
    </row>
    <row r="2219" spans="6:23" ht="15">
      <c r="K2219" s="363" t="s">
        <v>117</v>
      </c>
      <c r="W2219" s="361"/>
    </row>
    <row r="2220" spans="6:23" ht="15.75">
      <c r="F2220" s="357" t="s">
        <v>2497</v>
      </c>
      <c r="H2220" s="359" t="s">
        <v>2498</v>
      </c>
      <c r="W2220" s="361"/>
    </row>
    <row r="2221" spans="6:23" ht="15.75">
      <c r="H2221" s="359" t="s">
        <v>2499</v>
      </c>
      <c r="W2221" s="361"/>
    </row>
    <row r="2222" spans="6:23" ht="15">
      <c r="H2222" s="363" t="s">
        <v>117</v>
      </c>
      <c r="W2222" s="361"/>
    </row>
    <row r="2223" spans="6:23" ht="15.75">
      <c r="F2223" s="370">
        <v>2.5</v>
      </c>
      <c r="G2223" s="368" t="s">
        <v>2500</v>
      </c>
      <c r="H2223" s="356" t="s">
        <v>2498</v>
      </c>
      <c r="I2223" s="370">
        <f>C590</f>
        <v>30</v>
      </c>
      <c r="J2223" s="356">
        <v>2.5</v>
      </c>
      <c r="K2223" s="678">
        <f>(F2223*I2223)/F2223</f>
        <v>30</v>
      </c>
      <c r="L2223" s="35">
        <f>1394*1.62-K2254</f>
        <v>-2226.094748</v>
      </c>
      <c r="W2223" s="361"/>
    </row>
    <row r="2224" spans="6:23" ht="15.75">
      <c r="H2224" s="356" t="s">
        <v>2501</v>
      </c>
      <c r="J2224" s="356" t="s">
        <v>2500</v>
      </c>
      <c r="K2224" s="679"/>
      <c r="W2224" s="361"/>
    </row>
    <row r="2225" spans="6:23" ht="15.75">
      <c r="G2225" s="368" t="s">
        <v>128</v>
      </c>
      <c r="H2225" s="356" t="s">
        <v>2502</v>
      </c>
      <c r="J2225" s="356" t="s">
        <v>128</v>
      </c>
      <c r="K2225" s="507">
        <v>1.87</v>
      </c>
      <c r="W2225" s="361"/>
    </row>
    <row r="2226" spans="6:23" ht="15">
      <c r="K2226" s="363" t="s">
        <v>117</v>
      </c>
      <c r="W2226" s="361"/>
    </row>
    <row r="2227" spans="6:23" ht="15.75">
      <c r="H2227" s="372" t="s">
        <v>2485</v>
      </c>
      <c r="K2227" s="369">
        <f>SUM(K2223:K2225)</f>
        <v>31.87</v>
      </c>
      <c r="W2227" s="361"/>
    </row>
    <row r="2228" spans="6:23" ht="15">
      <c r="K2228" s="363" t="s">
        <v>156</v>
      </c>
      <c r="W2228" s="361"/>
    </row>
    <row r="2229" spans="6:23" ht="15">
      <c r="W2229" s="361"/>
    </row>
    <row r="2230" spans="6:23" ht="15">
      <c r="F2230" s="357" t="s">
        <v>2503</v>
      </c>
      <c r="G2230" s="368" t="s">
        <v>122</v>
      </c>
      <c r="H2230" s="356" t="s">
        <v>2504</v>
      </c>
      <c r="W2230" s="361"/>
    </row>
    <row r="2231" spans="6:23" ht="15">
      <c r="H2231" s="356" t="s">
        <v>2505</v>
      </c>
      <c r="W2231" s="361"/>
    </row>
    <row r="2232" spans="6:23" ht="15">
      <c r="H2232" s="356" t="s">
        <v>2506</v>
      </c>
      <c r="W2232" s="361"/>
    </row>
    <row r="2233" spans="6:23" ht="15">
      <c r="H2233" s="356" t="s">
        <v>2507</v>
      </c>
      <c r="W2233" s="361"/>
    </row>
    <row r="2234" spans="6:23" ht="15">
      <c r="H2234" s="356" t="s">
        <v>2508</v>
      </c>
      <c r="W2234" s="361"/>
    </row>
    <row r="2235" spans="6:23" ht="15">
      <c r="H2235" s="356" t="s">
        <v>2509</v>
      </c>
      <c r="W2235" s="361"/>
    </row>
    <row r="2236" spans="6:23" ht="15">
      <c r="H2236" s="356" t="s">
        <v>2510</v>
      </c>
      <c r="W2236" s="361"/>
    </row>
    <row r="2237" spans="6:23" ht="15">
      <c r="H2237" s="356" t="s">
        <v>2511</v>
      </c>
      <c r="W2237" s="361"/>
    </row>
    <row r="2238" spans="6:23" ht="15">
      <c r="H2238" s="356" t="s">
        <v>2512</v>
      </c>
      <c r="W2238" s="361"/>
    </row>
    <row r="2239" spans="6:23" ht="15">
      <c r="H2239" s="356" t="s">
        <v>2513</v>
      </c>
      <c r="W2239" s="361"/>
    </row>
    <row r="2240" spans="6:23" ht="15">
      <c r="H2240" s="356" t="s">
        <v>2514</v>
      </c>
      <c r="W2240" s="361"/>
    </row>
    <row r="2241" spans="6:23" ht="15">
      <c r="H2241" s="356" t="s">
        <v>2515</v>
      </c>
      <c r="W2241" s="361"/>
    </row>
    <row r="2242" spans="6:23" ht="15">
      <c r="H2242" s="363" t="s">
        <v>117</v>
      </c>
      <c r="I2242" s="363" t="s">
        <v>117</v>
      </c>
      <c r="W2242" s="361"/>
    </row>
    <row r="2243" spans="6:23" ht="15">
      <c r="F2243" s="356" t="s">
        <v>114</v>
      </c>
      <c r="W2243" s="361"/>
    </row>
    <row r="2244" spans="6:23" ht="15">
      <c r="F2244" s="461">
        <v>1.7399999999999999E-2</v>
      </c>
      <c r="G2244" s="368" t="s">
        <v>793</v>
      </c>
      <c r="H2244" s="356" t="s">
        <v>2516</v>
      </c>
      <c r="I2244" s="370">
        <f>C86</f>
        <v>34665.439999999995</v>
      </c>
      <c r="J2244" s="356" t="s">
        <v>793</v>
      </c>
      <c r="K2244" s="370">
        <f t="shared" ref="K2244:K2251" si="249">F2244*I2244</f>
        <v>603.17865599999982</v>
      </c>
      <c r="W2244" s="361"/>
    </row>
    <row r="2245" spans="6:23" ht="15">
      <c r="F2245" s="461">
        <v>2.93E-2</v>
      </c>
      <c r="G2245" s="368" t="s">
        <v>793</v>
      </c>
      <c r="H2245" s="356" t="s">
        <v>2517</v>
      </c>
      <c r="I2245" s="370">
        <f>C87</f>
        <v>39765.439999999995</v>
      </c>
      <c r="J2245" s="356" t="s">
        <v>793</v>
      </c>
      <c r="K2245" s="370">
        <f t="shared" si="249"/>
        <v>1165.1273919999999</v>
      </c>
      <c r="W2245" s="361"/>
    </row>
    <row r="2246" spans="6:23" ht="15">
      <c r="F2246" s="461">
        <v>1.093</v>
      </c>
      <c r="G2246" s="368" t="s">
        <v>262</v>
      </c>
      <c r="H2246" s="356" t="s">
        <v>2518</v>
      </c>
      <c r="I2246" s="370">
        <f>C201</f>
        <v>379.9</v>
      </c>
      <c r="J2246" s="356" t="s">
        <v>262</v>
      </c>
      <c r="K2246" s="370">
        <f t="shared" si="249"/>
        <v>415.23069999999996</v>
      </c>
      <c r="W2246" s="361"/>
    </row>
    <row r="2247" spans="6:23" ht="15">
      <c r="F2247" s="370">
        <v>6</v>
      </c>
      <c r="G2247" s="368" t="s">
        <v>482</v>
      </c>
      <c r="H2247" s="356" t="s">
        <v>2519</v>
      </c>
      <c r="I2247" s="370">
        <f>C299</f>
        <v>7</v>
      </c>
      <c r="J2247" s="356" t="s">
        <v>194</v>
      </c>
      <c r="K2247" s="370">
        <f t="shared" si="249"/>
        <v>42</v>
      </c>
      <c r="W2247" s="361"/>
    </row>
    <row r="2248" spans="6:23" ht="15">
      <c r="F2248" s="370">
        <v>1</v>
      </c>
      <c r="G2248" s="368" t="s">
        <v>482</v>
      </c>
      <c r="H2248" s="356" t="s">
        <v>2520</v>
      </c>
      <c r="I2248" s="370">
        <f>C289</f>
        <v>101.6</v>
      </c>
      <c r="J2248" s="356" t="s">
        <v>194</v>
      </c>
      <c r="K2248" s="370">
        <f t="shared" si="249"/>
        <v>101.6</v>
      </c>
      <c r="W2248" s="361"/>
    </row>
    <row r="2249" spans="6:23" ht="15">
      <c r="F2249" s="370">
        <v>2</v>
      </c>
      <c r="G2249" s="368" t="s">
        <v>482</v>
      </c>
      <c r="H2249" s="356" t="s">
        <v>2521</v>
      </c>
      <c r="I2249" s="370">
        <f>C310</f>
        <v>3</v>
      </c>
      <c r="J2249" s="356" t="s">
        <v>194</v>
      </c>
      <c r="K2249" s="370">
        <f t="shared" si="249"/>
        <v>6</v>
      </c>
      <c r="W2249" s="361"/>
    </row>
    <row r="2250" spans="6:23" ht="15.75">
      <c r="F2250" s="370">
        <v>6</v>
      </c>
      <c r="G2250" s="368" t="s">
        <v>482</v>
      </c>
      <c r="H2250" s="356" t="s">
        <v>2522</v>
      </c>
      <c r="I2250" s="680">
        <v>10.5</v>
      </c>
      <c r="J2250" s="356" t="s">
        <v>194</v>
      </c>
      <c r="K2250" s="370">
        <f t="shared" si="249"/>
        <v>63</v>
      </c>
      <c r="W2250" s="361"/>
    </row>
    <row r="2251" spans="6:23" ht="15">
      <c r="F2251" s="407">
        <v>1.62</v>
      </c>
      <c r="G2251" s="368" t="s">
        <v>262</v>
      </c>
      <c r="H2251" s="356" t="s">
        <v>544</v>
      </c>
      <c r="I2251" s="370">
        <f>D33</f>
        <v>1286.3999999999999</v>
      </c>
      <c r="J2251" s="356" t="s">
        <v>262</v>
      </c>
      <c r="K2251" s="370">
        <f t="shared" si="249"/>
        <v>2083.9679999999998</v>
      </c>
      <c r="W2251" s="361"/>
    </row>
    <row r="2252" spans="6:23" ht="15">
      <c r="G2252" s="368" t="s">
        <v>128</v>
      </c>
      <c r="H2252" s="356" t="s">
        <v>2523</v>
      </c>
      <c r="J2252" s="356" t="s">
        <v>128</v>
      </c>
      <c r="K2252" s="370">
        <v>4.2699999999999996</v>
      </c>
      <c r="W2252" s="361"/>
    </row>
    <row r="2253" spans="6:23" ht="15">
      <c r="K2253" s="363" t="s">
        <v>117</v>
      </c>
      <c r="W2253" s="361"/>
    </row>
    <row r="2254" spans="6:23" ht="15.75">
      <c r="H2254" s="372" t="s">
        <v>2524</v>
      </c>
      <c r="K2254" s="369">
        <f>SUM(K2244:K2252)</f>
        <v>4484.3747480000002</v>
      </c>
      <c r="W2254" s="361"/>
    </row>
    <row r="2255" spans="6:23" ht="15.75">
      <c r="K2255" s="439" t="s">
        <v>117</v>
      </c>
      <c r="W2255" s="361"/>
    </row>
    <row r="2256" spans="6:23" ht="15.75">
      <c r="K2256" s="411"/>
      <c r="W2256" s="361"/>
    </row>
    <row r="2257" spans="6:23" ht="15.75">
      <c r="H2257" s="372" t="s">
        <v>2525</v>
      </c>
      <c r="I2257" s="356" t="s">
        <v>114</v>
      </c>
      <c r="K2257" s="369">
        <f>K2254/1.62</f>
        <v>2768.132560493827</v>
      </c>
      <c r="M2257" s="35">
        <f>1921*1.62</f>
        <v>3112.02</v>
      </c>
      <c r="W2257" s="361"/>
    </row>
    <row r="2258" spans="6:23" ht="15">
      <c r="F2258" s="356" t="s">
        <v>114</v>
      </c>
      <c r="G2258" s="368" t="s">
        <v>114</v>
      </c>
      <c r="H2258" s="356" t="s">
        <v>114</v>
      </c>
      <c r="I2258" s="356" t="s">
        <v>114</v>
      </c>
      <c r="J2258" s="356" t="s">
        <v>114</v>
      </c>
      <c r="M2258" s="35">
        <f>M2257-K2254</f>
        <v>-1372.3547480000002</v>
      </c>
      <c r="W2258" s="361"/>
    </row>
    <row r="2259" spans="6:23" ht="15">
      <c r="W2259" s="361"/>
    </row>
    <row r="2260" spans="6:23" ht="15.75">
      <c r="G2260" s="368" t="s">
        <v>957</v>
      </c>
      <c r="H2260" s="359" t="s">
        <v>1688</v>
      </c>
      <c r="W2260" s="361"/>
    </row>
    <row r="2261" spans="6:23" ht="15">
      <c r="H2261" s="356" t="s">
        <v>2526</v>
      </c>
      <c r="L2261" s="35">
        <f>3.6*1.1</f>
        <v>3.9600000000000004</v>
      </c>
      <c r="W2261" s="361"/>
    </row>
    <row r="2262" spans="6:23" ht="15">
      <c r="F2262" s="356" t="s">
        <v>114</v>
      </c>
      <c r="H2262" s="356" t="s">
        <v>2527</v>
      </c>
      <c r="L2262" s="35">
        <f>3.6*1.6</f>
        <v>5.7600000000000007</v>
      </c>
      <c r="W2262" s="361"/>
    </row>
    <row r="2263" spans="6:23" ht="15.75">
      <c r="F2263" s="357" t="s">
        <v>2528</v>
      </c>
      <c r="H2263" s="356" t="s">
        <v>1692</v>
      </c>
      <c r="K2263" s="401">
        <f>[6]Elec.Data!K29</f>
        <v>1694.18</v>
      </c>
      <c r="W2263" s="361"/>
    </row>
    <row r="2264" spans="6:23" ht="15.75">
      <c r="F2264" s="357" t="s">
        <v>2529</v>
      </c>
      <c r="H2264" s="357" t="s">
        <v>1696</v>
      </c>
      <c r="K2264" s="401">
        <f>[6]Elec.Data!K53</f>
        <v>1697.18</v>
      </c>
      <c r="W2264" s="361"/>
    </row>
    <row r="2265" spans="6:23" ht="15.75">
      <c r="F2265" s="357" t="s">
        <v>2530</v>
      </c>
      <c r="H2265" s="356" t="s">
        <v>1760</v>
      </c>
      <c r="K2265" s="401">
        <f>[6]Elec.Data!K68</f>
        <v>1734.18</v>
      </c>
      <c r="W2265" s="361"/>
    </row>
    <row r="2266" spans="6:23" ht="15.75">
      <c r="F2266" s="393">
        <v>65</v>
      </c>
      <c r="H2266" s="356" t="s">
        <v>1698</v>
      </c>
      <c r="K2266" s="401">
        <f>[6]Elec.Data!K90</f>
        <v>1769.18</v>
      </c>
      <c r="W2266" s="361"/>
    </row>
    <row r="2267" spans="6:23" ht="15.75">
      <c r="F2267" s="393">
        <v>66</v>
      </c>
      <c r="H2267" s="356" t="s">
        <v>1706</v>
      </c>
      <c r="K2267" s="401">
        <f>[6]Elec.Data!K114</f>
        <v>3180.35</v>
      </c>
      <c r="W2267" s="361"/>
    </row>
    <row r="2268" spans="6:23" ht="15.75">
      <c r="F2268" s="393">
        <v>67</v>
      </c>
      <c r="H2268" s="356" t="s">
        <v>1701</v>
      </c>
      <c r="K2268" s="401">
        <f>[6]Elec.Data!K146</f>
        <v>869.5</v>
      </c>
      <c r="W2268" s="361"/>
    </row>
    <row r="2269" spans="6:23" ht="15.75">
      <c r="F2269" s="393">
        <v>68</v>
      </c>
      <c r="H2269" s="356" t="s">
        <v>1704</v>
      </c>
      <c r="K2269" s="401">
        <f>[6]Elec.Data!K134</f>
        <v>1175.78</v>
      </c>
      <c r="W2269" s="361"/>
    </row>
    <row r="2270" spans="6:23" ht="15.75">
      <c r="F2270" s="393">
        <v>69</v>
      </c>
      <c r="H2270" s="356" t="s">
        <v>2531</v>
      </c>
      <c r="K2270" s="401">
        <f>[6]Elec.Data!K157</f>
        <v>150</v>
      </c>
      <c r="W2270" s="361"/>
    </row>
    <row r="2271" spans="6:23" ht="15.75">
      <c r="F2271" s="393" t="s">
        <v>2532</v>
      </c>
      <c r="H2271" s="356" t="s">
        <v>1769</v>
      </c>
      <c r="K2271" s="401">
        <f>[6]Elec.Data!K304</f>
        <v>529.20000000000005</v>
      </c>
      <c r="W2271" s="361"/>
    </row>
    <row r="2272" spans="6:23" ht="15.75">
      <c r="F2272" s="393" t="s">
        <v>2533</v>
      </c>
      <c r="H2272" s="356" t="s">
        <v>2534</v>
      </c>
      <c r="J2272" s="361"/>
      <c r="K2272" s="401"/>
      <c r="L2272" s="35">
        <f>37.7*90</f>
        <v>3393.0000000000005</v>
      </c>
      <c r="W2272" s="361"/>
    </row>
    <row r="2273" spans="6:23" ht="15.75">
      <c r="F2273" s="393" t="s">
        <v>2535</v>
      </c>
      <c r="H2273" s="356" t="s">
        <v>2536</v>
      </c>
      <c r="K2273" s="394">
        <v>9.4</v>
      </c>
      <c r="W2273" s="361"/>
    </row>
    <row r="2274" spans="6:23" ht="15.75">
      <c r="F2274" s="393" t="s">
        <v>2537</v>
      </c>
      <c r="H2274" s="356" t="s">
        <v>2538</v>
      </c>
      <c r="K2274" s="493">
        <v>10</v>
      </c>
      <c r="W2274" s="361"/>
    </row>
    <row r="2275" spans="6:23" ht="15.75">
      <c r="F2275" s="393">
        <v>71</v>
      </c>
      <c r="H2275" s="356" t="s">
        <v>1770</v>
      </c>
      <c r="K2275" s="401">
        <f>[6]Elec.Data!K342</f>
        <v>1372.85</v>
      </c>
      <c r="W2275" s="361"/>
    </row>
    <row r="2276" spans="6:23" ht="15.75">
      <c r="F2276" s="393">
        <v>72</v>
      </c>
      <c r="H2276" s="356" t="s">
        <v>2539</v>
      </c>
      <c r="K2276" s="493">
        <v>33.9</v>
      </c>
      <c r="W2276" s="361"/>
    </row>
    <row r="2277" spans="6:23" ht="15.75">
      <c r="F2277" s="393" t="s">
        <v>2540</v>
      </c>
      <c r="H2277" s="356" t="s">
        <v>1773</v>
      </c>
      <c r="K2277" s="401">
        <f>[6]Elec.Data!K402</f>
        <v>4248.34</v>
      </c>
      <c r="W2277" s="361"/>
    </row>
    <row r="2278" spans="6:23" ht="15.75">
      <c r="F2278" s="393" t="s">
        <v>2541</v>
      </c>
      <c r="H2278" s="356" t="s">
        <v>2542</v>
      </c>
      <c r="K2278" s="401">
        <f>[6]Elec.Data!K390</f>
        <v>3466.34</v>
      </c>
      <c r="W2278" s="361"/>
    </row>
    <row r="2279" spans="6:23" ht="15.75">
      <c r="F2279" s="393">
        <v>74</v>
      </c>
      <c r="H2279" s="356" t="s">
        <v>365</v>
      </c>
      <c r="K2279" s="401">
        <f>[6]Elec.Data!K447</f>
        <v>601.20000000000005</v>
      </c>
      <c r="W2279" s="361"/>
    </row>
    <row r="2280" spans="6:23" ht="15.75">
      <c r="F2280" s="393" t="s">
        <v>2543</v>
      </c>
      <c r="H2280" s="356" t="s">
        <v>2544</v>
      </c>
      <c r="K2280" s="402">
        <v>1265</v>
      </c>
      <c r="W2280" s="361"/>
    </row>
    <row r="2281" spans="6:23" ht="15">
      <c r="F2281" s="393" t="s">
        <v>2545</v>
      </c>
      <c r="H2281" s="356" t="s">
        <v>1776</v>
      </c>
      <c r="W2281" s="361"/>
    </row>
    <row r="2282" spans="6:23" ht="15.75">
      <c r="F2282" s="393">
        <v>112</v>
      </c>
      <c r="H2282" s="356" t="s">
        <v>2546</v>
      </c>
      <c r="K2282" s="401">
        <f>[6]Elec.Data!K914</f>
        <v>2363</v>
      </c>
      <c r="W2282" s="361"/>
    </row>
    <row r="2283" spans="6:23" ht="15.75">
      <c r="F2283" s="393">
        <v>76</v>
      </c>
      <c r="H2283" s="356" t="s">
        <v>1778</v>
      </c>
      <c r="K2283" s="401">
        <f>[6]Elec.Data!K464</f>
        <v>27.13</v>
      </c>
      <c r="W2283" s="361"/>
    </row>
    <row r="2284" spans="6:23" ht="15.75">
      <c r="F2284" s="393">
        <v>77</v>
      </c>
      <c r="H2284" s="356" t="s">
        <v>2547</v>
      </c>
      <c r="K2284" s="401">
        <f>[6]Elec.Data!K249</f>
        <v>215.45</v>
      </c>
      <c r="W2284" s="361"/>
    </row>
    <row r="2285" spans="6:23" ht="30">
      <c r="F2285" s="681">
        <v>77.099999999999994</v>
      </c>
      <c r="H2285" s="440" t="s">
        <v>2548</v>
      </c>
      <c r="K2285" s="682">
        <f>[6]Elec.Data!K274</f>
        <v>273.45</v>
      </c>
      <c r="W2285" s="361"/>
    </row>
    <row r="2286" spans="6:23" ht="15.75">
      <c r="F2286" s="412">
        <v>77.2</v>
      </c>
      <c r="H2286" s="356" t="s">
        <v>2549</v>
      </c>
      <c r="K2286" s="402">
        <v>500</v>
      </c>
      <c r="W2286" s="361"/>
    </row>
    <row r="2287" spans="6:23" ht="15.75">
      <c r="F2287" s="412">
        <v>77.3</v>
      </c>
      <c r="H2287" s="356" t="s">
        <v>2550</v>
      </c>
      <c r="K2287" s="402">
        <f>[6]Elec.Data!K882</f>
        <v>77.010000000000005</v>
      </c>
      <c r="W2287" s="361"/>
    </row>
    <row r="2288" spans="6:23" ht="15.75">
      <c r="F2288" s="393">
        <v>78</v>
      </c>
      <c r="H2288" s="356" t="s">
        <v>1784</v>
      </c>
      <c r="K2288" s="401">
        <f>[6]Elec.Data!K489</f>
        <v>2997.6</v>
      </c>
      <c r="W2288" s="361"/>
    </row>
    <row r="2289" spans="6:23" ht="15.75">
      <c r="F2289" s="393">
        <v>80</v>
      </c>
      <c r="H2289" s="356" t="s">
        <v>1789</v>
      </c>
      <c r="K2289" s="401">
        <f>[6]Elec.Data!K611</f>
        <v>846</v>
      </c>
      <c r="W2289" s="361"/>
    </row>
    <row r="2290" spans="6:23" ht="15">
      <c r="F2290" s="393">
        <v>81</v>
      </c>
      <c r="H2290" s="356" t="s">
        <v>1791</v>
      </c>
      <c r="K2290" s="370">
        <f>K2257</f>
        <v>2768.132560493827</v>
      </c>
      <c r="W2290" s="361"/>
    </row>
    <row r="2291" spans="6:23" ht="15.75">
      <c r="F2291" s="393">
        <v>82</v>
      </c>
      <c r="H2291" s="356" t="s">
        <v>1792</v>
      </c>
      <c r="K2291" s="401">
        <f>[6]Elec.Data!K808</f>
        <v>3037.67</v>
      </c>
      <c r="W2291" s="361"/>
    </row>
    <row r="2292" spans="6:23" ht="15.75">
      <c r="F2292" s="393">
        <v>87</v>
      </c>
      <c r="H2292" s="356" t="s">
        <v>1794</v>
      </c>
      <c r="K2292" s="401">
        <f>[6]Elec.Data!K628</f>
        <v>2717.8</v>
      </c>
      <c r="W2292" s="361"/>
    </row>
    <row r="2293" spans="6:23" ht="16.5">
      <c r="H2293" s="683" t="s">
        <v>2551</v>
      </c>
      <c r="K2293" s="401">
        <f>[6]Elec.Data!K932</f>
        <v>2176.4</v>
      </c>
      <c r="W2293" s="361"/>
    </row>
    <row r="2294" spans="6:23" ht="15.75">
      <c r="H2294" s="684" t="s">
        <v>2552</v>
      </c>
      <c r="K2294" s="402">
        <v>137</v>
      </c>
      <c r="W2294" s="361"/>
    </row>
    <row r="2295" spans="6:23" ht="31.5">
      <c r="F2295" s="685">
        <v>77.400000000000006</v>
      </c>
      <c r="H2295" s="686" t="s">
        <v>2553</v>
      </c>
      <c r="M2295" s="685">
        <v>77.400000000000006</v>
      </c>
      <c r="N2295" s="358"/>
      <c r="O2295" s="686" t="s">
        <v>2554</v>
      </c>
      <c r="Q2295" s="360"/>
      <c r="W2295" s="361"/>
    </row>
    <row r="2296" spans="6:23" ht="15">
      <c r="H2296" s="356" t="s">
        <v>2526</v>
      </c>
      <c r="N2296" s="358"/>
      <c r="O2296" s="356" t="s">
        <v>2526</v>
      </c>
      <c r="Q2296" s="360"/>
      <c r="W2296" s="361"/>
    </row>
    <row r="2297" spans="6:23" ht="30">
      <c r="F2297" s="35">
        <v>90</v>
      </c>
      <c r="G2297" s="358" t="s">
        <v>2555</v>
      </c>
      <c r="H2297" s="40" t="s">
        <v>2556</v>
      </c>
      <c r="I2297" s="687">
        <v>20</v>
      </c>
      <c r="J2297" s="360" t="s">
        <v>2555</v>
      </c>
      <c r="K2297" s="35">
        <f>I2297*F2297</f>
        <v>1800</v>
      </c>
      <c r="M2297" s="35">
        <v>90</v>
      </c>
      <c r="N2297" s="358" t="s">
        <v>2555</v>
      </c>
      <c r="O2297" s="40" t="s">
        <v>2557</v>
      </c>
      <c r="P2297" s="687">
        <v>20</v>
      </c>
      <c r="Q2297" s="360" t="s">
        <v>2555</v>
      </c>
      <c r="R2297" s="35">
        <f>P2297*M2297</f>
        <v>1800</v>
      </c>
      <c r="W2297" s="361"/>
    </row>
    <row r="2298" spans="6:23" ht="15">
      <c r="F2298" s="35">
        <v>0.15</v>
      </c>
      <c r="G2298" s="358" t="s">
        <v>443</v>
      </c>
      <c r="H2298" s="35" t="s">
        <v>125</v>
      </c>
      <c r="I2298" s="35">
        <f>AE31</f>
        <v>6372.14</v>
      </c>
      <c r="J2298" s="360" t="s">
        <v>443</v>
      </c>
      <c r="K2298" s="35">
        <f>I2298*F2298</f>
        <v>955.82100000000003</v>
      </c>
      <c r="M2298" s="35">
        <v>0.15</v>
      </c>
      <c r="N2298" s="358" t="s">
        <v>443</v>
      </c>
      <c r="O2298" s="35" t="s">
        <v>125</v>
      </c>
      <c r="P2298" s="35">
        <f>I2298</f>
        <v>6372.14</v>
      </c>
      <c r="Q2298" s="360" t="s">
        <v>443</v>
      </c>
      <c r="R2298" s="35">
        <f>P2298*M2298</f>
        <v>955.82100000000003</v>
      </c>
      <c r="W2298" s="361"/>
    </row>
    <row r="2299" spans="6:23" ht="15">
      <c r="F2299" s="35">
        <v>1</v>
      </c>
      <c r="G2299" s="358" t="s">
        <v>223</v>
      </c>
      <c r="H2299" s="35" t="s">
        <v>2558</v>
      </c>
      <c r="I2299" s="404">
        <f>C811</f>
        <v>826</v>
      </c>
      <c r="J2299" s="360" t="s">
        <v>223</v>
      </c>
      <c r="K2299" s="35">
        <f>I2299*F2299</f>
        <v>826</v>
      </c>
      <c r="M2299" s="35">
        <v>1</v>
      </c>
      <c r="N2299" s="358" t="s">
        <v>223</v>
      </c>
      <c r="O2299" s="35" t="s">
        <v>2558</v>
      </c>
      <c r="P2299" s="35">
        <f>I2299</f>
        <v>826</v>
      </c>
      <c r="Q2299" s="360" t="s">
        <v>223</v>
      </c>
      <c r="R2299" s="35">
        <f>P2299*M2299</f>
        <v>826</v>
      </c>
      <c r="W2299" s="361"/>
    </row>
    <row r="2300" spans="6:23" ht="15">
      <c r="F2300" s="35">
        <v>2</v>
      </c>
      <c r="G2300" s="358" t="s">
        <v>223</v>
      </c>
      <c r="H2300" s="35" t="s">
        <v>152</v>
      </c>
      <c r="I2300" s="35">
        <f>AG10</f>
        <v>1118.3999999999999</v>
      </c>
      <c r="J2300" s="360" t="s">
        <v>223</v>
      </c>
      <c r="K2300" s="35">
        <f>I2300*F2300</f>
        <v>2236.7999999999997</v>
      </c>
      <c r="M2300" s="35">
        <v>2</v>
      </c>
      <c r="N2300" s="358" t="s">
        <v>223</v>
      </c>
      <c r="O2300" s="35" t="s">
        <v>152</v>
      </c>
      <c r="P2300" s="35">
        <f>I2300</f>
        <v>1118.3999999999999</v>
      </c>
      <c r="Q2300" s="360" t="s">
        <v>223</v>
      </c>
      <c r="R2300" s="35">
        <f>P2300*M2300</f>
        <v>2236.7999999999997</v>
      </c>
      <c r="W2300" s="361"/>
    </row>
    <row r="2301" spans="6:23" ht="15.75">
      <c r="F2301" s="35">
        <v>4</v>
      </c>
      <c r="G2301" s="358" t="s">
        <v>223</v>
      </c>
      <c r="H2301" s="35" t="str">
        <f>B812</f>
        <v>Electrical HELPERp-15 L-0097</v>
      </c>
      <c r="I2301" s="688">
        <f>C812</f>
        <v>644</v>
      </c>
      <c r="J2301" s="360" t="s">
        <v>223</v>
      </c>
      <c r="K2301" s="35">
        <f>I2301*F2301</f>
        <v>2576</v>
      </c>
      <c r="M2301" s="35">
        <v>4</v>
      </c>
      <c r="N2301" s="358" t="s">
        <v>223</v>
      </c>
      <c r="O2301" s="35" t="str">
        <f>H2301</f>
        <v>Electrical HELPERp-15 L-0097</v>
      </c>
      <c r="P2301" s="35">
        <f>I2301</f>
        <v>644</v>
      </c>
      <c r="Q2301" s="360" t="s">
        <v>223</v>
      </c>
      <c r="R2301" s="35">
        <f>P2301*M2301</f>
        <v>2576</v>
      </c>
      <c r="W2301" s="361"/>
    </row>
    <row r="2302" spans="6:23" ht="15">
      <c r="H2302" s="35" t="s">
        <v>2559</v>
      </c>
      <c r="K2302" s="35">
        <v>11.5</v>
      </c>
      <c r="N2302" s="358"/>
      <c r="O2302" s="35" t="s">
        <v>2559</v>
      </c>
      <c r="Q2302" s="360"/>
      <c r="R2302" s="35">
        <v>11.5</v>
      </c>
      <c r="W2302" s="361"/>
    </row>
    <row r="2303" spans="6:23" ht="15">
      <c r="K2303" s="363" t="s">
        <v>117</v>
      </c>
      <c r="N2303" s="358"/>
      <c r="Q2303" s="360"/>
      <c r="R2303" s="363" t="s">
        <v>117</v>
      </c>
      <c r="W2303" s="361"/>
    </row>
    <row r="2304" spans="6:23" ht="15">
      <c r="H2304" s="356" t="s">
        <v>2560</v>
      </c>
      <c r="K2304" s="370">
        <f>SUM(K2297:K2302)</f>
        <v>8406.1209999999992</v>
      </c>
      <c r="N2304" s="358"/>
      <c r="O2304" s="356" t="s">
        <v>2560</v>
      </c>
      <c r="Q2304" s="360"/>
      <c r="R2304" s="370">
        <f>SUM(R2297:R2302)</f>
        <v>8406.1209999999992</v>
      </c>
      <c r="W2304" s="361"/>
    </row>
    <row r="2305" spans="5:255" ht="24" customHeight="1">
      <c r="K2305" s="363" t="s">
        <v>117</v>
      </c>
      <c r="N2305" s="358"/>
      <c r="Q2305" s="360"/>
      <c r="R2305" s="363" t="s">
        <v>117</v>
      </c>
      <c r="W2305" s="361"/>
    </row>
    <row r="2306" spans="5:255" ht="24" customHeight="1">
      <c r="H2306" s="356" t="s">
        <v>2475</v>
      </c>
      <c r="K2306" s="370">
        <f>(K2304/90)</f>
        <v>93.401344444444433</v>
      </c>
      <c r="N2306" s="358"/>
      <c r="O2306" s="356" t="s">
        <v>2475</v>
      </c>
      <c r="Q2306" s="360"/>
      <c r="R2306" s="370">
        <f>(R2304/90)</f>
        <v>93.401344444444433</v>
      </c>
      <c r="W2306" s="361"/>
      <c r="AI2306" s="35">
        <v>0</v>
      </c>
    </row>
    <row r="2307" spans="5:255" ht="24" customHeight="1">
      <c r="K2307" s="363" t="s">
        <v>156</v>
      </c>
      <c r="W2307" s="361"/>
      <c r="IU2307" s="35">
        <v>0</v>
      </c>
    </row>
    <row r="2308" spans="5:255" ht="24" customHeight="1">
      <c r="W2308" s="361"/>
    </row>
    <row r="2309" spans="5:255" ht="24" customHeight="1">
      <c r="F2309" s="492">
        <v>78.099999999999994</v>
      </c>
      <c r="H2309" s="359" t="s">
        <v>2561</v>
      </c>
      <c r="L2309" s="35">
        <f>31.5+85</f>
        <v>116.5</v>
      </c>
      <c r="W2309" s="361"/>
    </row>
    <row r="2310" spans="5:255" ht="24" customHeight="1">
      <c r="H2310" s="356" t="s">
        <v>2526</v>
      </c>
      <c r="L2310" s="35">
        <f>L2309*10%</f>
        <v>11.65</v>
      </c>
      <c r="W2310" s="361"/>
    </row>
    <row r="2311" spans="5:255" ht="24" customHeight="1">
      <c r="F2311" s="35">
        <v>2.5</v>
      </c>
      <c r="G2311" s="358" t="s">
        <v>223</v>
      </c>
      <c r="H2311" s="35" t="s">
        <v>2562</v>
      </c>
      <c r="I2311" s="404">
        <f>C397</f>
        <v>163</v>
      </c>
      <c r="J2311" s="360" t="s">
        <v>223</v>
      </c>
      <c r="K2311" s="35">
        <f t="shared" ref="K2311:K2316" si="250">I2311*F2311</f>
        <v>407.5</v>
      </c>
      <c r="W2311" s="361"/>
    </row>
    <row r="2312" spans="5:255" ht="24" customHeight="1">
      <c r="F2312" s="35">
        <v>20</v>
      </c>
      <c r="G2312" s="358" t="s">
        <v>109</v>
      </c>
      <c r="H2312" s="689" t="s">
        <v>2563</v>
      </c>
      <c r="I2312" s="690">
        <v>5</v>
      </c>
      <c r="J2312" s="360" t="s">
        <v>109</v>
      </c>
      <c r="K2312" s="35">
        <f t="shared" si="250"/>
        <v>100</v>
      </c>
      <c r="W2312" s="361"/>
    </row>
    <row r="2313" spans="5:255" ht="24" customHeight="1">
      <c r="F2313" s="35">
        <v>9</v>
      </c>
      <c r="G2313" s="358" t="s">
        <v>109</v>
      </c>
      <c r="H2313" s="448" t="s">
        <v>2564</v>
      </c>
      <c r="I2313" s="448">
        <v>3.7</v>
      </c>
      <c r="J2313" s="360" t="s">
        <v>109</v>
      </c>
      <c r="K2313" s="35">
        <f t="shared" si="250"/>
        <v>33.300000000000004</v>
      </c>
      <c r="W2313" s="361"/>
    </row>
    <row r="2314" spans="5:255" ht="51.75" customHeight="1">
      <c r="F2314" s="35">
        <v>0.5</v>
      </c>
      <c r="G2314" s="358" t="s">
        <v>109</v>
      </c>
      <c r="H2314" s="35" t="s">
        <v>2565</v>
      </c>
      <c r="I2314" s="687">
        <v>101.5</v>
      </c>
      <c r="J2314" s="360" t="s">
        <v>109</v>
      </c>
      <c r="K2314" s="35">
        <f t="shared" si="250"/>
        <v>50.75</v>
      </c>
      <c r="W2314" s="361"/>
    </row>
    <row r="2315" spans="5:255" ht="36.75" customHeight="1">
      <c r="E2315" s="36">
        <f>25.2/5</f>
        <v>5.04</v>
      </c>
      <c r="F2315" s="35">
        <v>0.5</v>
      </c>
      <c r="G2315" s="358" t="s">
        <v>223</v>
      </c>
      <c r="H2315" s="35" t="s">
        <v>2566</v>
      </c>
      <c r="I2315" s="35">
        <f>I2299</f>
        <v>826</v>
      </c>
      <c r="J2315" s="360" t="s">
        <v>223</v>
      </c>
      <c r="K2315" s="35">
        <f t="shared" si="250"/>
        <v>413</v>
      </c>
      <c r="W2315" s="361"/>
    </row>
    <row r="2316" spans="5:255" ht="24" customHeight="1">
      <c r="F2316" s="35">
        <v>1</v>
      </c>
      <c r="G2316" s="358" t="s">
        <v>223</v>
      </c>
      <c r="H2316" s="35" t="s">
        <v>2567</v>
      </c>
      <c r="I2316" s="35">
        <f>I2301</f>
        <v>644</v>
      </c>
      <c r="J2316" s="360" t="s">
        <v>223</v>
      </c>
      <c r="K2316" s="35">
        <f t="shared" si="250"/>
        <v>644</v>
      </c>
      <c r="W2316" s="361"/>
    </row>
    <row r="2317" spans="5:255" ht="45.75" customHeight="1">
      <c r="G2317" s="358" t="s">
        <v>265</v>
      </c>
      <c r="H2317" s="430" t="s">
        <v>2568</v>
      </c>
      <c r="J2317" s="360" t="s">
        <v>265</v>
      </c>
      <c r="K2317" s="35">
        <v>200</v>
      </c>
      <c r="W2317" s="361"/>
    </row>
    <row r="2318" spans="5:255" ht="24" customHeight="1">
      <c r="G2318" s="358" t="s">
        <v>265</v>
      </c>
      <c r="H2318" s="35" t="s">
        <v>2569</v>
      </c>
      <c r="J2318" s="360" t="s">
        <v>265</v>
      </c>
      <c r="K2318" s="35">
        <v>8.32</v>
      </c>
      <c r="W2318" s="361"/>
    </row>
    <row r="2319" spans="5:255" ht="24" customHeight="1">
      <c r="K2319" s="363" t="s">
        <v>117</v>
      </c>
      <c r="W2319" s="361"/>
    </row>
    <row r="2320" spans="5:255" ht="24" customHeight="1">
      <c r="H2320" s="35" t="s">
        <v>1840</v>
      </c>
      <c r="K2320" s="370">
        <f>SUM(K2311:K2318)</f>
        <v>1856.87</v>
      </c>
      <c r="L2320" s="35">
        <f>K2354/3</f>
        <v>36.101999999999997</v>
      </c>
      <c r="W2320" s="361"/>
    </row>
    <row r="2321" spans="6:23" ht="15">
      <c r="K2321" s="363" t="s">
        <v>117</v>
      </c>
      <c r="W2321" s="361"/>
    </row>
    <row r="2322" spans="6:23" ht="15.75">
      <c r="H2322" s="411" t="s">
        <v>2570</v>
      </c>
      <c r="W2322" s="361"/>
    </row>
    <row r="2323" spans="6:23" ht="15">
      <c r="F2323" s="35">
        <v>0.7</v>
      </c>
      <c r="G2323" s="358" t="s">
        <v>223</v>
      </c>
      <c r="H2323" s="35" t="s">
        <v>193</v>
      </c>
      <c r="I2323" s="35">
        <f>C17</f>
        <v>1057.2</v>
      </c>
      <c r="J2323" s="360" t="s">
        <v>194</v>
      </c>
      <c r="K2323" s="35">
        <f>I2323*F2323</f>
        <v>740.04</v>
      </c>
      <c r="S2323" s="36">
        <f>R2361+R2362</f>
        <v>1060.8</v>
      </c>
      <c r="W2323" s="361"/>
    </row>
    <row r="2324" spans="6:23" ht="15">
      <c r="F2324" s="35">
        <v>0.5</v>
      </c>
      <c r="G2324" s="358" t="s">
        <v>223</v>
      </c>
      <c r="H2324" s="35" t="s">
        <v>483</v>
      </c>
      <c r="I2324" s="35">
        <f>C12</f>
        <v>781.19999999999993</v>
      </c>
      <c r="J2324" s="360" t="s">
        <v>194</v>
      </c>
      <c r="K2324" s="35">
        <f>I2324*F2324</f>
        <v>390.59999999999997</v>
      </c>
      <c r="W2324" s="361"/>
    </row>
    <row r="2325" spans="6:23" ht="15">
      <c r="H2325" s="35" t="s">
        <v>2571</v>
      </c>
      <c r="K2325" s="35">
        <f>SUM(K2323:K2324)</f>
        <v>1130.6399999999999</v>
      </c>
      <c r="W2325" s="361"/>
    </row>
    <row r="2326" spans="6:23" ht="15.75">
      <c r="H2326" s="35" t="s">
        <v>2572</v>
      </c>
      <c r="K2326" s="411">
        <f>K2325/8.16</f>
        <v>138.55882352941174</v>
      </c>
      <c r="W2326" s="361"/>
    </row>
    <row r="2327" spans="6:23" ht="15">
      <c r="W2327" s="361"/>
    </row>
    <row r="2328" spans="6:23" ht="15.75">
      <c r="H2328" s="411" t="s">
        <v>2573</v>
      </c>
      <c r="W2328" s="361"/>
    </row>
    <row r="2329" spans="6:23" ht="15.75">
      <c r="F2329" s="35">
        <v>2</v>
      </c>
      <c r="G2329" s="358" t="s">
        <v>480</v>
      </c>
      <c r="H2329" s="35" t="s">
        <v>2574</v>
      </c>
      <c r="I2329" s="687">
        <v>62.1</v>
      </c>
      <c r="J2329" s="360" t="s">
        <v>480</v>
      </c>
      <c r="K2329" s="35">
        <f>I2329*F2329</f>
        <v>124.2</v>
      </c>
      <c r="W2329" s="361"/>
    </row>
    <row r="2330" spans="6:23" ht="15">
      <c r="F2330" s="35">
        <v>0.2</v>
      </c>
      <c r="G2330" s="358" t="s">
        <v>480</v>
      </c>
      <c r="H2330" s="35" t="s">
        <v>481</v>
      </c>
      <c r="I2330" s="35">
        <f>C145/1000</f>
        <v>56.35</v>
      </c>
      <c r="J2330" s="360" t="s">
        <v>480</v>
      </c>
      <c r="K2330" s="35">
        <f>I2330*F2330</f>
        <v>11.270000000000001</v>
      </c>
      <c r="W2330" s="361"/>
    </row>
    <row r="2331" spans="6:23" ht="15">
      <c r="F2331" s="35">
        <v>2</v>
      </c>
      <c r="G2331" s="358" t="s">
        <v>480</v>
      </c>
      <c r="H2331" s="35" t="s">
        <v>206</v>
      </c>
      <c r="I2331" s="35">
        <f>K2326</f>
        <v>138.55882352941174</v>
      </c>
      <c r="J2331" s="360" t="s">
        <v>480</v>
      </c>
      <c r="K2331" s="35">
        <f>I2331*F2331</f>
        <v>277.11764705882348</v>
      </c>
      <c r="W2331" s="361"/>
    </row>
    <row r="2332" spans="6:23" ht="15">
      <c r="H2332" s="35" t="s">
        <v>2575</v>
      </c>
      <c r="K2332" s="35">
        <f>SUM(K2329:K2331)</f>
        <v>412.58764705882345</v>
      </c>
      <c r="W2332" s="361"/>
    </row>
    <row r="2333" spans="6:23" ht="15.75">
      <c r="H2333" s="35" t="s">
        <v>2576</v>
      </c>
      <c r="K2333" s="411">
        <f>K2332/10</f>
        <v>41.258764705882342</v>
      </c>
      <c r="W2333" s="361"/>
    </row>
    <row r="2334" spans="6:23" ht="15">
      <c r="W2334" s="361"/>
    </row>
    <row r="2335" spans="6:23" ht="15.75">
      <c r="H2335" s="411" t="s">
        <v>2577</v>
      </c>
      <c r="N2335" s="358"/>
      <c r="O2335" s="411" t="s">
        <v>477</v>
      </c>
      <c r="Q2335" s="360"/>
      <c r="W2335" s="361"/>
    </row>
    <row r="2336" spans="6:23" ht="15.75">
      <c r="F2336" s="35">
        <v>0.25</v>
      </c>
      <c r="G2336" s="358" t="s">
        <v>482</v>
      </c>
      <c r="H2336" s="35" t="s">
        <v>2578</v>
      </c>
      <c r="I2336" s="35">
        <f>C11</f>
        <v>1118.3999999999999</v>
      </c>
      <c r="J2336" s="360" t="s">
        <v>194</v>
      </c>
      <c r="K2336" s="35">
        <f>I2336*F2336</f>
        <v>279.59999999999997</v>
      </c>
      <c r="M2336" s="35">
        <v>15</v>
      </c>
      <c r="N2336" s="358" t="s">
        <v>478</v>
      </c>
      <c r="O2336" s="579" t="s">
        <v>479</v>
      </c>
      <c r="P2336" s="448">
        <v>160.25</v>
      </c>
      <c r="Q2336" s="360" t="s">
        <v>478</v>
      </c>
      <c r="R2336" s="35">
        <f>P2336*M2336</f>
        <v>2403.75</v>
      </c>
      <c r="W2336" s="361"/>
    </row>
    <row r="2337" spans="4:23" ht="15">
      <c r="F2337" s="35">
        <v>1</v>
      </c>
      <c r="G2337" s="358" t="s">
        <v>482</v>
      </c>
      <c r="H2337" s="35" t="s">
        <v>483</v>
      </c>
      <c r="I2337" s="35">
        <f>C12</f>
        <v>781.19999999999993</v>
      </c>
      <c r="J2337" s="360" t="s">
        <v>194</v>
      </c>
      <c r="K2337" s="35">
        <f>I2337*F2337</f>
        <v>781.19999999999993</v>
      </c>
      <c r="M2337" s="35">
        <v>0.5</v>
      </c>
      <c r="N2337" s="358" t="s">
        <v>480</v>
      </c>
      <c r="O2337" s="35" t="s">
        <v>481</v>
      </c>
      <c r="P2337" s="35">
        <f>C145/1000</f>
        <v>56.35</v>
      </c>
      <c r="Q2337" s="360" t="s">
        <v>480</v>
      </c>
      <c r="R2337" s="35">
        <f>P2337*M2337</f>
        <v>28.175000000000001</v>
      </c>
      <c r="W2337" s="361"/>
    </row>
    <row r="2338" spans="4:23" ht="15">
      <c r="G2338" s="360" t="s">
        <v>128</v>
      </c>
      <c r="H2338" s="35" t="s">
        <v>2579</v>
      </c>
      <c r="I2338" s="35">
        <f>SUM(K2336:K2337)*10/100</f>
        <v>106.08</v>
      </c>
      <c r="J2338" s="360" t="s">
        <v>128</v>
      </c>
      <c r="K2338" s="35">
        <f>I2338</f>
        <v>106.08</v>
      </c>
      <c r="M2338" s="35">
        <v>0.5</v>
      </c>
      <c r="N2338" s="358" t="s">
        <v>482</v>
      </c>
      <c r="O2338" s="35" t="s">
        <v>193</v>
      </c>
      <c r="P2338" s="35">
        <f>C17</f>
        <v>1057.2</v>
      </c>
      <c r="Q2338" s="360" t="s">
        <v>480</v>
      </c>
      <c r="R2338" s="35">
        <f>P2338*M2338</f>
        <v>528.6</v>
      </c>
      <c r="W2338" s="361"/>
    </row>
    <row r="2339" spans="4:23" ht="15">
      <c r="H2339" s="35" t="s">
        <v>2580</v>
      </c>
      <c r="K2339" s="35">
        <f>SUM(K2336:K2338)</f>
        <v>1166.8799999999999</v>
      </c>
      <c r="M2339" s="35">
        <v>0.5</v>
      </c>
      <c r="N2339" s="358" t="s">
        <v>482</v>
      </c>
      <c r="O2339" s="35" t="s">
        <v>483</v>
      </c>
      <c r="P2339" s="35">
        <f>C12</f>
        <v>781.19999999999993</v>
      </c>
      <c r="Q2339" s="360" t="s">
        <v>480</v>
      </c>
      <c r="R2339" s="35">
        <f>P2339*M2339</f>
        <v>390.59999999999997</v>
      </c>
      <c r="W2339" s="361"/>
    </row>
    <row r="2340" spans="4:23" ht="15.75">
      <c r="H2340" s="35" t="s">
        <v>2581</v>
      </c>
      <c r="K2340" s="411">
        <f>K2339/2.44</f>
        <v>478.22950819672127</v>
      </c>
      <c r="N2340" s="358"/>
      <c r="O2340" s="35" t="s">
        <v>484</v>
      </c>
      <c r="Q2340" s="360"/>
      <c r="R2340" s="35">
        <f>SUM(R2336:R2339)</f>
        <v>3351.125</v>
      </c>
      <c r="W2340" s="361"/>
    </row>
    <row r="2341" spans="4:23" ht="15.75">
      <c r="K2341" s="35">
        <v>0</v>
      </c>
      <c r="O2341" s="411" t="s">
        <v>485</v>
      </c>
      <c r="Q2341" s="360"/>
      <c r="R2341" s="411">
        <f>R2340/15</f>
        <v>223.40833333333333</v>
      </c>
      <c r="W2341" s="361"/>
    </row>
    <row r="2342" spans="4:23" ht="15.75">
      <c r="H2342" s="411" t="s">
        <v>2582</v>
      </c>
      <c r="W2342" s="361"/>
    </row>
    <row r="2343" spans="4:23" ht="15">
      <c r="F2343" s="36">
        <v>7.0999999999999994E-2</v>
      </c>
      <c r="G2343" s="358" t="s">
        <v>2583</v>
      </c>
      <c r="H2343" s="35" t="s">
        <v>2584</v>
      </c>
      <c r="I2343" s="35">
        <f>Z690</f>
        <v>9394.3075183500005</v>
      </c>
      <c r="J2343" s="360" t="s">
        <v>2585</v>
      </c>
      <c r="K2343" s="35">
        <f>I2343*F2343</f>
        <v>666.99583380285003</v>
      </c>
      <c r="W2343" s="361"/>
    </row>
    <row r="2344" spans="4:23" ht="15">
      <c r="F2344" s="35">
        <v>1</v>
      </c>
      <c r="G2344" s="358" t="s">
        <v>452</v>
      </c>
      <c r="H2344" s="35" t="s">
        <v>315</v>
      </c>
      <c r="I2344" s="35">
        <f>K2340</f>
        <v>478.22950819672127</v>
      </c>
      <c r="J2344" s="360" t="s">
        <v>452</v>
      </c>
      <c r="K2344" s="35">
        <f>I2344*F2344</f>
        <v>478.22950819672127</v>
      </c>
      <c r="W2344" s="361"/>
    </row>
    <row r="2345" spans="4:23" ht="15.75">
      <c r="F2345" s="35" t="s">
        <v>114</v>
      </c>
      <c r="H2345" s="35" t="s">
        <v>2586</v>
      </c>
      <c r="K2345" s="411">
        <f>SUM(K2343:K2344)</f>
        <v>1145.2253419995714</v>
      </c>
      <c r="N2345" s="358"/>
      <c r="O2345" s="691" t="s">
        <v>2587</v>
      </c>
      <c r="P2345" s="692"/>
      <c r="Q2345" s="692"/>
      <c r="W2345" s="361"/>
    </row>
    <row r="2346" spans="4:23" ht="15">
      <c r="M2346" s="35">
        <v>0.47</v>
      </c>
      <c r="N2346" s="358" t="s">
        <v>793</v>
      </c>
      <c r="O2346" s="35" t="s">
        <v>2331</v>
      </c>
      <c r="P2346" s="35">
        <f>K92</f>
        <v>268.92</v>
      </c>
      <c r="Q2346" s="360" t="s">
        <v>194</v>
      </c>
      <c r="R2346" s="35">
        <f>P2346*M2346</f>
        <v>126.39239999999999</v>
      </c>
      <c r="W2346" s="361"/>
    </row>
    <row r="2347" spans="4:23" ht="15">
      <c r="M2347" s="35">
        <v>2</v>
      </c>
      <c r="R2347" s="35">
        <f>P2347*M2347</f>
        <v>0</v>
      </c>
      <c r="W2347" s="361"/>
    </row>
    <row r="2348" spans="4:23" ht="31.5">
      <c r="H2348" s="693" t="s">
        <v>2588</v>
      </c>
      <c r="K2348" s="36"/>
      <c r="M2348" s="35">
        <v>0.24</v>
      </c>
      <c r="N2348" s="358" t="s">
        <v>793</v>
      </c>
      <c r="O2348" s="35" t="s">
        <v>2589</v>
      </c>
      <c r="P2348" s="35">
        <f>AE15</f>
        <v>1460.08</v>
      </c>
      <c r="Q2348" s="360" t="s">
        <v>194</v>
      </c>
      <c r="R2348" s="35">
        <f>P2348*M2348</f>
        <v>350.41919999999999</v>
      </c>
      <c r="S2348" s="36" t="s">
        <v>2590</v>
      </c>
      <c r="W2348" s="361"/>
    </row>
    <row r="2349" spans="4:23" ht="47.25">
      <c r="D2349" s="35">
        <f>24/5</f>
        <v>4.8</v>
      </c>
      <c r="F2349" s="35">
        <v>98.5</v>
      </c>
      <c r="G2349" s="533" t="s">
        <v>110</v>
      </c>
      <c r="H2349" s="694" t="s">
        <v>2591</v>
      </c>
      <c r="I2349" s="695">
        <f>25.2/5</f>
        <v>5.04</v>
      </c>
      <c r="J2349" s="360" t="s">
        <v>110</v>
      </c>
      <c r="K2349" s="35">
        <f>I2349*F2349</f>
        <v>496.44</v>
      </c>
      <c r="M2349" s="35">
        <v>0.79</v>
      </c>
      <c r="N2349" s="360" t="s">
        <v>262</v>
      </c>
      <c r="O2349" s="502" t="s">
        <v>2592</v>
      </c>
      <c r="P2349" s="35">
        <f>AF561</f>
        <v>1974.6019186413189</v>
      </c>
      <c r="Q2349" s="360" t="s">
        <v>128</v>
      </c>
      <c r="R2349" s="35">
        <f>P2349*M2349</f>
        <v>1559.9355157266421</v>
      </c>
      <c r="S2349" s="36" t="s">
        <v>2593</v>
      </c>
      <c r="W2349" s="361"/>
    </row>
    <row r="2350" spans="4:23" ht="15">
      <c r="F2350" s="35">
        <v>0.3</v>
      </c>
      <c r="G2350" s="358" t="s">
        <v>110</v>
      </c>
      <c r="H2350" s="35" t="s">
        <v>1772</v>
      </c>
      <c r="I2350" s="35">
        <f>C16</f>
        <v>1171.2</v>
      </c>
      <c r="J2350" s="360" t="s">
        <v>194</v>
      </c>
      <c r="K2350" s="35">
        <f>I2350*F2350</f>
        <v>351.36</v>
      </c>
      <c r="M2350" s="35">
        <v>0.24</v>
      </c>
      <c r="N2350" s="358" t="s">
        <v>793</v>
      </c>
      <c r="O2350" s="35" t="s">
        <v>1017</v>
      </c>
      <c r="P2350" s="35">
        <f>I142</f>
        <v>1779.13</v>
      </c>
      <c r="Q2350" s="360"/>
      <c r="R2350" s="35">
        <f>P2350*M2350</f>
        <v>426.99119999999999</v>
      </c>
      <c r="W2350" s="361"/>
    </row>
    <row r="2351" spans="4:23" ht="15">
      <c r="F2351" s="35">
        <v>0.3</v>
      </c>
      <c r="G2351" s="35" t="s">
        <v>110</v>
      </c>
      <c r="H2351" s="35" t="s">
        <v>483</v>
      </c>
      <c r="I2351" s="35">
        <f>C12</f>
        <v>781.19999999999993</v>
      </c>
      <c r="J2351" s="360" t="s">
        <v>194</v>
      </c>
      <c r="K2351" s="35">
        <f>I2351*F2351</f>
        <v>234.35999999999996</v>
      </c>
      <c r="N2351" s="358"/>
      <c r="O2351" s="35" t="s">
        <v>331</v>
      </c>
      <c r="Q2351" s="360"/>
      <c r="R2351" s="35" t="s">
        <v>2594</v>
      </c>
      <c r="S2351" s="36" t="s">
        <v>2595</v>
      </c>
      <c r="W2351" s="361"/>
    </row>
    <row r="2352" spans="4:23" ht="15.75">
      <c r="H2352" s="35" t="s">
        <v>2596</v>
      </c>
      <c r="K2352" s="35">
        <v>0.9</v>
      </c>
      <c r="R2352" s="411">
        <f>SUM(R2346:R2350)</f>
        <v>2463.7383157266422</v>
      </c>
      <c r="W2352" s="361"/>
    </row>
    <row r="2353" spans="6:23" ht="15.75">
      <c r="H2353" s="411" t="s">
        <v>2597</v>
      </c>
      <c r="K2353" s="411">
        <f>SUM(K2349:K2352)</f>
        <v>1083.06</v>
      </c>
      <c r="R2353" s="35" t="s">
        <v>2598</v>
      </c>
      <c r="W2353" s="361"/>
    </row>
    <row r="2354" spans="6:23" ht="15.75">
      <c r="H2354" s="411" t="s">
        <v>2599</v>
      </c>
      <c r="K2354" s="411">
        <f>K2353/10</f>
        <v>108.306</v>
      </c>
      <c r="R2354" s="35">
        <v>0</v>
      </c>
      <c r="W2354" s="361"/>
    </row>
    <row r="2355" spans="6:23" ht="15.75">
      <c r="H2355" s="411" t="s">
        <v>2600</v>
      </c>
      <c r="K2355" s="411">
        <f>K2354/3</f>
        <v>36.101999999999997</v>
      </c>
      <c r="N2355" s="358"/>
      <c r="O2355" s="691" t="s">
        <v>2601</v>
      </c>
      <c r="P2355" s="692"/>
      <c r="Q2355" s="692"/>
      <c r="W2355" s="361"/>
    </row>
    <row r="2356" spans="6:23" ht="15.75">
      <c r="G2356" s="580" t="s">
        <v>429</v>
      </c>
      <c r="H2356" s="534" t="s">
        <v>430</v>
      </c>
      <c r="I2356" s="411">
        <f>I2358-K2354</f>
        <v>999.92454999999995</v>
      </c>
      <c r="K2356" s="411"/>
      <c r="M2356" s="35">
        <v>1</v>
      </c>
      <c r="N2356" s="358" t="s">
        <v>793</v>
      </c>
      <c r="O2356" s="35" t="s">
        <v>315</v>
      </c>
      <c r="P2356" s="35">
        <f>R2367</f>
        <v>478.22950819672127</v>
      </c>
      <c r="Q2356" s="360" t="s">
        <v>194</v>
      </c>
      <c r="R2356" s="35">
        <f>P2356*M2356</f>
        <v>478.22950819672127</v>
      </c>
      <c r="W2356" s="361"/>
    </row>
    <row r="2357" spans="6:23" ht="15.75">
      <c r="G2357" s="455"/>
      <c r="H2357" s="534"/>
      <c r="I2357" s="411"/>
      <c r="K2357" s="411"/>
      <c r="M2357" s="36">
        <v>7.0999999999999994E-2</v>
      </c>
      <c r="N2357" s="358" t="s">
        <v>793</v>
      </c>
      <c r="O2357" s="35" t="s">
        <v>2589</v>
      </c>
      <c r="P2357" s="35">
        <f>P2348</f>
        <v>1460.08</v>
      </c>
      <c r="Q2357" s="360" t="s">
        <v>194</v>
      </c>
      <c r="R2357" s="35">
        <f>P2357*M2357</f>
        <v>103.66567999999998</v>
      </c>
      <c r="W2357" s="361"/>
    </row>
    <row r="2358" spans="6:23" ht="15.75">
      <c r="G2358" s="580" t="s">
        <v>431</v>
      </c>
      <c r="H2358" s="534" t="s">
        <v>432</v>
      </c>
      <c r="I2358" s="411">
        <f>K772</f>
        <v>1108.23055</v>
      </c>
      <c r="K2358" s="411"/>
      <c r="R2358" s="35" t="s">
        <v>2594</v>
      </c>
      <c r="W2358" s="361"/>
    </row>
    <row r="2359" spans="6:23" ht="15.75">
      <c r="G2359" s="455"/>
      <c r="H2359" s="534"/>
      <c r="I2359" s="411"/>
      <c r="K2359" s="411"/>
      <c r="N2359" s="360"/>
      <c r="Q2359" s="360"/>
      <c r="R2359" s="411">
        <f>SUM(R2356:R2357)</f>
        <v>581.89518819672128</v>
      </c>
      <c r="W2359" s="361"/>
    </row>
    <row r="2360" spans="6:23" ht="31.5">
      <c r="G2360" s="696" t="s">
        <v>433</v>
      </c>
      <c r="H2360" s="697" t="s">
        <v>434</v>
      </c>
      <c r="I2360" s="411">
        <f>I2358*1.2</f>
        <v>1329.8766599999999</v>
      </c>
      <c r="K2360" s="411"/>
      <c r="N2360" s="358"/>
      <c r="Q2360" s="360"/>
      <c r="R2360" s="35" t="s">
        <v>2594</v>
      </c>
      <c r="W2360" s="361"/>
    </row>
    <row r="2361" spans="6:23" ht="15.75">
      <c r="G2361" s="580"/>
      <c r="H2361" s="534"/>
      <c r="K2361" s="411"/>
      <c r="M2361" s="35">
        <v>0.25</v>
      </c>
      <c r="N2361" s="358" t="s">
        <v>292</v>
      </c>
      <c r="O2361" s="35" t="s">
        <v>2602</v>
      </c>
      <c r="P2361" s="35">
        <f>AG10</f>
        <v>1118.3999999999999</v>
      </c>
      <c r="Q2361" s="360"/>
      <c r="R2361" s="35">
        <f>P2361*M2361</f>
        <v>279.59999999999997</v>
      </c>
      <c r="W2361" s="361"/>
    </row>
    <row r="2362" spans="6:23" ht="15.75">
      <c r="G2362" s="580" t="s">
        <v>435</v>
      </c>
      <c r="H2362" s="534" t="s">
        <v>436</v>
      </c>
      <c r="I2362" s="411">
        <f>I2358*1.1</f>
        <v>1219.0536050000001</v>
      </c>
      <c r="K2362" s="411"/>
      <c r="M2362" s="35">
        <v>1</v>
      </c>
      <c r="N2362" s="358" t="s">
        <v>292</v>
      </c>
      <c r="O2362" s="35" t="s">
        <v>2603</v>
      </c>
      <c r="P2362" s="35">
        <f>AG11</f>
        <v>781.19999999999993</v>
      </c>
      <c r="R2362" s="35">
        <f>P2362*M2362</f>
        <v>781.19999999999993</v>
      </c>
      <c r="W2362" s="361"/>
    </row>
    <row r="2363" spans="6:23" ht="15.75">
      <c r="H2363" s="534"/>
      <c r="K2363" s="411"/>
      <c r="M2363" s="35">
        <v>1</v>
      </c>
      <c r="N2363" s="35" t="s">
        <v>292</v>
      </c>
      <c r="O2363" s="40" t="s">
        <v>2604</v>
      </c>
      <c r="P2363" s="35" t="s">
        <v>265</v>
      </c>
      <c r="R2363" s="35">
        <f>(R2361+R2362)*10%</f>
        <v>106.08</v>
      </c>
      <c r="W2363" s="361"/>
    </row>
    <row r="2364" spans="6:23" ht="15">
      <c r="R2364" s="35" t="s">
        <v>2594</v>
      </c>
      <c r="W2364" s="361"/>
    </row>
    <row r="2365" spans="6:23" ht="15.75">
      <c r="H2365" s="411" t="s">
        <v>2605</v>
      </c>
      <c r="R2365" s="411">
        <f>SUM(R2361:R2363)</f>
        <v>1166.8799999999999</v>
      </c>
      <c r="W2365" s="361"/>
    </row>
    <row r="2366" spans="6:23" ht="15.75">
      <c r="F2366" s="35">
        <v>11.5</v>
      </c>
      <c r="G2366" s="358" t="s">
        <v>262</v>
      </c>
      <c r="H2366" s="495" t="s">
        <v>2606</v>
      </c>
      <c r="I2366" s="698">
        <v>170.15</v>
      </c>
      <c r="J2366" s="360" t="s">
        <v>262</v>
      </c>
      <c r="K2366" s="35">
        <f t="shared" ref="K2366:K2371" si="251">F2366*I2366</f>
        <v>1956.7250000000001</v>
      </c>
      <c r="R2366" s="35" t="s">
        <v>2594</v>
      </c>
      <c r="W2366" s="361"/>
    </row>
    <row r="2367" spans="6:23" ht="15.75">
      <c r="F2367" s="35">
        <v>2</v>
      </c>
      <c r="G2367" s="358" t="s">
        <v>2607</v>
      </c>
      <c r="H2367" s="495" t="s">
        <v>2608</v>
      </c>
      <c r="I2367" s="698">
        <v>196.45</v>
      </c>
      <c r="J2367" s="360" t="s">
        <v>2609</v>
      </c>
      <c r="K2367" s="35">
        <f t="shared" si="251"/>
        <v>392.9</v>
      </c>
      <c r="R2367" s="35">
        <f>R2365/2.44</f>
        <v>478.22950819672127</v>
      </c>
      <c r="W2367" s="361"/>
    </row>
    <row r="2368" spans="6:23" ht="15.75">
      <c r="F2368" s="35">
        <v>20</v>
      </c>
      <c r="G2368" s="358" t="s">
        <v>2610</v>
      </c>
      <c r="H2368" s="699" t="s">
        <v>2611</v>
      </c>
      <c r="I2368" s="698">
        <v>3.91</v>
      </c>
      <c r="J2368" s="360" t="s">
        <v>2610</v>
      </c>
      <c r="K2368" s="35">
        <f t="shared" si="251"/>
        <v>78.2</v>
      </c>
      <c r="W2368" s="361"/>
    </row>
    <row r="2369" spans="6:23" ht="15">
      <c r="F2369" s="35">
        <v>2.2000000000000002</v>
      </c>
      <c r="G2369" s="358" t="s">
        <v>292</v>
      </c>
      <c r="H2369" s="35" t="s">
        <v>2612</v>
      </c>
      <c r="I2369" s="35">
        <f>AG18</f>
        <v>1027.2</v>
      </c>
      <c r="J2369" s="360" t="s">
        <v>194</v>
      </c>
      <c r="K2369" s="35">
        <f t="shared" si="251"/>
        <v>2259.84</v>
      </c>
      <c r="W2369" s="361"/>
    </row>
    <row r="2370" spans="6:23" ht="15">
      <c r="F2370" s="35">
        <v>1.1000000000000001</v>
      </c>
      <c r="G2370" s="358" t="s">
        <v>292</v>
      </c>
      <c r="H2370" s="35" t="s">
        <v>2613</v>
      </c>
      <c r="I2370" s="35">
        <f>C16</f>
        <v>1171.2</v>
      </c>
      <c r="J2370" s="360" t="s">
        <v>194</v>
      </c>
      <c r="K2370" s="35">
        <f t="shared" si="251"/>
        <v>1288.3200000000002</v>
      </c>
      <c r="W2370" s="361"/>
    </row>
    <row r="2371" spans="6:23" ht="15">
      <c r="F2371" s="35">
        <v>3.2</v>
      </c>
      <c r="G2371" s="358" t="s">
        <v>292</v>
      </c>
      <c r="H2371" s="35" t="s">
        <v>2614</v>
      </c>
      <c r="I2371" s="35">
        <f>C12</f>
        <v>781.19999999999993</v>
      </c>
      <c r="J2371" s="360" t="s">
        <v>194</v>
      </c>
      <c r="K2371" s="35">
        <f t="shared" si="251"/>
        <v>2499.84</v>
      </c>
      <c r="O2371" s="361"/>
      <c r="W2371" s="361"/>
    </row>
    <row r="2372" spans="6:23" ht="15.75">
      <c r="H2372" s="35" t="s">
        <v>2615</v>
      </c>
      <c r="J2372" s="360" t="s">
        <v>128</v>
      </c>
      <c r="K2372" s="35">
        <v>0.5</v>
      </c>
      <c r="N2372" s="358"/>
      <c r="O2372" s="437" t="s">
        <v>2616</v>
      </c>
      <c r="Q2372" s="360"/>
      <c r="W2372" s="361"/>
    </row>
    <row r="2373" spans="6:23" ht="15.75">
      <c r="K2373" s="415" t="s">
        <v>1992</v>
      </c>
      <c r="M2373" s="35">
        <v>11</v>
      </c>
      <c r="N2373" s="358" t="s">
        <v>262</v>
      </c>
      <c r="O2373" s="534" t="s">
        <v>2617</v>
      </c>
      <c r="P2373" s="396">
        <f>I2366</f>
        <v>170.15</v>
      </c>
      <c r="Q2373" s="360" t="s">
        <v>262</v>
      </c>
      <c r="R2373" s="35">
        <f>M2373*P2373</f>
        <v>1871.65</v>
      </c>
      <c r="W2373" s="361"/>
    </row>
    <row r="2374" spans="6:23" ht="15.75">
      <c r="H2374" s="437" t="s">
        <v>2618</v>
      </c>
      <c r="K2374" s="411">
        <f>SUM(K2366:K2373)</f>
        <v>8476.3250000000007</v>
      </c>
      <c r="M2374" s="35">
        <v>20</v>
      </c>
      <c r="N2374" s="360" t="s">
        <v>2279</v>
      </c>
      <c r="O2374" s="534" t="s">
        <v>2619</v>
      </c>
      <c r="P2374" s="396">
        <f>I2368</f>
        <v>3.91</v>
      </c>
      <c r="Q2374" s="360" t="s">
        <v>2279</v>
      </c>
      <c r="R2374" s="35">
        <f>M2374*P2374</f>
        <v>78.2</v>
      </c>
      <c r="W2374" s="361"/>
    </row>
    <row r="2375" spans="6:23" ht="15">
      <c r="K2375" s="415" t="s">
        <v>1992</v>
      </c>
      <c r="M2375" s="35">
        <v>2.2000000000000002</v>
      </c>
      <c r="N2375" s="358" t="s">
        <v>292</v>
      </c>
      <c r="O2375" s="35" t="s">
        <v>2612</v>
      </c>
      <c r="P2375" s="35">
        <f>AG18</f>
        <v>1027.2</v>
      </c>
      <c r="Q2375" s="360" t="s">
        <v>194</v>
      </c>
      <c r="R2375" s="35">
        <f>M2375*P2375</f>
        <v>2259.84</v>
      </c>
      <c r="W2375" s="361"/>
    </row>
    <row r="2376" spans="6:23" ht="15.75">
      <c r="H2376" s="437" t="s">
        <v>2319</v>
      </c>
      <c r="I2376" s="35" t="s">
        <v>114</v>
      </c>
      <c r="K2376" s="411">
        <f>K2374/10</f>
        <v>847.63250000000005</v>
      </c>
      <c r="M2376" s="35">
        <v>1.1000000000000001</v>
      </c>
      <c r="N2376" s="358" t="s">
        <v>292</v>
      </c>
      <c r="O2376" s="35" t="s">
        <v>2613</v>
      </c>
      <c r="P2376" s="35">
        <f>I2370</f>
        <v>1171.2</v>
      </c>
      <c r="Q2376" s="360" t="s">
        <v>194</v>
      </c>
      <c r="R2376" s="35">
        <f>M2376*P2376</f>
        <v>1288.3200000000002</v>
      </c>
      <c r="W2376" s="361"/>
    </row>
    <row r="2377" spans="6:23" ht="15">
      <c r="K2377" s="415" t="s">
        <v>1992</v>
      </c>
      <c r="M2377" s="35">
        <v>3.2</v>
      </c>
      <c r="N2377" s="358" t="s">
        <v>292</v>
      </c>
      <c r="O2377" s="35" t="s">
        <v>2614</v>
      </c>
      <c r="P2377" s="35">
        <f>I2371</f>
        <v>781.19999999999993</v>
      </c>
      <c r="Q2377" s="360" t="s">
        <v>194</v>
      </c>
      <c r="R2377" s="35">
        <f>M2377*P2377</f>
        <v>2499.84</v>
      </c>
      <c r="W2377" s="361"/>
    </row>
    <row r="2378" spans="6:23" ht="15">
      <c r="N2378" s="358"/>
      <c r="O2378" s="35" t="s">
        <v>2615</v>
      </c>
      <c r="Q2378" s="360" t="s">
        <v>265</v>
      </c>
      <c r="R2378" s="35">
        <v>0.74</v>
      </c>
      <c r="W2378" s="361"/>
    </row>
    <row r="2379" spans="6:23" ht="15">
      <c r="W2379" s="361"/>
    </row>
    <row r="2380" spans="6:23" ht="31.5">
      <c r="G2380" s="35"/>
      <c r="H2380" s="700" t="s">
        <v>2620</v>
      </c>
      <c r="N2380" s="358"/>
      <c r="Q2380" s="360"/>
      <c r="R2380" s="415" t="s">
        <v>1992</v>
      </c>
      <c r="W2380" s="361"/>
    </row>
    <row r="2381" spans="6:23" ht="15.75">
      <c r="G2381" s="35"/>
      <c r="N2381" s="358"/>
      <c r="O2381" s="437" t="s">
        <v>2618</v>
      </c>
      <c r="Q2381" s="360"/>
      <c r="R2381" s="411">
        <f>SUM(R2373:R2380)</f>
        <v>7998.59</v>
      </c>
      <c r="W2381" s="361"/>
    </row>
    <row r="2382" spans="6:23" ht="15">
      <c r="F2382" s="35" t="s">
        <v>931</v>
      </c>
      <c r="G2382" s="35"/>
      <c r="H2382" s="35" t="s">
        <v>2621</v>
      </c>
      <c r="N2382" s="358"/>
      <c r="Q2382" s="360"/>
      <c r="R2382" s="415" t="s">
        <v>1992</v>
      </c>
      <c r="W2382" s="361"/>
    </row>
    <row r="2383" spans="6:23" ht="15.75">
      <c r="G2383" s="35"/>
      <c r="H2383" s="35" t="s">
        <v>2622</v>
      </c>
      <c r="N2383" s="358"/>
      <c r="O2383" s="437" t="s">
        <v>2623</v>
      </c>
      <c r="Q2383" s="360"/>
      <c r="R2383" s="411">
        <f>R2381/10</f>
        <v>799.85900000000004</v>
      </c>
      <c r="W2383" s="361"/>
    </row>
    <row r="2384" spans="6:23" ht="15">
      <c r="G2384" s="35"/>
      <c r="N2384" s="358"/>
      <c r="Q2384" s="360"/>
      <c r="R2384" s="415" t="s">
        <v>1992</v>
      </c>
      <c r="W2384" s="361"/>
    </row>
    <row r="2385" spans="5:23" ht="15">
      <c r="F2385" s="35">
        <v>1.96</v>
      </c>
      <c r="G2385" s="35" t="s">
        <v>793</v>
      </c>
      <c r="H2385" s="35" t="s">
        <v>2624</v>
      </c>
      <c r="I2385" s="35">
        <f>K1715</f>
        <v>6418.5467399999998</v>
      </c>
      <c r="J2385" s="356" t="s">
        <v>108</v>
      </c>
      <c r="K2385" s="370">
        <f t="shared" ref="K2385:K2390" si="252">(F2385*I2385)</f>
        <v>12580.351610399999</v>
      </c>
      <c r="W2385" s="361"/>
    </row>
    <row r="2386" spans="5:23" ht="15">
      <c r="F2386" s="35">
        <v>2</v>
      </c>
      <c r="G2386" s="35" t="s">
        <v>292</v>
      </c>
      <c r="H2386" s="35" t="s">
        <v>2625</v>
      </c>
      <c r="I2386" s="35">
        <f>C10</f>
        <v>1198.8</v>
      </c>
      <c r="J2386" s="356" t="s">
        <v>151</v>
      </c>
      <c r="K2386" s="370">
        <f t="shared" si="252"/>
        <v>2397.6</v>
      </c>
      <c r="W2386" s="361"/>
    </row>
    <row r="2387" spans="5:23" ht="15">
      <c r="F2387" s="35">
        <v>2</v>
      </c>
      <c r="G2387" s="35" t="s">
        <v>292</v>
      </c>
      <c r="H2387" s="35" t="s">
        <v>2626</v>
      </c>
      <c r="I2387" s="35">
        <f>C13</f>
        <v>640.79999999999995</v>
      </c>
      <c r="J2387" s="356" t="s">
        <v>151</v>
      </c>
      <c r="K2387" s="370">
        <f t="shared" si="252"/>
        <v>1281.5999999999999</v>
      </c>
      <c r="N2387" s="368" t="s">
        <v>122</v>
      </c>
      <c r="Q2387" s="360"/>
      <c r="W2387" s="361"/>
    </row>
    <row r="2388" spans="5:23" ht="15.75">
      <c r="F2388" s="35">
        <v>0.28000000000000003</v>
      </c>
      <c r="G2388" s="35" t="s">
        <v>262</v>
      </c>
      <c r="H2388" s="35" t="s">
        <v>2627</v>
      </c>
      <c r="I2388" s="35">
        <f>I2356</f>
        <v>999.92454999999995</v>
      </c>
      <c r="J2388" s="356" t="s">
        <v>151</v>
      </c>
      <c r="K2388" s="370">
        <f t="shared" si="252"/>
        <v>279.97887400000002</v>
      </c>
      <c r="N2388" s="358"/>
      <c r="O2388" s="356" t="s">
        <v>2628</v>
      </c>
      <c r="Q2388" s="361"/>
      <c r="W2388" s="361"/>
    </row>
    <row r="2389" spans="5:23" ht="15">
      <c r="F2389" s="35">
        <v>500</v>
      </c>
      <c r="G2389" s="35" t="s">
        <v>292</v>
      </c>
      <c r="H2389" s="701" t="s">
        <v>2629</v>
      </c>
      <c r="I2389" s="35">
        <v>2</v>
      </c>
      <c r="J2389" s="356" t="s">
        <v>151</v>
      </c>
      <c r="K2389" s="370">
        <f t="shared" si="252"/>
        <v>1000</v>
      </c>
      <c r="N2389" s="358"/>
      <c r="O2389" s="356" t="s">
        <v>2630</v>
      </c>
      <c r="Q2389" s="361"/>
      <c r="W2389" s="361"/>
    </row>
    <row r="2390" spans="5:23" ht="15.75">
      <c r="F2390" s="35">
        <v>8.5</v>
      </c>
      <c r="G2390" s="35" t="s">
        <v>2631</v>
      </c>
      <c r="H2390" s="702" t="s">
        <v>2632</v>
      </c>
      <c r="I2390" s="496">
        <v>43.6</v>
      </c>
      <c r="J2390" s="360" t="s">
        <v>2631</v>
      </c>
      <c r="K2390" s="370">
        <f t="shared" si="252"/>
        <v>370.6</v>
      </c>
      <c r="N2390" s="358"/>
      <c r="O2390" s="356" t="s">
        <v>2633</v>
      </c>
      <c r="Q2390" s="361"/>
      <c r="W2390" s="361"/>
    </row>
    <row r="2391" spans="5:23" ht="15">
      <c r="G2391" s="35"/>
      <c r="H2391" s="35" t="s">
        <v>331</v>
      </c>
      <c r="K2391" s="498">
        <v>1.96</v>
      </c>
      <c r="N2391" s="358"/>
      <c r="O2391" s="356" t="s">
        <v>2634</v>
      </c>
      <c r="Q2391" s="361"/>
      <c r="W2391" s="361"/>
    </row>
    <row r="2392" spans="5:23" ht="15">
      <c r="G2392" s="35"/>
      <c r="I2392" s="35" t="s">
        <v>2635</v>
      </c>
      <c r="K2392" s="370">
        <f>SUM(K2385:K2391)</f>
        <v>17912.090484399996</v>
      </c>
      <c r="N2392" s="358"/>
      <c r="O2392" s="363" t="s">
        <v>117</v>
      </c>
      <c r="P2392" s="363" t="s">
        <v>117</v>
      </c>
      <c r="Q2392" s="361"/>
      <c r="R2392" s="370"/>
      <c r="W2392" s="361"/>
    </row>
    <row r="2393" spans="5:23" ht="15.75">
      <c r="G2393" s="35"/>
      <c r="K2393" s="363" t="s">
        <v>117</v>
      </c>
      <c r="M2393" s="35">
        <v>8</v>
      </c>
      <c r="N2393" s="368" t="s">
        <v>3</v>
      </c>
      <c r="O2393" s="356" t="s">
        <v>2636</v>
      </c>
      <c r="P2393" s="508">
        <v>4.0999999999999996</v>
      </c>
      <c r="Q2393" s="357" t="s">
        <v>194</v>
      </c>
      <c r="R2393" s="370">
        <f>P2393*M2393</f>
        <v>32.799999999999997</v>
      </c>
      <c r="W2393" s="361"/>
    </row>
    <row r="2394" spans="5:23" ht="15.75">
      <c r="E2394" s="35">
        <f>23+26.65</f>
        <v>49.65</v>
      </c>
      <c r="G2394" s="35"/>
      <c r="I2394" s="35" t="s">
        <v>485</v>
      </c>
      <c r="K2394" s="369">
        <f>K2392/39.2</f>
        <v>456.94108378571417</v>
      </c>
      <c r="M2394" s="35">
        <v>8</v>
      </c>
      <c r="N2394" s="368" t="s">
        <v>3</v>
      </c>
      <c r="O2394" s="356" t="s">
        <v>2637</v>
      </c>
      <c r="P2394" s="508">
        <v>3.69</v>
      </c>
      <c r="Q2394" s="357" t="s">
        <v>194</v>
      </c>
      <c r="R2394" s="370">
        <f>P2394*M2394</f>
        <v>29.52</v>
      </c>
      <c r="W2394" s="361"/>
    </row>
    <row r="2395" spans="5:23" ht="15.75">
      <c r="E2395" s="35">
        <f>E2394/2</f>
        <v>24.824999999999999</v>
      </c>
      <c r="G2395" s="35"/>
      <c r="K2395" s="363" t="s">
        <v>156</v>
      </c>
      <c r="M2395" s="35">
        <v>8</v>
      </c>
      <c r="N2395" s="368" t="s">
        <v>3</v>
      </c>
      <c r="O2395" s="356" t="s">
        <v>2638</v>
      </c>
      <c r="P2395" s="508">
        <v>4.0999999999999996</v>
      </c>
      <c r="Q2395" s="357" t="s">
        <v>194</v>
      </c>
      <c r="R2395" s="370">
        <f>P2395*M2395</f>
        <v>32.799999999999997</v>
      </c>
      <c r="W2395" s="361"/>
    </row>
    <row r="2396" spans="5:23" ht="15.75">
      <c r="G2396" s="35"/>
      <c r="M2396" s="35">
        <v>0.75</v>
      </c>
      <c r="N2396" s="368" t="s">
        <v>213</v>
      </c>
      <c r="O2396" s="356" t="s">
        <v>2639</v>
      </c>
      <c r="P2396" s="402">
        <v>176.4</v>
      </c>
      <c r="Q2396" s="357" t="s">
        <v>194</v>
      </c>
      <c r="R2396" s="370">
        <f t="shared" ref="R2396:R2401" si="253">(M2396*P2396)</f>
        <v>132.30000000000001</v>
      </c>
      <c r="W2396" s="361"/>
    </row>
    <row r="2397" spans="5:23" ht="15.75">
      <c r="G2397" s="35"/>
      <c r="M2397" s="35">
        <v>2.25</v>
      </c>
      <c r="N2397" s="368" t="s">
        <v>2640</v>
      </c>
      <c r="O2397" s="356" t="s">
        <v>2641</v>
      </c>
      <c r="P2397" s="402">
        <v>140.41</v>
      </c>
      <c r="Q2397" s="357" t="s">
        <v>2640</v>
      </c>
      <c r="R2397" s="370">
        <f t="shared" si="253"/>
        <v>315.92250000000001</v>
      </c>
      <c r="W2397" s="361"/>
    </row>
    <row r="2398" spans="5:23" ht="15.75">
      <c r="G2398" s="35"/>
      <c r="H2398" s="411" t="s">
        <v>114</v>
      </c>
      <c r="M2398" s="35">
        <v>4.5</v>
      </c>
      <c r="N2398" s="368" t="s">
        <v>2640</v>
      </c>
      <c r="O2398" s="356" t="s">
        <v>2642</v>
      </c>
      <c r="P2398" s="402">
        <v>65</v>
      </c>
      <c r="Q2398" s="357" t="s">
        <v>2640</v>
      </c>
      <c r="R2398" s="370">
        <f t="shared" si="253"/>
        <v>292.5</v>
      </c>
      <c r="W2398" s="361"/>
    </row>
    <row r="2399" spans="5:23" ht="30">
      <c r="F2399" s="35">
        <v>1</v>
      </c>
      <c r="G2399" s="35" t="s">
        <v>292</v>
      </c>
      <c r="H2399" s="703" t="s">
        <v>2643</v>
      </c>
      <c r="I2399" s="698">
        <v>454.5</v>
      </c>
      <c r="J2399" s="356" t="s">
        <v>151</v>
      </c>
      <c r="K2399" s="370">
        <f>(F2399*I2399)</f>
        <v>454.5</v>
      </c>
      <c r="M2399" s="35">
        <v>6</v>
      </c>
      <c r="N2399" s="368" t="s">
        <v>3</v>
      </c>
      <c r="O2399" s="356" t="s">
        <v>2644</v>
      </c>
      <c r="P2399" s="402">
        <v>8</v>
      </c>
      <c r="Q2399" s="357" t="s">
        <v>194</v>
      </c>
      <c r="R2399" s="370">
        <f t="shared" si="253"/>
        <v>48</v>
      </c>
      <c r="W2399" s="361"/>
    </row>
    <row r="2400" spans="5:23" ht="15.75">
      <c r="F2400" s="35">
        <v>0.25</v>
      </c>
      <c r="G2400" s="35" t="s">
        <v>292</v>
      </c>
      <c r="H2400" s="35" t="s">
        <v>2625</v>
      </c>
      <c r="I2400" s="35">
        <f>I2386</f>
        <v>1198.8</v>
      </c>
      <c r="J2400" s="356" t="s">
        <v>151</v>
      </c>
      <c r="K2400" s="370">
        <f>(F2400*I2400)</f>
        <v>299.7</v>
      </c>
      <c r="M2400" s="35">
        <v>6</v>
      </c>
      <c r="N2400" s="368" t="s">
        <v>3</v>
      </c>
      <c r="O2400" s="356" t="s">
        <v>2645</v>
      </c>
      <c r="P2400" s="402">
        <v>8.61</v>
      </c>
      <c r="Q2400" s="357" t="s">
        <v>194</v>
      </c>
      <c r="R2400" s="370">
        <f t="shared" si="253"/>
        <v>51.66</v>
      </c>
      <c r="W2400" s="361"/>
    </row>
    <row r="2401" spans="6:23" ht="15.75">
      <c r="F2401" s="35">
        <v>0.28000000000000003</v>
      </c>
      <c r="G2401" s="35" t="s">
        <v>262</v>
      </c>
      <c r="H2401" s="35" t="s">
        <v>483</v>
      </c>
      <c r="I2401" s="35">
        <f>C12</f>
        <v>781.19999999999993</v>
      </c>
      <c r="J2401" s="356" t="s">
        <v>151</v>
      </c>
      <c r="K2401" s="370">
        <f>(F2401*I2401)</f>
        <v>218.73599999999999</v>
      </c>
      <c r="M2401" s="35">
        <v>4</v>
      </c>
      <c r="N2401" s="368" t="s">
        <v>3</v>
      </c>
      <c r="O2401" s="356" t="s">
        <v>2646</v>
      </c>
      <c r="P2401" s="402">
        <v>8.61</v>
      </c>
      <c r="Q2401" s="357" t="s">
        <v>194</v>
      </c>
      <c r="R2401" s="370">
        <f t="shared" si="253"/>
        <v>34.44</v>
      </c>
      <c r="W2401" s="361"/>
    </row>
    <row r="2402" spans="6:23" ht="15.75">
      <c r="G2402" s="35"/>
      <c r="H2402" s="701"/>
      <c r="J2402" s="356"/>
      <c r="K2402" s="370"/>
      <c r="M2402" s="35">
        <v>300</v>
      </c>
      <c r="N2402" s="368" t="s">
        <v>2647</v>
      </c>
      <c r="O2402" s="356" t="s">
        <v>2648</v>
      </c>
      <c r="P2402" s="402">
        <v>30</v>
      </c>
      <c r="Q2402" s="357" t="s">
        <v>2649</v>
      </c>
      <c r="R2402" s="370">
        <f>P2402*M2402/100</f>
        <v>90</v>
      </c>
      <c r="W2402" s="361"/>
    </row>
    <row r="2403" spans="6:23" ht="15.75">
      <c r="G2403" s="35"/>
      <c r="K2403" s="370"/>
      <c r="M2403" s="35">
        <v>300</v>
      </c>
      <c r="N2403" s="368" t="s">
        <v>2647</v>
      </c>
      <c r="O2403" s="356" t="s">
        <v>2650</v>
      </c>
      <c r="P2403" s="402">
        <v>44.99</v>
      </c>
      <c r="Q2403" s="357" t="s">
        <v>2651</v>
      </c>
      <c r="R2403" s="370">
        <f>P2403*M2403/500</f>
        <v>26.994</v>
      </c>
      <c r="W2403" s="361"/>
    </row>
    <row r="2404" spans="6:23" ht="15.75">
      <c r="G2404" s="35"/>
      <c r="K2404" s="704" t="s">
        <v>1992</v>
      </c>
      <c r="M2404" s="35">
        <v>1.5</v>
      </c>
      <c r="N2404" s="368" t="s">
        <v>213</v>
      </c>
      <c r="O2404" s="356" t="s">
        <v>2652</v>
      </c>
      <c r="P2404" s="402">
        <v>20.95</v>
      </c>
      <c r="Q2404" s="357" t="s">
        <v>213</v>
      </c>
      <c r="R2404" s="370">
        <f>P2404*M2404</f>
        <v>31.424999999999997</v>
      </c>
      <c r="W2404" s="361"/>
    </row>
    <row r="2405" spans="6:23" ht="15.75">
      <c r="G2405" s="35"/>
      <c r="K2405" s="369">
        <f>SUM(K2399:K2404)</f>
        <v>972.93600000000004</v>
      </c>
      <c r="M2405" s="35">
        <v>2.25</v>
      </c>
      <c r="N2405" s="368" t="s">
        <v>2640</v>
      </c>
      <c r="O2405" s="356" t="s">
        <v>2653</v>
      </c>
      <c r="P2405" s="402">
        <v>212.41</v>
      </c>
      <c r="Q2405" s="357" t="s">
        <v>2640</v>
      </c>
      <c r="R2405" s="370">
        <f>(M2405*P2405)</f>
        <v>477.92250000000001</v>
      </c>
      <c r="W2405" s="361"/>
    </row>
    <row r="2406" spans="6:23" ht="15.75">
      <c r="G2406" s="35"/>
      <c r="K2406" s="704" t="s">
        <v>1992</v>
      </c>
      <c r="M2406" s="35">
        <v>0.75</v>
      </c>
      <c r="N2406" s="368" t="s">
        <v>2640</v>
      </c>
      <c r="O2406" s="356" t="s">
        <v>2654</v>
      </c>
      <c r="P2406" s="402">
        <v>205.21</v>
      </c>
      <c r="Q2406" s="357" t="s">
        <v>2640</v>
      </c>
      <c r="R2406" s="370">
        <f>(M2406*P2406)</f>
        <v>153.9075</v>
      </c>
      <c r="W2406" s="361"/>
    </row>
    <row r="2407" spans="6:23" ht="15.75">
      <c r="G2407" s="35"/>
      <c r="K2407" s="370"/>
      <c r="M2407" s="35">
        <v>2.25</v>
      </c>
      <c r="N2407" s="368" t="s">
        <v>2640</v>
      </c>
      <c r="O2407" s="356" t="s">
        <v>2655</v>
      </c>
      <c r="P2407" s="402">
        <v>185.21</v>
      </c>
      <c r="Q2407" s="357" t="s">
        <v>2640</v>
      </c>
      <c r="R2407" s="370">
        <f>(M2407*P2407)</f>
        <v>416.72250000000003</v>
      </c>
      <c r="W2407" s="361"/>
    </row>
    <row r="2408" spans="6:23" ht="15.75">
      <c r="G2408" s="35"/>
      <c r="M2408" s="35">
        <v>500</v>
      </c>
      <c r="N2408" s="368" t="s">
        <v>2647</v>
      </c>
      <c r="O2408" s="356" t="s">
        <v>2656</v>
      </c>
      <c r="P2408" s="402">
        <v>52.25</v>
      </c>
      <c r="Q2408" s="357" t="s">
        <v>213</v>
      </c>
      <c r="R2408" s="370">
        <f>(M2408*P2408)/1000</f>
        <v>26.125</v>
      </c>
      <c r="W2408" s="361"/>
    </row>
    <row r="2409" spans="6:23" ht="15.75">
      <c r="G2409" s="35"/>
      <c r="H2409" s="411" t="s">
        <v>2657</v>
      </c>
      <c r="M2409" s="35">
        <v>1</v>
      </c>
      <c r="N2409" s="368" t="s">
        <v>3</v>
      </c>
      <c r="O2409" s="356" t="s">
        <v>2658</v>
      </c>
      <c r="P2409" s="402">
        <v>131.21</v>
      </c>
      <c r="Q2409" s="361" t="s">
        <v>2659</v>
      </c>
      <c r="R2409" s="381">
        <f>P2409/1</f>
        <v>131.21</v>
      </c>
      <c r="W2409" s="361"/>
    </row>
    <row r="2410" spans="6:23" ht="15.75">
      <c r="F2410" s="35">
        <v>1</v>
      </c>
      <c r="G2410" s="35" t="s">
        <v>292</v>
      </c>
      <c r="H2410" s="495" t="s">
        <v>2660</v>
      </c>
      <c r="I2410" s="35">
        <f>C621</f>
        <v>940</v>
      </c>
      <c r="J2410" s="356" t="s">
        <v>151</v>
      </c>
      <c r="K2410" s="370">
        <f>(F2410*I2410)</f>
        <v>940</v>
      </c>
      <c r="M2410" s="35">
        <v>1</v>
      </c>
      <c r="N2410" s="368" t="s">
        <v>3</v>
      </c>
      <c r="O2410" s="356" t="s">
        <v>2661</v>
      </c>
      <c r="P2410" s="402">
        <v>12.3</v>
      </c>
      <c r="Q2410" s="361" t="s">
        <v>2659</v>
      </c>
      <c r="R2410" s="381">
        <f>P2410/1</f>
        <v>12.3</v>
      </c>
      <c r="W2410" s="361"/>
    </row>
    <row r="2411" spans="6:23" ht="15">
      <c r="F2411" s="35">
        <v>0.5</v>
      </c>
      <c r="G2411" s="35" t="s">
        <v>292</v>
      </c>
      <c r="H2411" s="35" t="s">
        <v>2662</v>
      </c>
      <c r="I2411" s="35">
        <f>C15</f>
        <v>1039.2</v>
      </c>
      <c r="J2411" s="356" t="s">
        <v>151</v>
      </c>
      <c r="K2411" s="370">
        <f>(F2411*I2411)</f>
        <v>519.6</v>
      </c>
      <c r="M2411" s="35">
        <v>4</v>
      </c>
      <c r="N2411" s="368" t="s">
        <v>3</v>
      </c>
      <c r="O2411" s="450" t="s">
        <v>2663</v>
      </c>
      <c r="P2411" s="370">
        <f>AG13</f>
        <v>956.4</v>
      </c>
      <c r="Q2411" s="357" t="s">
        <v>194</v>
      </c>
      <c r="R2411" s="370">
        <f>(M2411*P2411)</f>
        <v>3825.6</v>
      </c>
      <c r="W2411" s="361"/>
    </row>
    <row r="2412" spans="6:23" ht="15">
      <c r="F2412" s="35">
        <v>0.5</v>
      </c>
      <c r="G2412" s="35" t="s">
        <v>292</v>
      </c>
      <c r="H2412" s="35" t="s">
        <v>2625</v>
      </c>
      <c r="I2412" s="35">
        <f>I2400</f>
        <v>1198.8</v>
      </c>
      <c r="J2412" s="356" t="s">
        <v>151</v>
      </c>
      <c r="K2412" s="370">
        <f>(F2412*I2412)</f>
        <v>599.4</v>
      </c>
      <c r="M2412" s="35">
        <v>2</v>
      </c>
      <c r="N2412" s="368" t="s">
        <v>3</v>
      </c>
      <c r="O2412" s="450" t="s">
        <v>2664</v>
      </c>
      <c r="P2412" s="370">
        <f>AG14</f>
        <v>926.4</v>
      </c>
      <c r="Q2412" s="357" t="s">
        <v>194</v>
      </c>
      <c r="R2412" s="370">
        <f>(M2412*P2412)</f>
        <v>1852.8</v>
      </c>
      <c r="W2412" s="361"/>
    </row>
    <row r="2413" spans="6:23" ht="15">
      <c r="F2413" s="35">
        <v>0.5</v>
      </c>
      <c r="G2413" s="35" t="s">
        <v>262</v>
      </c>
      <c r="H2413" s="35" t="s">
        <v>483</v>
      </c>
      <c r="I2413" s="35">
        <f>I2401</f>
        <v>781.19999999999993</v>
      </c>
      <c r="J2413" s="356" t="s">
        <v>151</v>
      </c>
      <c r="K2413" s="370">
        <f>(F2413*I2413)</f>
        <v>390.59999999999997</v>
      </c>
      <c r="M2413" s="35">
        <v>2</v>
      </c>
      <c r="N2413" s="368" t="s">
        <v>3</v>
      </c>
      <c r="O2413" s="450" t="s">
        <v>2665</v>
      </c>
      <c r="P2413" s="370">
        <f>AG12</f>
        <v>640.79999999999995</v>
      </c>
      <c r="Q2413" s="357" t="s">
        <v>194</v>
      </c>
      <c r="R2413" s="370">
        <f>(M2413*P2413)</f>
        <v>1281.5999999999999</v>
      </c>
      <c r="W2413" s="361"/>
    </row>
    <row r="2414" spans="6:23" ht="15">
      <c r="G2414" s="35"/>
      <c r="H2414" s="35" t="s">
        <v>2666</v>
      </c>
      <c r="J2414" s="357" t="s">
        <v>2667</v>
      </c>
      <c r="K2414" s="370">
        <v>0.25</v>
      </c>
      <c r="N2414" s="368"/>
      <c r="O2414" s="356" t="s">
        <v>2668</v>
      </c>
      <c r="P2414" s="370"/>
      <c r="Q2414" s="357"/>
      <c r="R2414" s="370">
        <v>20</v>
      </c>
      <c r="W2414" s="361"/>
    </row>
    <row r="2415" spans="6:23" ht="15">
      <c r="G2415" s="35"/>
      <c r="K2415" s="370"/>
      <c r="N2415" s="358"/>
      <c r="P2415" s="370"/>
      <c r="Q2415" s="360"/>
      <c r="R2415" s="415" t="s">
        <v>2669</v>
      </c>
      <c r="W2415" s="361"/>
    </row>
    <row r="2416" spans="6:23" ht="15.75">
      <c r="G2416" s="35"/>
      <c r="K2416" s="704" t="s">
        <v>1992</v>
      </c>
      <c r="N2416" s="358"/>
      <c r="O2416" s="356" t="s">
        <v>2670</v>
      </c>
      <c r="Q2416" s="360"/>
      <c r="R2416" s="35">
        <f>SUM(R2393:R2415)</f>
        <v>9316.5489999999991</v>
      </c>
      <c r="W2416" s="361"/>
    </row>
    <row r="2417" spans="6:23" ht="15.75">
      <c r="G2417" s="35"/>
      <c r="K2417" s="369">
        <f>SUM(K2410:K2416)</f>
        <v>2449.85</v>
      </c>
      <c r="N2417" s="358"/>
      <c r="O2417" s="411"/>
      <c r="P2417" s="411"/>
      <c r="Q2417" s="436"/>
      <c r="R2417" s="363" t="s">
        <v>156</v>
      </c>
      <c r="W2417" s="361"/>
    </row>
    <row r="2418" spans="6:23" ht="15.75">
      <c r="G2418" s="35"/>
      <c r="K2418" s="704" t="s">
        <v>1992</v>
      </c>
      <c r="N2418" s="358"/>
      <c r="O2418" s="411" t="s">
        <v>2671</v>
      </c>
      <c r="P2418" s="411"/>
      <c r="Q2418" s="436"/>
      <c r="R2418" s="367">
        <f>R2416/5.67</f>
        <v>1643.1303350970015</v>
      </c>
      <c r="W2418" s="361"/>
    </row>
    <row r="2419" spans="6:23" ht="15">
      <c r="G2419" s="35"/>
      <c r="K2419" s="357"/>
      <c r="W2419" s="361"/>
    </row>
    <row r="2420" spans="6:23" ht="15">
      <c r="G2420" s="35"/>
      <c r="K2420" s="357"/>
      <c r="W2420" s="361"/>
    </row>
    <row r="2421" spans="6:23" ht="15">
      <c r="G2421" s="35"/>
      <c r="K2421" s="357"/>
      <c r="W2421" s="361"/>
    </row>
    <row r="2422" spans="6:23" ht="15.75">
      <c r="F2422" s="458" t="s">
        <v>2047</v>
      </c>
      <c r="G2422" s="458"/>
      <c r="H2422" s="705" t="s">
        <v>2672</v>
      </c>
      <c r="I2422" s="705"/>
      <c r="J2422" s="705"/>
      <c r="K2422" s="705"/>
      <c r="W2422" s="361"/>
    </row>
    <row r="2423" spans="6:23" ht="15.75">
      <c r="F2423" s="458"/>
      <c r="G2423" s="458"/>
      <c r="H2423" s="458"/>
      <c r="I2423" s="458"/>
      <c r="J2423" s="535"/>
      <c r="K2423" s="534"/>
      <c r="W2423" s="361"/>
    </row>
    <row r="2424" spans="6:23" ht="15.75">
      <c r="F2424" s="443">
        <v>10.5</v>
      </c>
      <c r="G2424" s="646" t="s">
        <v>262</v>
      </c>
      <c r="H2424" s="706" t="s">
        <v>2673</v>
      </c>
      <c r="I2424" s="395">
        <v>318</v>
      </c>
      <c r="J2424" s="643" t="s">
        <v>262</v>
      </c>
      <c r="K2424" s="443">
        <f>(F2424*I2424)</f>
        <v>3339</v>
      </c>
      <c r="W2424" s="361"/>
    </row>
    <row r="2425" spans="6:23" ht="15.75">
      <c r="F2425" s="534"/>
      <c r="G2425" s="533"/>
      <c r="H2425" s="707"/>
      <c r="I2425" s="643" t="s">
        <v>114</v>
      </c>
      <c r="J2425" s="535"/>
      <c r="K2425" s="643" t="s">
        <v>114</v>
      </c>
      <c r="W2425" s="361"/>
    </row>
    <row r="2426" spans="6:23" ht="15.75">
      <c r="F2426" s="443">
        <v>0.22</v>
      </c>
      <c r="G2426" s="646" t="s">
        <v>108</v>
      </c>
      <c r="H2426" s="643" t="s">
        <v>221</v>
      </c>
      <c r="I2426" s="443">
        <f>K32</f>
        <v>4976.9571999999998</v>
      </c>
      <c r="J2426" s="643" t="s">
        <v>108</v>
      </c>
      <c r="K2426" s="443">
        <f>(F2426*I2426)</f>
        <v>1094.930584</v>
      </c>
      <c r="W2426" s="361"/>
    </row>
    <row r="2427" spans="6:23" ht="15.75">
      <c r="F2427" s="443">
        <v>64</v>
      </c>
      <c r="G2427" s="646" t="s">
        <v>213</v>
      </c>
      <c r="H2427" s="643" t="s">
        <v>2674</v>
      </c>
      <c r="I2427" s="443">
        <f>C67</f>
        <v>6372.14</v>
      </c>
      <c r="J2427" s="643" t="s">
        <v>2675</v>
      </c>
      <c r="K2427" s="443">
        <f>I2427*F2427/1000</f>
        <v>407.81695999999999</v>
      </c>
      <c r="W2427" s="361"/>
    </row>
    <row r="2428" spans="6:23" ht="15.75">
      <c r="F2428" s="443">
        <v>4.5</v>
      </c>
      <c r="G2428" s="646" t="s">
        <v>213</v>
      </c>
      <c r="H2428" s="708" t="s">
        <v>2676</v>
      </c>
      <c r="I2428" s="443">
        <f>C610</f>
        <v>24.925000000000001</v>
      </c>
      <c r="J2428" s="643" t="s">
        <v>213</v>
      </c>
      <c r="K2428" s="443">
        <f>F2428*I2428</f>
        <v>112.16250000000001</v>
      </c>
      <c r="W2428" s="361"/>
    </row>
    <row r="2429" spans="6:23" ht="15.75">
      <c r="F2429" s="443">
        <v>5.4</v>
      </c>
      <c r="G2429" s="646" t="s">
        <v>223</v>
      </c>
      <c r="H2429" s="356" t="s">
        <v>2677</v>
      </c>
      <c r="I2429" s="443">
        <f>C11</f>
        <v>1118.3999999999999</v>
      </c>
      <c r="J2429" s="643" t="s">
        <v>223</v>
      </c>
      <c r="K2429" s="443">
        <f>(F2429*I2429)</f>
        <v>6039.36</v>
      </c>
      <c r="M2429" s="458" t="s">
        <v>2047</v>
      </c>
      <c r="N2429" s="458"/>
      <c r="O2429" s="709" t="s">
        <v>2678</v>
      </c>
      <c r="P2429" s="709"/>
      <c r="Q2429" s="709"/>
      <c r="R2429" s="709"/>
      <c r="W2429" s="361"/>
    </row>
    <row r="2430" spans="6:23" ht="15.75">
      <c r="F2430" s="443">
        <v>2.16</v>
      </c>
      <c r="G2430" s="646" t="s">
        <v>223</v>
      </c>
      <c r="H2430" s="643" t="s">
        <v>196</v>
      </c>
      <c r="I2430" s="443">
        <f>C12</f>
        <v>781.19999999999993</v>
      </c>
      <c r="J2430" s="643" t="s">
        <v>223</v>
      </c>
      <c r="K2430" s="443">
        <f>(F2430*I2430)</f>
        <v>1687.3920000000001</v>
      </c>
      <c r="M2430" s="458"/>
      <c r="N2430" s="458"/>
      <c r="O2430" s="458"/>
      <c r="P2430" s="458"/>
      <c r="Q2430" s="535"/>
      <c r="R2430" s="534"/>
      <c r="W2430" s="361"/>
    </row>
    <row r="2431" spans="6:23" ht="15.75">
      <c r="F2431" s="443">
        <v>6.5</v>
      </c>
      <c r="G2431" s="646" t="s">
        <v>223</v>
      </c>
      <c r="H2431" s="643" t="s">
        <v>2013</v>
      </c>
      <c r="I2431" s="443">
        <f>C13</f>
        <v>640.79999999999995</v>
      </c>
      <c r="J2431" s="643" t="s">
        <v>223</v>
      </c>
      <c r="K2431" s="443">
        <f>(F2431*I2431)</f>
        <v>4165.2</v>
      </c>
      <c r="M2431" s="443">
        <v>10.5</v>
      </c>
      <c r="N2431" s="646" t="s">
        <v>262</v>
      </c>
      <c r="O2431" s="710" t="s">
        <v>2679</v>
      </c>
      <c r="P2431" s="394">
        <v>484</v>
      </c>
      <c r="Q2431" s="643" t="s">
        <v>262</v>
      </c>
      <c r="R2431" s="443">
        <f>(M2431*P2431)</f>
        <v>5082</v>
      </c>
      <c r="W2431" s="361"/>
    </row>
    <row r="2432" spans="6:23" ht="15.75">
      <c r="F2432" s="443"/>
      <c r="G2432" s="646"/>
      <c r="H2432" s="643"/>
      <c r="I2432" s="443"/>
      <c r="J2432" s="643" t="s">
        <v>223</v>
      </c>
      <c r="K2432" s="443">
        <v>0</v>
      </c>
      <c r="M2432" s="534"/>
      <c r="N2432" s="533"/>
      <c r="O2432" s="711"/>
      <c r="P2432" s="643" t="s">
        <v>114</v>
      </c>
      <c r="Q2432" s="535"/>
      <c r="R2432" s="643" t="s">
        <v>114</v>
      </c>
      <c r="W2432" s="361"/>
    </row>
    <row r="2433" spans="6:23" ht="15.75">
      <c r="F2433" s="712"/>
      <c r="G2433" s="646"/>
      <c r="H2433" s="534"/>
      <c r="I2433" s="443"/>
      <c r="J2433" s="643"/>
      <c r="K2433" s="443"/>
      <c r="M2433" s="443">
        <v>0.22</v>
      </c>
      <c r="N2433" s="646" t="s">
        <v>108</v>
      </c>
      <c r="O2433" s="643" t="s">
        <v>221</v>
      </c>
      <c r="P2433" s="443">
        <f t="shared" ref="P2433:P2438" si="254">I2426</f>
        <v>4976.9571999999998</v>
      </c>
      <c r="Q2433" s="643" t="s">
        <v>108</v>
      </c>
      <c r="R2433" s="443">
        <f>(M2433*P2433)</f>
        <v>1094.930584</v>
      </c>
      <c r="W2433" s="361"/>
    </row>
    <row r="2434" spans="6:23" ht="15.75">
      <c r="F2434" s="443"/>
      <c r="G2434" s="646"/>
      <c r="H2434" s="359" t="s">
        <v>176</v>
      </c>
      <c r="I2434" s="534"/>
      <c r="J2434" s="535"/>
      <c r="K2434" s="713" t="s">
        <v>1992</v>
      </c>
      <c r="M2434" s="443">
        <v>64</v>
      </c>
      <c r="N2434" s="646" t="s">
        <v>213</v>
      </c>
      <c r="O2434" s="643" t="s">
        <v>2674</v>
      </c>
      <c r="P2434" s="443">
        <f t="shared" si="254"/>
        <v>6372.14</v>
      </c>
      <c r="Q2434" s="643" t="s">
        <v>2675</v>
      </c>
      <c r="R2434" s="443">
        <f>P2434*M2434/1000</f>
        <v>407.81695999999999</v>
      </c>
      <c r="W2434" s="361"/>
    </row>
    <row r="2435" spans="6:23" ht="15.75">
      <c r="F2435" s="443"/>
      <c r="G2435" s="646"/>
      <c r="H2435" s="359"/>
      <c r="I2435" s="534"/>
      <c r="J2435" s="535"/>
      <c r="K2435" s="369">
        <f>SUM(K2424:K2432)</f>
        <v>16845.862044000001</v>
      </c>
      <c r="M2435" s="443">
        <v>4.5</v>
      </c>
      <c r="N2435" s="646" t="s">
        <v>213</v>
      </c>
      <c r="O2435" s="643" t="s">
        <v>2680</v>
      </c>
      <c r="P2435" s="443">
        <f t="shared" si="254"/>
        <v>24.925000000000001</v>
      </c>
      <c r="Q2435" s="643" t="s">
        <v>213</v>
      </c>
      <c r="R2435" s="443">
        <f>M2435*P2435</f>
        <v>112.16250000000001</v>
      </c>
      <c r="W2435" s="361"/>
    </row>
    <row r="2436" spans="6:23" ht="15.75">
      <c r="F2436" s="443"/>
      <c r="G2436" s="646"/>
      <c r="H2436" s="359"/>
      <c r="I2436" s="443"/>
      <c r="J2436" s="643"/>
      <c r="K2436" s="714" t="s">
        <v>1110</v>
      </c>
      <c r="M2436" s="443">
        <v>5.4</v>
      </c>
      <c r="N2436" s="646" t="s">
        <v>223</v>
      </c>
      <c r="O2436" s="643" t="s">
        <v>2677</v>
      </c>
      <c r="P2436" s="443">
        <f t="shared" si="254"/>
        <v>1118.3999999999999</v>
      </c>
      <c r="Q2436" s="643" t="s">
        <v>223</v>
      </c>
      <c r="R2436" s="443">
        <f>(M2436*P2436)</f>
        <v>6039.36</v>
      </c>
      <c r="W2436" s="361"/>
    </row>
    <row r="2437" spans="6:23" ht="15.75">
      <c r="F2437" s="643"/>
      <c r="G2437" s="533"/>
      <c r="H2437" s="359" t="s">
        <v>177</v>
      </c>
      <c r="I2437" s="643"/>
      <c r="J2437" s="535"/>
      <c r="K2437" s="367">
        <f>K2435/10</f>
        <v>1684.5862044</v>
      </c>
      <c r="M2437" s="443">
        <v>2.16</v>
      </c>
      <c r="N2437" s="646" t="s">
        <v>223</v>
      </c>
      <c r="O2437" s="643" t="s">
        <v>196</v>
      </c>
      <c r="P2437" s="443">
        <f t="shared" si="254"/>
        <v>781.19999999999993</v>
      </c>
      <c r="Q2437" s="643" t="s">
        <v>223</v>
      </c>
      <c r="R2437" s="443">
        <f>(M2437*P2437)</f>
        <v>1687.3920000000001</v>
      </c>
      <c r="W2437" s="361"/>
    </row>
    <row r="2438" spans="6:23" ht="15.75">
      <c r="K2438" s="415" t="s">
        <v>1992</v>
      </c>
      <c r="M2438" s="443">
        <v>6.5</v>
      </c>
      <c r="N2438" s="646" t="s">
        <v>223</v>
      </c>
      <c r="O2438" s="643" t="s">
        <v>2013</v>
      </c>
      <c r="P2438" s="443">
        <f t="shared" si="254"/>
        <v>640.79999999999995</v>
      </c>
      <c r="Q2438" s="643" t="s">
        <v>223</v>
      </c>
      <c r="R2438" s="443">
        <f>(M2438*P2438)</f>
        <v>4165.2</v>
      </c>
      <c r="W2438" s="361"/>
    </row>
    <row r="2439" spans="6:23" ht="15.75">
      <c r="M2439" s="443"/>
      <c r="N2439" s="646"/>
      <c r="O2439" s="643"/>
      <c r="P2439" s="443"/>
      <c r="Q2439" s="643" t="s">
        <v>223</v>
      </c>
      <c r="R2439" s="443">
        <f>(M2439*P2439)</f>
        <v>0</v>
      </c>
      <c r="W2439" s="361"/>
    </row>
    <row r="2440" spans="6:23" ht="15.75">
      <c r="M2440" s="712"/>
      <c r="N2440" s="646"/>
      <c r="O2440" s="534"/>
      <c r="P2440" s="443"/>
      <c r="Q2440" s="643"/>
      <c r="R2440" s="443"/>
      <c r="W2440" s="361"/>
    </row>
    <row r="2441" spans="6:23" ht="15.75">
      <c r="F2441" s="443"/>
      <c r="G2441" s="646"/>
      <c r="H2441" s="359" t="s">
        <v>2681</v>
      </c>
      <c r="I2441" s="443"/>
      <c r="J2441" s="643"/>
      <c r="K2441" s="443"/>
      <c r="M2441" s="443"/>
      <c r="N2441" s="646"/>
      <c r="O2441" s="359" t="s">
        <v>176</v>
      </c>
      <c r="P2441" s="534"/>
      <c r="Q2441" s="535"/>
      <c r="R2441" s="713" t="s">
        <v>1992</v>
      </c>
      <c r="W2441" s="361"/>
    </row>
    <row r="2442" spans="6:23" ht="15.75">
      <c r="F2442" s="443"/>
      <c r="G2442" s="646"/>
      <c r="H2442" s="534"/>
      <c r="I2442" s="443"/>
      <c r="J2442" s="643"/>
      <c r="K2442" s="534"/>
      <c r="M2442" s="443"/>
      <c r="N2442" s="646"/>
      <c r="O2442" s="359"/>
      <c r="P2442" s="534"/>
      <c r="Q2442" s="535"/>
      <c r="R2442" s="369">
        <f>SUM(R2431:R2439)</f>
        <v>18588.862044000001</v>
      </c>
      <c r="W2442" s="361"/>
    </row>
    <row r="2443" spans="6:23" ht="15.75">
      <c r="F2443" s="443">
        <v>10</v>
      </c>
      <c r="G2443" s="646" t="s">
        <v>262</v>
      </c>
      <c r="H2443" s="643" t="s">
        <v>2682</v>
      </c>
      <c r="I2443" s="443">
        <f>K1215</f>
        <v>601.02260879999994</v>
      </c>
      <c r="J2443" s="643" t="s">
        <v>262</v>
      </c>
      <c r="K2443" s="443">
        <f>F2443*I2443</f>
        <v>6010.2260879999994</v>
      </c>
      <c r="M2443" s="443"/>
      <c r="N2443" s="646"/>
      <c r="O2443" s="359"/>
      <c r="P2443" s="443"/>
      <c r="Q2443" s="643"/>
      <c r="R2443" s="714" t="s">
        <v>1110</v>
      </c>
      <c r="W2443" s="361"/>
    </row>
    <row r="2444" spans="6:23" ht="15.75">
      <c r="F2444" s="534">
        <v>9.8000000000000007</v>
      </c>
      <c r="G2444" s="646" t="s">
        <v>213</v>
      </c>
      <c r="H2444" s="35" t="s">
        <v>2683</v>
      </c>
      <c r="I2444" s="443">
        <f>C150</f>
        <v>145.19999999999999</v>
      </c>
      <c r="J2444" s="643" t="s">
        <v>213</v>
      </c>
      <c r="K2444" s="443">
        <f>F2444*I2444</f>
        <v>1422.96</v>
      </c>
      <c r="M2444" s="643"/>
      <c r="N2444" s="533"/>
      <c r="O2444" s="359" t="s">
        <v>177</v>
      </c>
      <c r="P2444" s="643"/>
      <c r="Q2444" s="535"/>
      <c r="R2444" s="367">
        <f>R2442/10</f>
        <v>1858.8862044000002</v>
      </c>
      <c r="W2444" s="361"/>
    </row>
    <row r="2445" spans="6:23" ht="15.75">
      <c r="F2445" s="534">
        <v>1.1000000000000001</v>
      </c>
      <c r="G2445" s="533" t="s">
        <v>3</v>
      </c>
      <c r="H2445" s="643" t="s">
        <v>162</v>
      </c>
      <c r="I2445" s="534">
        <f>I2412</f>
        <v>1198.8</v>
      </c>
      <c r="J2445" s="535" t="s">
        <v>194</v>
      </c>
      <c r="K2445" s="534">
        <f>F2445*I2445</f>
        <v>1318.68</v>
      </c>
      <c r="N2445" s="358"/>
      <c r="Q2445" s="360"/>
      <c r="R2445" s="415" t="s">
        <v>1992</v>
      </c>
      <c r="W2445" s="361"/>
    </row>
    <row r="2446" spans="6:23" ht="15.75">
      <c r="F2446" s="534"/>
      <c r="G2446" s="533"/>
      <c r="H2446" s="35" t="s">
        <v>331</v>
      </c>
      <c r="I2446" s="534"/>
      <c r="J2446" s="535"/>
      <c r="K2446" s="534">
        <v>0.2</v>
      </c>
      <c r="W2446" s="361"/>
    </row>
    <row r="2447" spans="6:23" ht="15.75">
      <c r="F2447" s="534"/>
      <c r="G2447" s="533"/>
      <c r="H2447" s="534"/>
      <c r="I2447" s="534"/>
      <c r="J2447" s="535"/>
      <c r="K2447" s="715" t="s">
        <v>156</v>
      </c>
      <c r="N2447" s="358"/>
      <c r="O2447" s="411" t="s">
        <v>2582</v>
      </c>
      <c r="Q2447" s="360"/>
      <c r="W2447" s="361"/>
    </row>
    <row r="2448" spans="6:23" ht="15.75">
      <c r="F2448" s="643" t="s">
        <v>114</v>
      </c>
      <c r="G2448" s="533"/>
      <c r="H2448" s="359" t="s">
        <v>176</v>
      </c>
      <c r="I2448" s="534"/>
      <c r="J2448" s="535"/>
      <c r="K2448" s="411">
        <f>SUM(K2443:K2446)</f>
        <v>8752.0660879999996</v>
      </c>
      <c r="M2448" s="36">
        <v>7.0999999999999994E-2</v>
      </c>
      <c r="N2448" s="358" t="s">
        <v>2583</v>
      </c>
      <c r="O2448" s="35" t="s">
        <v>2584</v>
      </c>
      <c r="P2448" s="35">
        <f>AA720</f>
        <v>8825.0046658500014</v>
      </c>
      <c r="Q2448" s="360" t="s">
        <v>2585</v>
      </c>
      <c r="R2448" s="35">
        <f>P2448*M2448</f>
        <v>626.57533127535009</v>
      </c>
      <c r="W2448" s="361"/>
    </row>
    <row r="2449" spans="6:23" ht="15.75">
      <c r="F2449" s="534"/>
      <c r="G2449" s="533"/>
      <c r="H2449" s="534"/>
      <c r="I2449" s="534"/>
      <c r="J2449" s="535"/>
      <c r="K2449" s="716" t="s">
        <v>1992</v>
      </c>
      <c r="M2449" s="35">
        <v>1</v>
      </c>
      <c r="N2449" s="358" t="s">
        <v>452</v>
      </c>
      <c r="O2449" s="35" t="s">
        <v>315</v>
      </c>
      <c r="P2449" s="35">
        <f>I2344</f>
        <v>478.22950819672127</v>
      </c>
      <c r="Q2449" s="360" t="s">
        <v>452</v>
      </c>
      <c r="R2449" s="35">
        <f>P2449*M2449</f>
        <v>478.22950819672127</v>
      </c>
      <c r="W2449" s="361"/>
    </row>
    <row r="2450" spans="6:23" ht="15.75">
      <c r="F2450" s="643" t="s">
        <v>114</v>
      </c>
      <c r="G2450" s="533"/>
      <c r="H2450" s="359" t="s">
        <v>177</v>
      </c>
      <c r="I2450" s="534"/>
      <c r="J2450" s="535"/>
      <c r="K2450" s="367">
        <f>K2448/10</f>
        <v>875.20660879999991</v>
      </c>
      <c r="M2450" s="35" t="s">
        <v>114</v>
      </c>
      <c r="N2450" s="358"/>
      <c r="O2450" s="35" t="s">
        <v>2586</v>
      </c>
      <c r="Q2450" s="360"/>
      <c r="R2450" s="411">
        <f>SUM(R2448:R2449)</f>
        <v>1104.8048394720713</v>
      </c>
      <c r="W2450" s="361"/>
    </row>
    <row r="2451" spans="6:23" ht="15.75">
      <c r="F2451" s="534"/>
      <c r="G2451" s="533"/>
      <c r="I2451" s="534"/>
      <c r="J2451" s="535"/>
      <c r="K2451" s="415" t="s">
        <v>1992</v>
      </c>
      <c r="W2451" s="361"/>
    </row>
    <row r="2452" spans="6:23" ht="15.75">
      <c r="F2452" s="534"/>
      <c r="G2452" s="533"/>
      <c r="H2452" s="534"/>
      <c r="I2452" s="534"/>
      <c r="J2452" s="535"/>
      <c r="K2452" s="534"/>
      <c r="W2452" s="361"/>
    </row>
    <row r="2453" spans="6:23" ht="15.75">
      <c r="F2453" s="534"/>
      <c r="G2453" s="533"/>
      <c r="H2453" s="534"/>
      <c r="I2453" s="534"/>
      <c r="J2453" s="535"/>
      <c r="K2453" s="534"/>
      <c r="W2453" s="361"/>
    </row>
    <row r="2454" spans="6:23" ht="15.75">
      <c r="F2454" s="534"/>
      <c r="G2454" s="533"/>
      <c r="H2454" s="534"/>
      <c r="I2454" s="534"/>
      <c r="J2454" s="535"/>
      <c r="K2454" s="534"/>
      <c r="W2454" s="361"/>
    </row>
    <row r="2455" spans="6:23" ht="15.75">
      <c r="F2455" s="534"/>
      <c r="G2455" s="533"/>
      <c r="H2455" s="534"/>
      <c r="I2455" s="534"/>
      <c r="J2455" s="535"/>
      <c r="K2455" s="534"/>
      <c r="W2455" s="361"/>
    </row>
    <row r="2456" spans="6:23" ht="15.75">
      <c r="F2456" s="534"/>
      <c r="G2456" s="533"/>
      <c r="H2456" s="411" t="s">
        <v>2684</v>
      </c>
      <c r="I2456" s="534"/>
      <c r="J2456" s="535"/>
      <c r="K2456" s="534"/>
      <c r="W2456" s="361"/>
    </row>
    <row r="2457" spans="6:23" ht="15.75">
      <c r="F2457" s="534"/>
      <c r="G2457" s="533"/>
      <c r="H2457" s="534"/>
      <c r="I2457" s="534"/>
      <c r="J2457" s="535"/>
      <c r="K2457" s="534"/>
      <c r="W2457" s="361"/>
    </row>
    <row r="2458" spans="6:23" ht="15.75">
      <c r="F2458" s="535" t="s">
        <v>2685</v>
      </c>
      <c r="G2458" s="535"/>
      <c r="H2458" s="535"/>
      <c r="I2458" s="534">
        <v>15.21</v>
      </c>
      <c r="J2458" s="535" t="s">
        <v>109</v>
      </c>
      <c r="K2458" s="534"/>
      <c r="W2458" s="361"/>
    </row>
    <row r="2459" spans="6:23" ht="15.75">
      <c r="F2459" s="534" t="s">
        <v>2686</v>
      </c>
      <c r="G2459" s="533"/>
      <c r="H2459" s="534"/>
      <c r="I2459" s="534">
        <v>22.61</v>
      </c>
      <c r="J2459" s="535" t="s">
        <v>109</v>
      </c>
      <c r="K2459" s="534"/>
      <c r="W2459" s="361"/>
    </row>
    <row r="2460" spans="6:23" ht="15.75">
      <c r="F2460" s="534" t="s">
        <v>2687</v>
      </c>
      <c r="G2460" s="533"/>
      <c r="H2460" s="534"/>
      <c r="I2460" s="534">
        <v>3.24</v>
      </c>
      <c r="J2460" s="535" t="s">
        <v>109</v>
      </c>
      <c r="K2460" s="534"/>
      <c r="W2460" s="361"/>
    </row>
    <row r="2461" spans="6:23" ht="15.75">
      <c r="F2461" s="534" t="s">
        <v>2688</v>
      </c>
      <c r="G2461" s="533"/>
      <c r="H2461" s="534"/>
      <c r="I2461" s="534">
        <v>2.16</v>
      </c>
      <c r="J2461" s="535" t="s">
        <v>109</v>
      </c>
      <c r="K2461" s="534"/>
      <c r="W2461" s="361"/>
    </row>
    <row r="2462" spans="6:23" ht="15.75">
      <c r="F2462" s="534"/>
      <c r="G2462" s="533"/>
      <c r="H2462" s="534"/>
      <c r="I2462" s="534"/>
      <c r="J2462" s="535"/>
      <c r="K2462" s="534"/>
      <c r="W2462" s="361"/>
    </row>
    <row r="2463" spans="6:23" ht="15.75">
      <c r="F2463" s="534"/>
      <c r="G2463" s="533"/>
      <c r="H2463" s="534"/>
      <c r="I2463" s="538" t="s">
        <v>1992</v>
      </c>
      <c r="J2463" s="535"/>
      <c r="K2463" s="534"/>
      <c r="W2463" s="361"/>
    </row>
    <row r="2464" spans="6:23" ht="15.75">
      <c r="F2464" s="534"/>
      <c r="G2464" s="533"/>
      <c r="H2464" s="534"/>
      <c r="I2464" s="534">
        <f>SUM(I2458:I2462)</f>
        <v>43.22</v>
      </c>
      <c r="J2464" s="535"/>
      <c r="K2464" s="534"/>
      <c r="W2464" s="361"/>
    </row>
    <row r="2465" spans="6:23" ht="15.75">
      <c r="F2465" s="534"/>
      <c r="G2465" s="533"/>
      <c r="H2465" s="534"/>
      <c r="I2465" s="534" t="s">
        <v>2689</v>
      </c>
      <c r="J2465" s="535"/>
      <c r="K2465" s="534"/>
      <c r="W2465" s="361"/>
    </row>
    <row r="2466" spans="6:23" ht="15.75">
      <c r="F2466" s="534"/>
      <c r="G2466" s="533"/>
      <c r="H2466" s="534"/>
      <c r="I2466" s="534"/>
      <c r="J2466" s="535"/>
      <c r="K2466" s="534"/>
      <c r="W2466" s="361"/>
    </row>
    <row r="2467" spans="6:23" ht="15.75">
      <c r="F2467" s="534"/>
      <c r="G2467" s="533"/>
      <c r="H2467" s="534"/>
      <c r="I2467" s="534"/>
      <c r="J2467" s="535"/>
      <c r="K2467" s="534"/>
      <c r="W2467" s="361"/>
    </row>
    <row r="2468" spans="6:23" ht="15.75">
      <c r="F2468" s="534">
        <v>43.22</v>
      </c>
      <c r="G2468" s="533" t="s">
        <v>213</v>
      </c>
      <c r="H2468" s="717" t="s">
        <v>607</v>
      </c>
      <c r="I2468" s="534">
        <f>C662</f>
        <v>70.150000000000006</v>
      </c>
      <c r="J2468" s="535" t="s">
        <v>213</v>
      </c>
      <c r="K2468" s="534">
        <f>I2468*F2468</f>
        <v>3031.8830000000003</v>
      </c>
      <c r="W2468" s="361"/>
    </row>
    <row r="2469" spans="6:23" ht="15.75">
      <c r="F2469" s="534">
        <v>0.81</v>
      </c>
      <c r="G2469" s="533" t="s">
        <v>262</v>
      </c>
      <c r="H2469" s="534" t="s">
        <v>2690</v>
      </c>
      <c r="I2469" s="534">
        <f>C201</f>
        <v>379.9</v>
      </c>
      <c r="J2469" s="535" t="s">
        <v>262</v>
      </c>
      <c r="K2469" s="534">
        <f>I2469*F2469</f>
        <v>307.71899999999999</v>
      </c>
      <c r="W2469" s="361"/>
    </row>
    <row r="2470" spans="6:23" ht="15.75">
      <c r="F2470" s="534">
        <v>0.81</v>
      </c>
      <c r="G2470" s="533" t="s">
        <v>262</v>
      </c>
      <c r="H2470" s="534" t="s">
        <v>2691</v>
      </c>
      <c r="I2470" s="534">
        <f>D201</f>
        <v>116.55</v>
      </c>
      <c r="J2470" s="535" t="s">
        <v>262</v>
      </c>
      <c r="K2470" s="534">
        <f>I2470*F2470</f>
        <v>94.405500000000004</v>
      </c>
      <c r="W2470" s="361"/>
    </row>
    <row r="2471" spans="6:23" ht="15.75">
      <c r="F2471" s="534"/>
      <c r="G2471" s="533"/>
      <c r="H2471" s="534" t="s">
        <v>2692</v>
      </c>
      <c r="I2471" s="496">
        <f>46.61</f>
        <v>46.61</v>
      </c>
      <c r="J2471" s="535" t="s">
        <v>128</v>
      </c>
      <c r="K2471" s="534">
        <f>I2471</f>
        <v>46.61</v>
      </c>
      <c r="W2471" s="361"/>
    </row>
    <row r="2472" spans="6:23" ht="15.75">
      <c r="F2472" s="534"/>
      <c r="G2472" s="533"/>
      <c r="H2472" s="534"/>
      <c r="I2472" s="534"/>
      <c r="J2472" s="535"/>
      <c r="K2472" s="538" t="s">
        <v>1992</v>
      </c>
      <c r="W2472" s="361"/>
    </row>
    <row r="2473" spans="6:23" ht="15.75">
      <c r="F2473" s="534"/>
      <c r="G2473" s="533"/>
      <c r="H2473" s="411" t="s">
        <v>2693</v>
      </c>
      <c r="I2473" s="534"/>
      <c r="J2473" s="535"/>
      <c r="K2473" s="411">
        <f>SUM(K2468:K2471)</f>
        <v>3480.6175000000003</v>
      </c>
      <c r="W2473" s="361"/>
    </row>
    <row r="2474" spans="6:23" ht="15.75">
      <c r="F2474" s="534"/>
      <c r="G2474" s="533"/>
      <c r="H2474" s="534">
        <f>0.6*1.35</f>
        <v>0.81</v>
      </c>
      <c r="I2474" s="534"/>
      <c r="J2474" s="535"/>
      <c r="K2474" s="538" t="s">
        <v>1992</v>
      </c>
      <c r="W2474" s="361"/>
    </row>
    <row r="2475" spans="6:23" ht="15.75">
      <c r="F2475" s="534"/>
      <c r="G2475" s="533"/>
      <c r="H2475" s="411" t="s">
        <v>2694</v>
      </c>
      <c r="I2475" s="534"/>
      <c r="J2475" s="535"/>
      <c r="K2475" s="411">
        <f>K2473/H2474</f>
        <v>4297.058641975309</v>
      </c>
      <c r="W2475" s="361"/>
    </row>
    <row r="2476" spans="6:23" ht="15.75">
      <c r="F2476" s="534"/>
      <c r="G2476" s="533"/>
      <c r="H2476" s="534"/>
      <c r="I2476" s="534"/>
      <c r="J2476" s="535"/>
      <c r="K2476" s="534"/>
      <c r="W2476" s="361"/>
    </row>
    <row r="2477" spans="6:23" ht="15.75">
      <c r="F2477" s="535" t="s">
        <v>2695</v>
      </c>
      <c r="G2477" s="535"/>
      <c r="H2477" s="535"/>
      <c r="I2477" s="534">
        <v>11.78</v>
      </c>
      <c r="J2477" s="535" t="s">
        <v>109</v>
      </c>
      <c r="K2477" s="534"/>
      <c r="W2477" s="361"/>
    </row>
    <row r="2478" spans="6:23" ht="15.75">
      <c r="F2478" s="534" t="s">
        <v>2696</v>
      </c>
      <c r="G2478" s="533"/>
      <c r="H2478" s="534"/>
      <c r="I2478" s="534">
        <v>15.07</v>
      </c>
      <c r="J2478" s="535" t="s">
        <v>109</v>
      </c>
      <c r="K2478" s="534"/>
      <c r="W2478" s="361"/>
    </row>
    <row r="2479" spans="6:23" ht="15.75">
      <c r="F2479" s="534" t="s">
        <v>2697</v>
      </c>
      <c r="G2479" s="533"/>
      <c r="H2479" s="534"/>
      <c r="I2479" s="534">
        <v>2.16</v>
      </c>
      <c r="J2479" s="535" t="s">
        <v>109</v>
      </c>
      <c r="K2479" s="534"/>
      <c r="W2479" s="361"/>
    </row>
    <row r="2480" spans="6:23" ht="15.75">
      <c r="F2480" s="534" t="s">
        <v>2688</v>
      </c>
      <c r="G2480" s="533"/>
      <c r="H2480" s="534"/>
      <c r="I2480" s="534">
        <v>2.16</v>
      </c>
      <c r="J2480" s="535" t="s">
        <v>109</v>
      </c>
      <c r="K2480" s="534"/>
      <c r="W2480" s="361"/>
    </row>
    <row r="2481" spans="6:23" ht="15.75">
      <c r="F2481" s="534" t="s">
        <v>2698</v>
      </c>
      <c r="G2481" s="533"/>
      <c r="H2481" s="534"/>
      <c r="I2481" s="534">
        <f>1.91-0.08</f>
        <v>1.8299999999999998</v>
      </c>
      <c r="J2481" s="535"/>
      <c r="K2481" s="534"/>
      <c r="W2481" s="361"/>
    </row>
    <row r="2482" spans="6:23" ht="15.75">
      <c r="F2482" s="534"/>
      <c r="G2482" s="533"/>
      <c r="H2482" s="534"/>
      <c r="I2482" s="538" t="s">
        <v>2699</v>
      </c>
      <c r="J2482" s="535"/>
      <c r="K2482" s="534"/>
      <c r="W2482" s="361"/>
    </row>
    <row r="2483" spans="6:23" ht="15.75">
      <c r="F2483" s="534"/>
      <c r="G2483" s="533"/>
      <c r="H2483" s="534"/>
      <c r="I2483" s="411">
        <f>SUM(I2477:I2481)</f>
        <v>33</v>
      </c>
      <c r="J2483" s="535" t="s">
        <v>109</v>
      </c>
      <c r="K2483" s="534"/>
      <c r="W2483" s="361"/>
    </row>
    <row r="2484" spans="6:23" ht="15.75">
      <c r="F2484" s="534"/>
      <c r="G2484" s="533"/>
      <c r="H2484" s="534"/>
      <c r="I2484" s="538" t="s">
        <v>2699</v>
      </c>
      <c r="J2484" s="535"/>
      <c r="K2484" s="534"/>
      <c r="W2484" s="361"/>
    </row>
    <row r="2485" spans="6:23" ht="15.75">
      <c r="F2485" s="534"/>
      <c r="G2485" s="533"/>
      <c r="H2485" s="534"/>
      <c r="I2485" s="534"/>
      <c r="J2485" s="535"/>
      <c r="K2485" s="534"/>
      <c r="W2485" s="361"/>
    </row>
    <row r="2486" spans="6:23" ht="15.75">
      <c r="F2486" s="534"/>
      <c r="G2486" s="533"/>
      <c r="H2486" s="534"/>
      <c r="I2486" s="534"/>
      <c r="J2486" s="535"/>
      <c r="K2486" s="534"/>
      <c r="W2486" s="361"/>
    </row>
    <row r="2487" spans="6:23" ht="15.75">
      <c r="F2487" s="534">
        <f>I2483</f>
        <v>33</v>
      </c>
      <c r="G2487" s="533" t="s">
        <v>213</v>
      </c>
      <c r="H2487" s="534" t="s">
        <v>607</v>
      </c>
      <c r="I2487" s="534">
        <f>I2468</f>
        <v>70.150000000000006</v>
      </c>
      <c r="J2487" s="535" t="s">
        <v>213</v>
      </c>
      <c r="K2487" s="534">
        <f>I2487*F2487</f>
        <v>2314.9500000000003</v>
      </c>
      <c r="W2487" s="361"/>
    </row>
    <row r="2488" spans="6:23" ht="15.75">
      <c r="F2488" s="534">
        <v>0.54</v>
      </c>
      <c r="G2488" s="533" t="s">
        <v>262</v>
      </c>
      <c r="H2488" s="534" t="s">
        <v>2690</v>
      </c>
      <c r="I2488" s="534">
        <f>I2469</f>
        <v>379.9</v>
      </c>
      <c r="J2488" s="535" t="s">
        <v>262</v>
      </c>
      <c r="K2488" s="534">
        <f>I2488*F2488</f>
        <v>205.14600000000002</v>
      </c>
      <c r="W2488" s="361"/>
    </row>
    <row r="2489" spans="6:23" ht="15.75">
      <c r="F2489" s="534">
        <v>0.54</v>
      </c>
      <c r="G2489" s="533" t="s">
        <v>262</v>
      </c>
      <c r="H2489" s="534" t="str">
        <f>H2470</f>
        <v>Fly proof  Mesh</v>
      </c>
      <c r="I2489" s="534">
        <f>I2470</f>
        <v>116.55</v>
      </c>
      <c r="J2489" s="535" t="s">
        <v>262</v>
      </c>
      <c r="K2489" s="534">
        <f>I2489*F2489</f>
        <v>62.937000000000005</v>
      </c>
      <c r="W2489" s="361"/>
    </row>
    <row r="2490" spans="6:23" ht="15.75">
      <c r="F2490" s="534"/>
      <c r="G2490" s="533"/>
      <c r="H2490" s="534" t="s">
        <v>2692</v>
      </c>
      <c r="I2490" s="496">
        <v>53.5</v>
      </c>
      <c r="J2490" s="535" t="s">
        <v>128</v>
      </c>
      <c r="K2490" s="534">
        <v>52.8</v>
      </c>
      <c r="W2490" s="361"/>
    </row>
    <row r="2491" spans="6:23" ht="15.75">
      <c r="F2491" s="534"/>
      <c r="G2491" s="533"/>
      <c r="H2491" s="534"/>
      <c r="I2491" s="534"/>
      <c r="J2491" s="535"/>
      <c r="K2491" s="538" t="s">
        <v>1992</v>
      </c>
      <c r="W2491" s="361"/>
    </row>
    <row r="2492" spans="6:23" ht="15.75">
      <c r="F2492" s="534"/>
      <c r="G2492" s="533"/>
      <c r="H2492" s="411" t="s">
        <v>2693</v>
      </c>
      <c r="I2492" s="534"/>
      <c r="J2492" s="535"/>
      <c r="K2492" s="411">
        <f>SUM(K2487:K2490)</f>
        <v>2635.8330000000005</v>
      </c>
      <c r="W2492" s="361"/>
    </row>
    <row r="2493" spans="6:23" ht="15.75">
      <c r="F2493" s="534"/>
      <c r="G2493" s="533"/>
      <c r="H2493" s="534"/>
      <c r="I2493" s="534"/>
      <c r="J2493" s="535"/>
      <c r="K2493" s="538" t="s">
        <v>1992</v>
      </c>
      <c r="W2493" s="361"/>
    </row>
    <row r="2494" spans="6:23" ht="15.75">
      <c r="F2494" s="534"/>
      <c r="G2494" s="533"/>
      <c r="H2494" s="534"/>
      <c r="I2494" s="411" t="s">
        <v>2700</v>
      </c>
      <c r="J2494" s="535"/>
      <c r="K2494" s="411">
        <f>K2492/0.54</f>
        <v>4881.1722222222224</v>
      </c>
      <c r="W2494" s="361"/>
    </row>
    <row r="2495" spans="6:23" ht="15.75">
      <c r="F2495" s="534"/>
      <c r="G2495" s="533"/>
      <c r="H2495" s="534"/>
      <c r="I2495" s="534"/>
      <c r="J2495" s="535"/>
      <c r="K2495" s="534"/>
      <c r="W2495" s="361"/>
    </row>
    <row r="2496" spans="6:23" ht="15.75">
      <c r="F2496" s="534"/>
      <c r="G2496" s="533"/>
      <c r="H2496" s="534"/>
      <c r="I2496" s="534"/>
      <c r="J2496" s="535"/>
      <c r="K2496" s="534"/>
      <c r="W2496" s="361"/>
    </row>
    <row r="2497" spans="6:23" ht="15.75">
      <c r="F2497" s="534"/>
      <c r="G2497" s="533"/>
      <c r="H2497" s="411" t="s">
        <v>2701</v>
      </c>
      <c r="I2497" s="534"/>
      <c r="J2497" s="535"/>
      <c r="K2497" s="534"/>
      <c r="W2497" s="361"/>
    </row>
    <row r="2498" spans="6:23" ht="15.75">
      <c r="F2498" s="534"/>
      <c r="G2498" s="533"/>
      <c r="H2498" s="534"/>
      <c r="I2498" s="534"/>
      <c r="J2498" s="535"/>
      <c r="K2498" s="534"/>
      <c r="W2498" s="361"/>
    </row>
    <row r="2499" spans="6:23" ht="15.75">
      <c r="F2499" s="535" t="s">
        <v>2702</v>
      </c>
      <c r="G2499" s="535"/>
      <c r="H2499" s="535"/>
      <c r="I2499" s="534">
        <v>9.42</v>
      </c>
      <c r="J2499" s="535" t="s">
        <v>109</v>
      </c>
      <c r="K2499" s="535"/>
      <c r="W2499" s="361"/>
    </row>
    <row r="2500" spans="6:23" ht="15.75">
      <c r="F2500" s="534" t="s">
        <v>2703</v>
      </c>
      <c r="G2500" s="533"/>
      <c r="H2500" s="534"/>
      <c r="I2500" s="534">
        <v>9.42</v>
      </c>
      <c r="J2500" s="535" t="s">
        <v>109</v>
      </c>
      <c r="K2500" s="535"/>
      <c r="W2500" s="361"/>
    </row>
    <row r="2501" spans="6:23" ht="15.75">
      <c r="F2501" s="534" t="s">
        <v>2704</v>
      </c>
      <c r="G2501" s="533"/>
      <c r="H2501" s="534"/>
      <c r="I2501" s="534">
        <v>1.44</v>
      </c>
      <c r="J2501" s="535" t="s">
        <v>109</v>
      </c>
      <c r="K2501" s="535"/>
      <c r="W2501" s="361"/>
    </row>
    <row r="2502" spans="6:23" ht="15.75">
      <c r="F2502" s="534" t="s">
        <v>2688</v>
      </c>
      <c r="G2502" s="533"/>
      <c r="H2502" s="534"/>
      <c r="I2502" s="534">
        <v>2.16</v>
      </c>
      <c r="J2502" s="535" t="s">
        <v>109</v>
      </c>
      <c r="K2502" s="535"/>
      <c r="W2502" s="361"/>
    </row>
    <row r="2503" spans="6:23" ht="15.75">
      <c r="F2503" s="534" t="s">
        <v>2698</v>
      </c>
      <c r="G2503" s="533"/>
      <c r="H2503" s="534"/>
      <c r="I2503" s="534">
        <v>1.56</v>
      </c>
      <c r="J2503" s="535"/>
      <c r="K2503" s="535"/>
      <c r="W2503" s="361"/>
    </row>
    <row r="2504" spans="6:23" ht="15.75">
      <c r="F2504" s="534"/>
      <c r="G2504" s="533"/>
      <c r="H2504" s="534"/>
      <c r="I2504" s="538" t="s">
        <v>2699</v>
      </c>
      <c r="J2504" s="535"/>
      <c r="K2504" s="535"/>
      <c r="M2504" s="534"/>
      <c r="N2504" s="533"/>
      <c r="O2504" s="411" t="s">
        <v>2705</v>
      </c>
      <c r="P2504" s="534"/>
      <c r="Q2504" s="535"/>
      <c r="R2504" s="534"/>
      <c r="W2504" s="361"/>
    </row>
    <row r="2505" spans="6:23" ht="15.75">
      <c r="F2505" s="534"/>
      <c r="G2505" s="533"/>
      <c r="H2505" s="534"/>
      <c r="I2505" s="534">
        <f>SUM(I2499:I2503)</f>
        <v>24</v>
      </c>
      <c r="J2505" s="535" t="s">
        <v>109</v>
      </c>
      <c r="K2505" s="535"/>
      <c r="M2505" s="534"/>
      <c r="N2505" s="533"/>
      <c r="O2505" s="534"/>
      <c r="P2505" s="534"/>
      <c r="Q2505" s="535"/>
      <c r="R2505" s="534"/>
      <c r="W2505" s="361"/>
    </row>
    <row r="2506" spans="6:23" ht="15.75">
      <c r="F2506" s="534"/>
      <c r="G2506" s="533"/>
      <c r="H2506" s="534"/>
      <c r="I2506" s="538" t="s">
        <v>2699</v>
      </c>
      <c r="J2506" s="535"/>
      <c r="K2506" s="534"/>
      <c r="M2506" s="535" t="s">
        <v>2706</v>
      </c>
      <c r="N2506" s="535"/>
      <c r="O2506" s="535"/>
      <c r="P2506" s="537">
        <f>3.77*3.9</f>
        <v>14.702999999999999</v>
      </c>
      <c r="Q2506" s="535" t="s">
        <v>109</v>
      </c>
      <c r="R2506" s="535"/>
      <c r="W2506" s="361"/>
    </row>
    <row r="2507" spans="6:23" ht="15.75">
      <c r="F2507" s="534"/>
      <c r="G2507" s="533"/>
      <c r="H2507" s="534"/>
      <c r="I2507" s="534"/>
      <c r="J2507" s="535"/>
      <c r="K2507" s="534"/>
      <c r="M2507" s="534" t="s">
        <v>2707</v>
      </c>
      <c r="N2507" s="533"/>
      <c r="O2507" s="534"/>
      <c r="P2507" s="534">
        <f>12*0.6*3.14</f>
        <v>22.607999999999997</v>
      </c>
      <c r="Q2507" s="535" t="s">
        <v>109</v>
      </c>
      <c r="R2507" s="535"/>
      <c r="W2507" s="361"/>
    </row>
    <row r="2508" spans="6:23" ht="15.75">
      <c r="F2508" s="534"/>
      <c r="G2508" s="533"/>
      <c r="H2508" s="534"/>
      <c r="I2508" s="534"/>
      <c r="J2508" s="535"/>
      <c r="K2508" s="534"/>
      <c r="M2508" s="534" t="s">
        <v>2708</v>
      </c>
      <c r="N2508" s="533"/>
      <c r="O2508" s="534"/>
      <c r="P2508" s="534">
        <f>2*1.285*1.2</f>
        <v>3.0839999999999996</v>
      </c>
      <c r="Q2508" s="535" t="s">
        <v>109</v>
      </c>
      <c r="R2508" s="535"/>
      <c r="W2508" s="361"/>
    </row>
    <row r="2509" spans="6:23" ht="15.75">
      <c r="F2509" s="534">
        <v>24</v>
      </c>
      <c r="G2509" s="533" t="s">
        <v>213</v>
      </c>
      <c r="H2509" s="534" t="s">
        <v>607</v>
      </c>
      <c r="I2509" s="534">
        <f>I2487</f>
        <v>70.150000000000006</v>
      </c>
      <c r="J2509" s="535" t="s">
        <v>213</v>
      </c>
      <c r="K2509" s="534">
        <f>I2509*F2509</f>
        <v>1683.6000000000001</v>
      </c>
      <c r="M2509" s="534" t="s">
        <v>2688</v>
      </c>
      <c r="N2509" s="533"/>
      <c r="O2509" s="534"/>
      <c r="P2509" s="534">
        <f>3*0.6*1.2</f>
        <v>2.1599999999999997</v>
      </c>
      <c r="Q2509" s="535" t="s">
        <v>109</v>
      </c>
      <c r="R2509" s="535"/>
      <c r="W2509" s="361"/>
    </row>
    <row r="2510" spans="6:23" ht="15.75">
      <c r="F2510" s="534">
        <v>0.36</v>
      </c>
      <c r="G2510" s="533" t="s">
        <v>262</v>
      </c>
      <c r="H2510" s="534" t="s">
        <v>2690</v>
      </c>
      <c r="I2510" s="534">
        <f>I2488</f>
        <v>379.9</v>
      </c>
      <c r="J2510" s="535" t="s">
        <v>262</v>
      </c>
      <c r="K2510" s="534">
        <f>I2510*F2510</f>
        <v>136.76399999999998</v>
      </c>
      <c r="M2510" s="534" t="s">
        <v>2698</v>
      </c>
      <c r="N2510" s="533"/>
      <c r="O2510" s="534"/>
      <c r="P2510" s="534">
        <v>0.16</v>
      </c>
      <c r="Q2510" s="535"/>
      <c r="R2510" s="535"/>
      <c r="W2510" s="361"/>
    </row>
    <row r="2511" spans="6:23" ht="15.75">
      <c r="F2511" s="534">
        <v>0.36</v>
      </c>
      <c r="G2511" s="533" t="s">
        <v>262</v>
      </c>
      <c r="H2511" s="534" t="s">
        <v>2709</v>
      </c>
      <c r="I2511" s="534">
        <f>C200</f>
        <v>40.65</v>
      </c>
      <c r="J2511" s="535" t="s">
        <v>262</v>
      </c>
      <c r="K2511" s="534">
        <f>I2511*F2511</f>
        <v>14.633999999999999</v>
      </c>
      <c r="M2511" s="534"/>
      <c r="N2511" s="533"/>
      <c r="O2511" s="534"/>
      <c r="P2511" s="538" t="s">
        <v>2699</v>
      </c>
      <c r="Q2511" s="535"/>
      <c r="R2511" s="535"/>
      <c r="W2511" s="361"/>
    </row>
    <row r="2512" spans="6:23" ht="15.75">
      <c r="F2512" s="534"/>
      <c r="G2512" s="533"/>
      <c r="H2512" s="534" t="s">
        <v>2710</v>
      </c>
      <c r="I2512" s="718">
        <v>28.34</v>
      </c>
      <c r="J2512" s="535" t="s">
        <v>128</v>
      </c>
      <c r="K2512" s="534">
        <f>28.14</f>
        <v>28.14</v>
      </c>
      <c r="M2512" s="534"/>
      <c r="N2512" s="533"/>
      <c r="O2512" s="534"/>
      <c r="P2512" s="532">
        <f>SUM(P2506:P2510)</f>
        <v>42.714999999999989</v>
      </c>
      <c r="Q2512" s="535" t="s">
        <v>109</v>
      </c>
      <c r="R2512" s="535">
        <f>42.55-42.713</f>
        <v>-0.16300000000000381</v>
      </c>
      <c r="W2512" s="361"/>
    </row>
    <row r="2513" spans="6:23" ht="15.75">
      <c r="F2513" s="534"/>
      <c r="G2513" s="533"/>
      <c r="H2513" s="534"/>
      <c r="I2513" s="534"/>
      <c r="J2513" s="535"/>
      <c r="K2513" s="538" t="s">
        <v>1992</v>
      </c>
      <c r="M2513" s="534"/>
      <c r="N2513" s="533"/>
      <c r="O2513" s="534"/>
      <c r="P2513" s="538" t="s">
        <v>2699</v>
      </c>
      <c r="Q2513" s="535"/>
      <c r="R2513" s="534"/>
      <c r="W2513" s="361"/>
    </row>
    <row r="2514" spans="6:23" ht="15.75">
      <c r="F2514" s="534"/>
      <c r="G2514" s="533"/>
      <c r="H2514" s="411" t="s">
        <v>2693</v>
      </c>
      <c r="I2514" s="534"/>
      <c r="J2514" s="535"/>
      <c r="K2514" s="411">
        <f>SUM(K2509:K2512)</f>
        <v>1863.1380000000001</v>
      </c>
      <c r="M2514" s="534"/>
      <c r="N2514" s="533"/>
      <c r="O2514" s="534"/>
      <c r="P2514" s="534"/>
      <c r="Q2514" s="535"/>
      <c r="R2514" s="534"/>
      <c r="W2514" s="361"/>
    </row>
    <row r="2515" spans="6:23" ht="15.75">
      <c r="F2515" s="534"/>
      <c r="G2515" s="533"/>
      <c r="H2515" s="534"/>
      <c r="I2515" s="534"/>
      <c r="J2515" s="535"/>
      <c r="K2515" s="538" t="s">
        <v>1992</v>
      </c>
      <c r="M2515" s="534"/>
      <c r="N2515" s="533"/>
      <c r="O2515" s="534"/>
      <c r="P2515" s="534"/>
      <c r="Q2515" s="535"/>
      <c r="R2515" s="534"/>
      <c r="W2515" s="361"/>
    </row>
    <row r="2516" spans="6:23" ht="15.75">
      <c r="F2516" s="534"/>
      <c r="G2516" s="533"/>
      <c r="H2516" s="534"/>
      <c r="I2516" s="534"/>
      <c r="J2516" s="535"/>
      <c r="K2516" s="534">
        <f>0.6*0.6</f>
        <v>0.36</v>
      </c>
      <c r="M2516" s="537">
        <f>P2512</f>
        <v>42.714999999999989</v>
      </c>
      <c r="N2516" s="533" t="s">
        <v>213</v>
      </c>
      <c r="O2516" s="534" t="s">
        <v>607</v>
      </c>
      <c r="P2516" s="534">
        <f>I2509</f>
        <v>70.150000000000006</v>
      </c>
      <c r="Q2516" s="535" t="s">
        <v>213</v>
      </c>
      <c r="R2516" s="534">
        <f>P2516*M2516</f>
        <v>2996.4572499999995</v>
      </c>
      <c r="W2516" s="361"/>
    </row>
    <row r="2517" spans="6:23" ht="15.75">
      <c r="F2517" s="534"/>
      <c r="G2517" s="533"/>
      <c r="H2517" s="411" t="s">
        <v>2711</v>
      </c>
      <c r="I2517" s="534"/>
      <c r="J2517" s="535"/>
      <c r="K2517" s="534">
        <f>K2514/K2516</f>
        <v>5175.3833333333341</v>
      </c>
      <c r="M2517" s="534">
        <v>0.77</v>
      </c>
      <c r="N2517" s="533" t="s">
        <v>262</v>
      </c>
      <c r="O2517" s="534" t="s">
        <v>2690</v>
      </c>
      <c r="P2517" s="534">
        <f>I2510</f>
        <v>379.9</v>
      </c>
      <c r="Q2517" s="535" t="s">
        <v>262</v>
      </c>
      <c r="R2517" s="534">
        <f>P2517*M2517</f>
        <v>292.52299999999997</v>
      </c>
      <c r="W2517" s="361"/>
    </row>
    <row r="2518" spans="6:23" ht="15.75">
      <c r="F2518" s="534"/>
      <c r="G2518" s="533"/>
      <c r="H2518" s="534"/>
      <c r="I2518" s="534"/>
      <c r="J2518" s="535"/>
      <c r="K2518" s="534"/>
      <c r="M2518" s="534">
        <v>0.77</v>
      </c>
      <c r="N2518" s="533" t="s">
        <v>262</v>
      </c>
      <c r="O2518" s="534" t="s">
        <v>2709</v>
      </c>
      <c r="P2518" s="534">
        <f>I2511</f>
        <v>40.65</v>
      </c>
      <c r="Q2518" s="535" t="s">
        <v>262</v>
      </c>
      <c r="R2518" s="534">
        <f>P2518*M2518</f>
        <v>31.3005</v>
      </c>
      <c r="W2518" s="361"/>
    </row>
    <row r="2519" spans="6:23" ht="15.75">
      <c r="F2519" s="411" t="s">
        <v>2712</v>
      </c>
      <c r="G2519" s="455"/>
      <c r="H2519" s="534"/>
      <c r="I2519" s="534"/>
      <c r="J2519" s="535"/>
      <c r="K2519" s="534"/>
      <c r="M2519" s="534"/>
      <c r="N2519" s="533"/>
      <c r="O2519" s="534" t="s">
        <v>2710</v>
      </c>
      <c r="P2519" s="534">
        <f>I2512</f>
        <v>28.34</v>
      </c>
      <c r="Q2519" s="535" t="s">
        <v>128</v>
      </c>
      <c r="R2519" s="534">
        <f>28.34+0.11</f>
        <v>28.45</v>
      </c>
      <c r="W2519" s="361"/>
    </row>
    <row r="2520" spans="6:23" ht="15.75">
      <c r="F2520" s="534"/>
      <c r="G2520" s="533"/>
      <c r="H2520" s="534"/>
      <c r="I2520" s="534"/>
      <c r="J2520" s="535"/>
      <c r="K2520" s="534"/>
      <c r="M2520" s="534"/>
      <c r="N2520" s="533"/>
      <c r="O2520" s="534"/>
      <c r="P2520" s="534"/>
      <c r="Q2520" s="535"/>
      <c r="R2520" s="538" t="s">
        <v>1992</v>
      </c>
      <c r="W2520" s="361"/>
    </row>
    <row r="2521" spans="6:23" ht="15.75">
      <c r="F2521" s="534" t="s">
        <v>2713</v>
      </c>
      <c r="G2521" s="533"/>
      <c r="H2521" s="534"/>
      <c r="I2521" s="534">
        <v>3.93</v>
      </c>
      <c r="J2521" s="535" t="s">
        <v>213</v>
      </c>
      <c r="K2521" s="534"/>
      <c r="M2521" s="534"/>
      <c r="N2521" s="533"/>
      <c r="O2521" s="411" t="s">
        <v>2693</v>
      </c>
      <c r="P2521" s="534"/>
      <c r="Q2521" s="535"/>
      <c r="R2521" s="411">
        <f>SUM(R2516:R2519)</f>
        <v>3348.7307499999993</v>
      </c>
      <c r="W2521" s="361"/>
    </row>
    <row r="2522" spans="6:23" ht="15.75">
      <c r="F2522" s="534" t="s">
        <v>2714</v>
      </c>
      <c r="G2522" s="533"/>
      <c r="H2522" s="534"/>
      <c r="I2522" s="534">
        <v>3.14</v>
      </c>
      <c r="J2522" s="535" t="s">
        <v>213</v>
      </c>
      <c r="K2522" s="534"/>
      <c r="M2522" s="534"/>
      <c r="N2522" s="533"/>
      <c r="O2522" s="534"/>
      <c r="P2522" s="534"/>
      <c r="Q2522" s="535"/>
      <c r="R2522" s="538" t="s">
        <v>1992</v>
      </c>
      <c r="W2522" s="361"/>
    </row>
    <row r="2523" spans="6:23" ht="15.75">
      <c r="F2523" s="534" t="s">
        <v>2715</v>
      </c>
      <c r="G2523" s="533"/>
      <c r="H2523" s="534"/>
      <c r="I2523" s="534">
        <v>1.18</v>
      </c>
      <c r="J2523" s="535" t="s">
        <v>213</v>
      </c>
      <c r="K2523" s="534"/>
      <c r="M2523" s="534"/>
      <c r="N2523" s="533"/>
      <c r="O2523" s="580" t="s">
        <v>2700</v>
      </c>
      <c r="P2523" s="534"/>
      <c r="Q2523" s="535"/>
      <c r="R2523" s="411">
        <f>R2521/M2517</f>
        <v>4349.0009740259729</v>
      </c>
      <c r="W2523" s="361"/>
    </row>
    <row r="2524" spans="6:23" ht="15.75">
      <c r="F2524" s="534"/>
      <c r="G2524" s="533"/>
      <c r="H2524" s="534"/>
      <c r="I2524" s="534"/>
      <c r="J2524" s="535"/>
      <c r="K2524" s="534"/>
      <c r="N2524" s="35">
        <f>1.285*0.6</f>
        <v>0.77099999999999991</v>
      </c>
      <c r="W2524" s="361"/>
    </row>
    <row r="2525" spans="6:23" ht="15.75">
      <c r="F2525" s="534"/>
      <c r="G2525" s="533"/>
      <c r="H2525" s="534"/>
      <c r="I2525" s="534"/>
      <c r="J2525" s="535"/>
      <c r="K2525" s="534"/>
      <c r="W2525" s="361"/>
    </row>
    <row r="2526" spans="6:23" ht="15.75">
      <c r="F2526" s="534"/>
      <c r="G2526" s="533"/>
      <c r="H2526" s="411" t="s">
        <v>2711</v>
      </c>
      <c r="I2526" s="534"/>
      <c r="J2526" s="535"/>
      <c r="K2526" s="534"/>
      <c r="W2526" s="361"/>
    </row>
    <row r="2527" spans="6:23" ht="15.75">
      <c r="F2527" s="534"/>
      <c r="G2527" s="533"/>
      <c r="H2527" s="534"/>
      <c r="I2527" s="534"/>
      <c r="J2527" s="535"/>
      <c r="K2527" s="534"/>
      <c r="W2527" s="361"/>
    </row>
    <row r="2528" spans="6:23" ht="15.75">
      <c r="F2528" s="534"/>
      <c r="G2528" s="533"/>
      <c r="H2528" s="534"/>
      <c r="I2528" s="534"/>
      <c r="J2528" s="535"/>
      <c r="K2528" s="534"/>
      <c r="W2528" s="361"/>
    </row>
    <row r="2529" spans="6:23" ht="15.75">
      <c r="F2529" s="534" t="s">
        <v>2716</v>
      </c>
      <c r="G2529" s="533"/>
      <c r="H2529" s="534"/>
      <c r="I2529" s="534">
        <v>24.34</v>
      </c>
      <c r="J2529" s="535" t="s">
        <v>213</v>
      </c>
      <c r="K2529" s="534"/>
      <c r="W2529" s="361"/>
    </row>
    <row r="2530" spans="6:23" ht="15.75">
      <c r="F2530" s="534" t="s">
        <v>2717</v>
      </c>
      <c r="G2530" s="533"/>
      <c r="H2530" s="534"/>
      <c r="I2530" s="534">
        <v>11.78</v>
      </c>
      <c r="J2530" s="535" t="s">
        <v>213</v>
      </c>
      <c r="K2530" s="534"/>
      <c r="W2530" s="361"/>
    </row>
    <row r="2531" spans="6:23" ht="15.75">
      <c r="F2531" s="534" t="s">
        <v>2718</v>
      </c>
      <c r="G2531" s="533"/>
      <c r="H2531" s="534"/>
      <c r="I2531" s="534">
        <v>59.35</v>
      </c>
      <c r="J2531" s="535" t="s">
        <v>213</v>
      </c>
      <c r="K2531" s="534"/>
      <c r="W2531" s="361"/>
    </row>
    <row r="2532" spans="6:23" ht="15.75">
      <c r="F2532" s="534" t="s">
        <v>2719</v>
      </c>
      <c r="G2532" s="533"/>
      <c r="H2532" s="534"/>
      <c r="I2532" s="534">
        <v>5.04</v>
      </c>
      <c r="J2532" s="535" t="s">
        <v>213</v>
      </c>
      <c r="K2532" s="534"/>
      <c r="W2532" s="361"/>
    </row>
    <row r="2533" spans="6:23" ht="15.75">
      <c r="F2533" s="534" t="s">
        <v>2720</v>
      </c>
      <c r="G2533" s="533"/>
      <c r="H2533" s="534"/>
      <c r="I2533" s="534">
        <v>4.8</v>
      </c>
      <c r="J2533" s="535" t="s">
        <v>213</v>
      </c>
      <c r="K2533" s="534"/>
      <c r="W2533" s="361"/>
    </row>
    <row r="2534" spans="6:23" ht="15.75">
      <c r="F2534" s="534" t="s">
        <v>2721</v>
      </c>
      <c r="G2534" s="533"/>
      <c r="H2534" s="534"/>
      <c r="I2534" s="534">
        <v>2.69</v>
      </c>
      <c r="J2534" s="535"/>
      <c r="K2534" s="534"/>
      <c r="W2534" s="361"/>
    </row>
    <row r="2535" spans="6:23" ht="15.75">
      <c r="F2535" s="534"/>
      <c r="G2535" s="533"/>
      <c r="H2535" s="534"/>
      <c r="I2535" s="538" t="s">
        <v>2699</v>
      </c>
      <c r="J2535" s="535"/>
      <c r="K2535" s="534"/>
      <c r="W2535" s="361"/>
    </row>
    <row r="2536" spans="6:23" ht="15.75">
      <c r="F2536" s="534"/>
      <c r="G2536" s="533"/>
      <c r="H2536" s="534"/>
      <c r="I2536" s="411">
        <f>SUM(I2529:I2534)</f>
        <v>108</v>
      </c>
      <c r="J2536" s="535" t="s">
        <v>213</v>
      </c>
      <c r="K2536" s="534"/>
      <c r="W2536" s="361"/>
    </row>
    <row r="2537" spans="6:23" ht="15.75">
      <c r="F2537" s="534"/>
      <c r="G2537" s="533"/>
      <c r="H2537" s="534"/>
      <c r="I2537" s="538" t="s">
        <v>2699</v>
      </c>
      <c r="J2537" s="535"/>
      <c r="K2537" s="534"/>
      <c r="W2537" s="361"/>
    </row>
    <row r="2538" spans="6:23" ht="15.75">
      <c r="F2538" s="534"/>
      <c r="G2538" s="533"/>
      <c r="H2538" s="534"/>
      <c r="I2538" s="534"/>
      <c r="J2538" s="535"/>
      <c r="K2538" s="534"/>
      <c r="L2538" s="35" t="s">
        <v>2722</v>
      </c>
      <c r="W2538" s="361"/>
    </row>
    <row r="2539" spans="6:23" ht="15.75">
      <c r="F2539" s="534">
        <v>108</v>
      </c>
      <c r="G2539" s="533" t="s">
        <v>213</v>
      </c>
      <c r="H2539" s="534" t="s">
        <v>2723</v>
      </c>
      <c r="I2539" s="534">
        <f>I2468</f>
        <v>70.150000000000006</v>
      </c>
      <c r="J2539" s="535" t="s">
        <v>213</v>
      </c>
      <c r="K2539" s="534">
        <f>F2539*I2539</f>
        <v>7576.2000000000007</v>
      </c>
      <c r="W2539" s="361"/>
    </row>
    <row r="2540" spans="6:23" ht="15.75">
      <c r="F2540" s="534">
        <v>2.1</v>
      </c>
      <c r="G2540" s="533" t="s">
        <v>262</v>
      </c>
      <c r="H2540" s="534" t="s">
        <v>2690</v>
      </c>
      <c r="I2540" s="534">
        <f>I2469</f>
        <v>379.9</v>
      </c>
      <c r="J2540" s="535" t="s">
        <v>262</v>
      </c>
      <c r="K2540" s="534">
        <f>F2540*I2540</f>
        <v>797.79</v>
      </c>
      <c r="L2540" s="36">
        <v>42.713000000000001</v>
      </c>
      <c r="W2540" s="361"/>
    </row>
    <row r="2541" spans="6:23" ht="15.75">
      <c r="F2541" s="534">
        <v>2.1</v>
      </c>
      <c r="G2541" s="533" t="s">
        <v>262</v>
      </c>
      <c r="H2541" s="534" t="s">
        <v>2724</v>
      </c>
      <c r="I2541" s="534">
        <f>I2470</f>
        <v>116.55</v>
      </c>
      <c r="J2541" s="535" t="s">
        <v>262</v>
      </c>
      <c r="K2541" s="534">
        <f>F2541*I2541</f>
        <v>244.755</v>
      </c>
      <c r="L2541" s="35">
        <v>0.77</v>
      </c>
      <c r="W2541" s="361"/>
    </row>
    <row r="2542" spans="6:23" ht="15.75">
      <c r="F2542" s="534"/>
      <c r="G2542" s="533"/>
      <c r="H2542" s="534" t="s">
        <v>2725</v>
      </c>
      <c r="I2542" s="534">
        <v>267.10000000000002</v>
      </c>
      <c r="J2542" s="535" t="s">
        <v>128</v>
      </c>
      <c r="K2542" s="534">
        <f>I2542</f>
        <v>267.10000000000002</v>
      </c>
      <c r="L2542" s="35">
        <v>0.77</v>
      </c>
      <c r="W2542" s="361"/>
    </row>
    <row r="2543" spans="6:23" ht="15.75">
      <c r="F2543" s="534"/>
      <c r="G2543" s="533"/>
      <c r="H2543" s="534"/>
      <c r="I2543" s="534"/>
      <c r="J2543" s="535"/>
      <c r="K2543" s="538" t="s">
        <v>1992</v>
      </c>
      <c r="W2543" s="361"/>
    </row>
    <row r="2544" spans="6:23" ht="15.75">
      <c r="F2544" s="534"/>
      <c r="G2544" s="533"/>
      <c r="H2544" s="534"/>
      <c r="I2544" s="534"/>
      <c r="J2544" s="535"/>
      <c r="K2544" s="534">
        <f>SUM(K2539:K2542)</f>
        <v>8885.8450000000012</v>
      </c>
      <c r="W2544" s="361"/>
    </row>
    <row r="2545" spans="6:23" ht="15.75">
      <c r="F2545" s="534"/>
      <c r="G2545" s="533"/>
      <c r="H2545" s="534" t="s">
        <v>2726</v>
      </c>
      <c r="I2545" s="534">
        <v>500</v>
      </c>
      <c r="J2545" s="535" t="s">
        <v>128</v>
      </c>
      <c r="K2545" s="534">
        <f>I2545</f>
        <v>500</v>
      </c>
      <c r="W2545" s="361"/>
    </row>
    <row r="2546" spans="6:23" ht="15.75">
      <c r="F2546" s="534"/>
      <c r="G2546" s="533"/>
      <c r="H2546" s="534"/>
      <c r="I2546" s="534"/>
      <c r="J2546" s="535"/>
      <c r="K2546" s="538" t="s">
        <v>1992</v>
      </c>
      <c r="W2546" s="361"/>
    </row>
    <row r="2547" spans="6:23" ht="15.75">
      <c r="F2547" s="534"/>
      <c r="G2547" s="533"/>
      <c r="H2547" s="411" t="s">
        <v>2727</v>
      </c>
      <c r="I2547" s="534"/>
      <c r="J2547" s="535"/>
      <c r="K2547" s="411">
        <f>SUM(K2544:K2545)</f>
        <v>9385.8450000000012</v>
      </c>
      <c r="W2547" s="361"/>
    </row>
    <row r="2548" spans="6:23" ht="15.75">
      <c r="F2548" s="534"/>
      <c r="G2548" s="533"/>
      <c r="H2548" s="534"/>
      <c r="I2548" s="534"/>
      <c r="J2548" s="535"/>
      <c r="K2548" s="538" t="s">
        <v>1992</v>
      </c>
      <c r="W2548" s="361"/>
    </row>
    <row r="2549" spans="6:23" ht="15.75">
      <c r="F2549" s="534"/>
      <c r="G2549" s="533"/>
      <c r="H2549" s="534"/>
      <c r="I2549" s="534"/>
      <c r="J2549" s="535"/>
      <c r="K2549" s="534"/>
      <c r="W2549" s="361"/>
    </row>
    <row r="2550" spans="6:23" ht="15.75">
      <c r="F2550" s="534"/>
      <c r="G2550" s="533"/>
      <c r="H2550" s="534"/>
      <c r="I2550" s="534"/>
      <c r="J2550" s="535"/>
      <c r="K2550" s="534">
        <f>8054-K2547</f>
        <v>-1331.8450000000012</v>
      </c>
      <c r="W2550" s="361"/>
    </row>
    <row r="2551" spans="6:23" ht="15.75">
      <c r="F2551" s="534"/>
      <c r="G2551" s="533"/>
      <c r="H2551" s="534"/>
      <c r="I2551" s="534"/>
      <c r="J2551" s="535"/>
      <c r="K2551" s="534"/>
      <c r="W2551" s="361"/>
    </row>
    <row r="2552" spans="6:23" ht="15.75">
      <c r="F2552" s="534"/>
      <c r="G2552" s="533"/>
      <c r="H2552" s="411" t="s">
        <v>2728</v>
      </c>
      <c r="I2552" s="534"/>
      <c r="J2552" s="535"/>
      <c r="K2552" s="534"/>
      <c r="W2552" s="361"/>
    </row>
    <row r="2553" spans="6:23" ht="15.75">
      <c r="F2553" s="534"/>
      <c r="G2553" s="533"/>
      <c r="H2553" s="534"/>
      <c r="I2553" s="534"/>
      <c r="J2553" s="535"/>
      <c r="K2553" s="534"/>
      <c r="W2553" s="361"/>
    </row>
    <row r="2554" spans="6:23" ht="15.75">
      <c r="F2554" s="411" t="s">
        <v>2712</v>
      </c>
      <c r="G2554" s="455"/>
      <c r="H2554" s="534"/>
      <c r="I2554" s="534"/>
      <c r="J2554" s="535"/>
      <c r="K2554" s="534"/>
      <c r="W2554" s="361"/>
    </row>
    <row r="2555" spans="6:23" ht="15.75">
      <c r="F2555" s="534"/>
      <c r="G2555" s="533"/>
      <c r="H2555" s="534"/>
      <c r="I2555" s="534"/>
      <c r="J2555" s="535"/>
      <c r="K2555" s="534"/>
      <c r="W2555" s="361"/>
    </row>
    <row r="2556" spans="6:23" ht="15.75">
      <c r="F2556" s="534" t="s">
        <v>2729</v>
      </c>
      <c r="G2556" s="533"/>
      <c r="H2556" s="534"/>
      <c r="I2556" s="537">
        <v>2.944</v>
      </c>
      <c r="J2556" s="535" t="s">
        <v>213</v>
      </c>
      <c r="K2556" s="534"/>
      <c r="W2556" s="361"/>
    </row>
    <row r="2557" spans="6:23" ht="15.75">
      <c r="F2557" s="534" t="s">
        <v>2730</v>
      </c>
      <c r="G2557" s="533"/>
      <c r="H2557" s="534"/>
      <c r="I2557" s="537">
        <v>2.355</v>
      </c>
      <c r="J2557" s="535" t="s">
        <v>213</v>
      </c>
      <c r="K2557" s="534"/>
      <c r="W2557" s="361"/>
    </row>
    <row r="2558" spans="6:23" ht="15.75">
      <c r="F2558" s="534" t="s">
        <v>2731</v>
      </c>
      <c r="G2558" s="533"/>
      <c r="H2558" s="534"/>
      <c r="I2558" s="537">
        <v>0.88300000000000001</v>
      </c>
      <c r="J2558" s="535" t="s">
        <v>213</v>
      </c>
      <c r="K2558" s="534"/>
      <c r="W2558" s="361"/>
    </row>
    <row r="2559" spans="6:23" ht="15.75">
      <c r="F2559" s="534"/>
      <c r="G2559" s="533"/>
      <c r="H2559" s="534"/>
      <c r="I2559" s="534"/>
      <c r="J2559" s="535"/>
      <c r="K2559" s="534"/>
      <c r="W2559" s="361"/>
    </row>
    <row r="2560" spans="6:23" ht="15.75">
      <c r="F2560" s="534"/>
      <c r="G2560" s="533"/>
      <c r="H2560" s="534"/>
      <c r="I2560" s="534"/>
      <c r="J2560" s="535"/>
      <c r="K2560" s="534"/>
      <c r="W2560" s="361"/>
    </row>
    <row r="2561" spans="6:23" ht="15.75">
      <c r="F2561" s="534"/>
      <c r="G2561" s="533"/>
      <c r="H2561" s="411" t="s">
        <v>2728</v>
      </c>
      <c r="I2561" s="534"/>
      <c r="J2561" s="535"/>
      <c r="K2561" s="534"/>
      <c r="W2561" s="361"/>
    </row>
    <row r="2562" spans="6:23" ht="15.75">
      <c r="F2562" s="534"/>
      <c r="G2562" s="533"/>
      <c r="H2562" s="534"/>
      <c r="I2562" s="534"/>
      <c r="J2562" s="535"/>
      <c r="K2562" s="534"/>
      <c r="W2562" s="361"/>
    </row>
    <row r="2563" spans="6:23" ht="15.75">
      <c r="F2563" s="534"/>
      <c r="G2563" s="533"/>
      <c r="H2563" s="534"/>
      <c r="I2563" s="534"/>
      <c r="J2563" s="535"/>
      <c r="K2563" s="534"/>
      <c r="M2563" s="534"/>
      <c r="N2563" s="719">
        <v>24.1</v>
      </c>
      <c r="O2563" s="411" t="s">
        <v>2705</v>
      </c>
      <c r="P2563" s="534"/>
      <c r="Q2563" s="535"/>
      <c r="R2563" s="534"/>
      <c r="W2563" s="361"/>
    </row>
    <row r="2564" spans="6:23" ht="15.75">
      <c r="F2564" s="534" t="s">
        <v>2732</v>
      </c>
      <c r="G2564" s="533"/>
      <c r="H2564" s="534"/>
      <c r="I2564" s="534">
        <v>16.38</v>
      </c>
      <c r="J2564" s="535" t="s">
        <v>213</v>
      </c>
      <c r="K2564" s="534"/>
      <c r="M2564" s="534"/>
      <c r="N2564" s="720" t="s">
        <v>156</v>
      </c>
      <c r="O2564" s="721"/>
      <c r="P2564" s="534"/>
      <c r="Q2564" s="535"/>
      <c r="R2564" s="534"/>
      <c r="W2564" s="361"/>
    </row>
    <row r="2565" spans="6:23" ht="15.75">
      <c r="F2565" s="534" t="s">
        <v>2733</v>
      </c>
      <c r="G2565" s="533"/>
      <c r="H2565" s="534"/>
      <c r="I2565" s="534">
        <v>8.7799999999999994</v>
      </c>
      <c r="J2565" s="535" t="s">
        <v>213</v>
      </c>
      <c r="K2565" s="534"/>
      <c r="M2565" s="535" t="s">
        <v>2734</v>
      </c>
      <c r="N2565" s="535"/>
      <c r="O2565" s="535"/>
      <c r="P2565" s="534">
        <v>14.8</v>
      </c>
      <c r="Q2565" s="535" t="s">
        <v>109</v>
      </c>
      <c r="R2565" s="534"/>
      <c r="W2565" s="361"/>
    </row>
    <row r="2566" spans="6:23" ht="15.75">
      <c r="F2566" s="534" t="s">
        <v>2735</v>
      </c>
      <c r="G2566" s="533"/>
      <c r="H2566" s="534"/>
      <c r="I2566" s="534">
        <v>37.67</v>
      </c>
      <c r="J2566" s="535" t="s">
        <v>213</v>
      </c>
      <c r="K2566" s="534"/>
      <c r="M2566" s="534" t="s">
        <v>2686</v>
      </c>
      <c r="N2566" s="533"/>
      <c r="O2566" s="534"/>
      <c r="P2566" s="534">
        <v>22.61</v>
      </c>
      <c r="Q2566" s="535" t="s">
        <v>109</v>
      </c>
      <c r="R2566" s="534"/>
      <c r="W2566" s="361"/>
    </row>
    <row r="2567" spans="6:23" ht="15.75">
      <c r="F2567" s="534" t="s">
        <v>2736</v>
      </c>
      <c r="G2567" s="533"/>
      <c r="H2567" s="534"/>
      <c r="I2567" s="534">
        <v>3.24</v>
      </c>
      <c r="J2567" s="535" t="s">
        <v>213</v>
      </c>
      <c r="K2567" s="534"/>
      <c r="M2567" s="534" t="s">
        <v>2687</v>
      </c>
      <c r="N2567" s="533"/>
      <c r="O2567" s="534"/>
      <c r="P2567" s="534">
        <v>3.24</v>
      </c>
      <c r="Q2567" s="535" t="s">
        <v>109</v>
      </c>
      <c r="R2567" s="534"/>
      <c r="W2567" s="361"/>
    </row>
    <row r="2568" spans="6:23" ht="15.75">
      <c r="F2568" s="534" t="s">
        <v>2737</v>
      </c>
      <c r="G2568" s="533"/>
      <c r="H2568" s="534"/>
      <c r="I2568" s="534">
        <v>3.6</v>
      </c>
      <c r="J2568" s="535" t="s">
        <v>213</v>
      </c>
      <c r="K2568" s="534"/>
      <c r="M2568" s="534" t="s">
        <v>2688</v>
      </c>
      <c r="N2568" s="533"/>
      <c r="O2568" s="534"/>
      <c r="P2568" s="534">
        <v>2.16</v>
      </c>
      <c r="Q2568" s="535" t="s">
        <v>109</v>
      </c>
      <c r="R2568" s="534"/>
      <c r="W2568" s="361"/>
    </row>
    <row r="2569" spans="6:23" ht="15.75">
      <c r="F2569" s="534" t="s">
        <v>2721</v>
      </c>
      <c r="G2569" s="533"/>
      <c r="H2569" s="534"/>
      <c r="I2569" s="534">
        <v>2.88</v>
      </c>
      <c r="J2569" s="535"/>
      <c r="K2569" s="534"/>
      <c r="M2569" s="534"/>
      <c r="N2569" s="533"/>
      <c r="O2569" s="534"/>
      <c r="P2569" s="534"/>
      <c r="Q2569" s="535"/>
      <c r="R2569" s="534"/>
      <c r="W2569" s="361"/>
    </row>
    <row r="2570" spans="6:23" ht="15.75">
      <c r="F2570" s="534"/>
      <c r="G2570" s="533"/>
      <c r="H2570" s="534"/>
      <c r="I2570" s="538" t="s">
        <v>2699</v>
      </c>
      <c r="J2570" s="535"/>
      <c r="K2570" s="534"/>
      <c r="M2570" s="534"/>
      <c r="N2570" s="533"/>
      <c r="O2570" s="534"/>
      <c r="P2570" s="538" t="s">
        <v>1992</v>
      </c>
      <c r="Q2570" s="535"/>
      <c r="R2570" s="534"/>
      <c r="W2570" s="361"/>
    </row>
    <row r="2571" spans="6:23" ht="15.75">
      <c r="F2571" s="534"/>
      <c r="G2571" s="533"/>
      <c r="H2571" s="534"/>
      <c r="I2571" s="411">
        <f>SUM(I2564:I2569)</f>
        <v>72.549999999999983</v>
      </c>
      <c r="J2571" s="535" t="s">
        <v>213</v>
      </c>
      <c r="K2571" s="534"/>
      <c r="M2571" s="534"/>
      <c r="N2571" s="533"/>
      <c r="O2571" s="534"/>
      <c r="P2571" s="534">
        <f>SUM(P2565:P2569)</f>
        <v>42.81</v>
      </c>
      <c r="Q2571" s="535"/>
      <c r="R2571" s="534"/>
      <c r="W2571" s="361"/>
    </row>
    <row r="2572" spans="6:23" ht="15.75">
      <c r="F2572" s="534"/>
      <c r="G2572" s="533"/>
      <c r="H2572" s="534"/>
      <c r="I2572" s="538" t="s">
        <v>2699</v>
      </c>
      <c r="J2572" s="535"/>
      <c r="K2572" s="534"/>
      <c r="M2572" s="534"/>
      <c r="N2572" s="533"/>
      <c r="O2572" s="534"/>
      <c r="P2572" s="534" t="s">
        <v>2689</v>
      </c>
      <c r="Q2572" s="535"/>
      <c r="R2572" s="534"/>
      <c r="W2572" s="361"/>
    </row>
    <row r="2573" spans="6:23" ht="15.75">
      <c r="F2573" s="534"/>
      <c r="G2573" s="533"/>
      <c r="H2573" s="534"/>
      <c r="I2573" s="534"/>
      <c r="J2573" s="535"/>
      <c r="K2573" s="534"/>
      <c r="M2573" s="534"/>
      <c r="N2573" s="533"/>
      <c r="O2573" s="534"/>
      <c r="P2573" s="534"/>
      <c r="Q2573" s="535"/>
      <c r="R2573" s="534"/>
      <c r="W2573" s="361"/>
    </row>
    <row r="2574" spans="6:23" ht="15.75">
      <c r="F2574" s="534">
        <v>72.55</v>
      </c>
      <c r="G2574" s="533" t="s">
        <v>213</v>
      </c>
      <c r="H2574" s="534" t="s">
        <v>2723</v>
      </c>
      <c r="I2574" s="534">
        <f>I2539</f>
        <v>70.150000000000006</v>
      </c>
      <c r="J2574" s="535" t="s">
        <v>213</v>
      </c>
      <c r="K2574" s="534">
        <f>F2574*I2574</f>
        <v>5089.3825000000006</v>
      </c>
      <c r="M2574" s="534"/>
      <c r="N2574" s="533"/>
      <c r="O2574" s="534"/>
      <c r="P2574" s="534"/>
      <c r="Q2574" s="535"/>
      <c r="R2574" s="534"/>
      <c r="W2574" s="361"/>
    </row>
    <row r="2575" spans="6:23" ht="15.75">
      <c r="F2575" s="534">
        <v>1.01</v>
      </c>
      <c r="G2575" s="533" t="s">
        <v>262</v>
      </c>
      <c r="H2575" s="534" t="s">
        <v>2690</v>
      </c>
      <c r="I2575" s="534">
        <f>I2540</f>
        <v>379.9</v>
      </c>
      <c r="J2575" s="535" t="s">
        <v>262</v>
      </c>
      <c r="K2575" s="534">
        <f>F2575*I2575</f>
        <v>383.69899999999996</v>
      </c>
      <c r="M2575" s="534">
        <v>42.81</v>
      </c>
      <c r="N2575" s="533" t="s">
        <v>213</v>
      </c>
      <c r="O2575" s="35" t="s">
        <v>2738</v>
      </c>
      <c r="P2575" s="534">
        <f>I2574</f>
        <v>70.150000000000006</v>
      </c>
      <c r="Q2575" s="535" t="s">
        <v>213</v>
      </c>
      <c r="R2575" s="534">
        <f>P2575*M2575</f>
        <v>3003.1215000000002</v>
      </c>
      <c r="W2575" s="361"/>
    </row>
    <row r="2576" spans="6:23" ht="15.75">
      <c r="F2576" s="534">
        <v>1.01</v>
      </c>
      <c r="G2576" s="533" t="s">
        <v>262</v>
      </c>
      <c r="H2576" s="534" t="str">
        <f>H2541</f>
        <v>Fly proof mesh</v>
      </c>
      <c r="I2576" s="534">
        <f>I2541</f>
        <v>116.55</v>
      </c>
      <c r="J2576" s="535" t="s">
        <v>262</v>
      </c>
      <c r="K2576" s="534">
        <f>F2576*I2576</f>
        <v>117.71549999999999</v>
      </c>
      <c r="M2576" s="534">
        <v>0.77</v>
      </c>
      <c r="N2576" s="533" t="s">
        <v>262</v>
      </c>
      <c r="O2576" s="534" t="s">
        <v>2739</v>
      </c>
      <c r="P2576" s="534">
        <f>I2575</f>
        <v>379.9</v>
      </c>
      <c r="Q2576" s="535" t="s">
        <v>262</v>
      </c>
      <c r="R2576" s="534">
        <f>P2576*M2576</f>
        <v>292.52299999999997</v>
      </c>
      <c r="W2576" s="361"/>
    </row>
    <row r="2577" spans="6:25" ht="15.75">
      <c r="F2577" s="534"/>
      <c r="G2577" s="533"/>
      <c r="H2577" s="534" t="s">
        <v>2725</v>
      </c>
      <c r="I2577" s="534">
        <v>266.49</v>
      </c>
      <c r="J2577" s="535" t="s">
        <v>128</v>
      </c>
      <c r="K2577" s="534">
        <f>I2577</f>
        <v>266.49</v>
      </c>
      <c r="M2577" s="534">
        <v>0.77</v>
      </c>
      <c r="N2577" s="533" t="s">
        <v>262</v>
      </c>
      <c r="O2577" s="579" t="s">
        <v>2740</v>
      </c>
      <c r="P2577" s="404">
        <f>I2576</f>
        <v>116.55</v>
      </c>
      <c r="Q2577" s="535" t="s">
        <v>262</v>
      </c>
      <c r="R2577" s="534">
        <f>P2577*M2577</f>
        <v>89.743499999999997</v>
      </c>
      <c r="W2577" s="361"/>
    </row>
    <row r="2578" spans="6:25" ht="15.75">
      <c r="F2578" s="534"/>
      <c r="G2578" s="533"/>
      <c r="H2578" s="534"/>
      <c r="I2578" s="534"/>
      <c r="J2578" s="535"/>
      <c r="K2578" s="538" t="s">
        <v>1992</v>
      </c>
      <c r="M2578" s="534"/>
      <c r="N2578" s="533"/>
      <c r="O2578" s="534" t="s">
        <v>2692</v>
      </c>
      <c r="P2578" s="465">
        <f>46.62+0.48</f>
        <v>47.099999999999994</v>
      </c>
      <c r="Q2578" s="535" t="s">
        <v>128</v>
      </c>
      <c r="R2578" s="534">
        <f>P2578</f>
        <v>47.099999999999994</v>
      </c>
      <c r="W2578" s="361"/>
    </row>
    <row r="2579" spans="6:25" ht="15.75">
      <c r="F2579" s="534"/>
      <c r="G2579" s="533"/>
      <c r="H2579" s="534"/>
      <c r="I2579" s="534"/>
      <c r="J2579" s="535"/>
      <c r="K2579" s="534">
        <f>SUM(K2574:K2577)</f>
        <v>5857.2870000000003</v>
      </c>
      <c r="M2579" s="534"/>
      <c r="N2579" s="533"/>
      <c r="O2579" s="534"/>
      <c r="P2579" s="534"/>
      <c r="Q2579" s="535"/>
      <c r="R2579" s="538" t="s">
        <v>1992</v>
      </c>
      <c r="W2579" s="361"/>
    </row>
    <row r="2580" spans="6:25" ht="15.75">
      <c r="F2580" s="534"/>
      <c r="G2580" s="533"/>
      <c r="H2580" s="534" t="s">
        <v>2726</v>
      </c>
      <c r="I2580" s="534">
        <v>255</v>
      </c>
      <c r="J2580" s="535" t="s">
        <v>128</v>
      </c>
      <c r="K2580" s="35">
        <v>255</v>
      </c>
      <c r="M2580" s="534"/>
      <c r="N2580" s="533"/>
      <c r="O2580" s="411" t="s">
        <v>2693</v>
      </c>
      <c r="P2580" s="534"/>
      <c r="Q2580" s="535"/>
      <c r="R2580" s="411">
        <f>SUM(R2575:R2578)</f>
        <v>3432.4880000000003</v>
      </c>
      <c r="W2580" s="361"/>
    </row>
    <row r="2581" spans="6:25" ht="15.75">
      <c r="F2581" s="534"/>
      <c r="G2581" s="533"/>
      <c r="H2581" s="534"/>
      <c r="I2581" s="534"/>
      <c r="J2581" s="535"/>
      <c r="K2581" s="538" t="s">
        <v>1992</v>
      </c>
      <c r="M2581" s="534"/>
      <c r="N2581" s="533"/>
      <c r="O2581" s="534"/>
      <c r="P2581" s="534"/>
      <c r="Q2581" s="535"/>
      <c r="R2581" s="538" t="s">
        <v>1992</v>
      </c>
      <c r="W2581" s="361"/>
    </row>
    <row r="2582" spans="6:25" ht="15.75">
      <c r="F2582" s="534"/>
      <c r="G2582" s="533"/>
      <c r="H2582" s="411" t="s">
        <v>2727</v>
      </c>
      <c r="I2582" s="534"/>
      <c r="J2582" s="535"/>
      <c r="K2582" s="411">
        <f>SUM(K2579:K2580)</f>
        <v>6112.2870000000003</v>
      </c>
      <c r="N2582" s="358"/>
      <c r="O2582" s="35">
        <f>1.285*0.6</f>
        <v>0.77099999999999991</v>
      </c>
      <c r="Q2582" s="360"/>
      <c r="R2582" s="35">
        <f>R2580/O2582</f>
        <v>4451.9948119325563</v>
      </c>
      <c r="W2582" s="361"/>
    </row>
    <row r="2583" spans="6:25" ht="15.75">
      <c r="F2583" s="534"/>
      <c r="G2583" s="533"/>
      <c r="H2583" s="534"/>
      <c r="I2583" s="534"/>
      <c r="J2583" s="535"/>
      <c r="K2583" s="538" t="s">
        <v>1992</v>
      </c>
      <c r="M2583" s="534">
        <f>I2576</f>
        <v>116.55</v>
      </c>
      <c r="O2583" s="360">
        <f>M2583*L2542</f>
        <v>89.743499999999997</v>
      </c>
      <c r="W2583" s="361"/>
    </row>
    <row r="2584" spans="6:25" ht="15.75">
      <c r="F2584" s="534"/>
      <c r="G2584" s="533"/>
      <c r="H2584" s="534"/>
      <c r="I2584" s="534"/>
      <c r="J2584" s="535"/>
      <c r="K2584" s="534"/>
      <c r="M2584" s="534"/>
      <c r="O2584" s="360">
        <v>0.8</v>
      </c>
      <c r="W2584" s="361"/>
    </row>
    <row r="2585" spans="6:25" ht="15.75">
      <c r="F2585" s="534"/>
      <c r="G2585" s="533"/>
      <c r="H2585" s="534"/>
      <c r="I2585" s="534"/>
      <c r="J2585" s="535"/>
      <c r="K2585" s="534">
        <f>5261-K2582</f>
        <v>-851.28700000000026</v>
      </c>
      <c r="O2585" s="360">
        <f>SUM(O2581:O2584)</f>
        <v>91.314499999999995</v>
      </c>
      <c r="W2585" s="361"/>
    </row>
    <row r="2586" spans="6:25" ht="15.75">
      <c r="F2586" s="534"/>
      <c r="G2586" s="533"/>
      <c r="H2586" s="534"/>
      <c r="I2586" s="534"/>
      <c r="J2586" s="535"/>
      <c r="K2586" s="534"/>
      <c r="O2586" s="360">
        <f>O2585/0.77</f>
        <v>118.59025974025973</v>
      </c>
      <c r="W2586" s="361"/>
    </row>
    <row r="2587" spans="6:25" ht="15.75">
      <c r="F2587" s="534"/>
      <c r="G2587" s="533"/>
      <c r="H2587" s="411" t="s">
        <v>2728</v>
      </c>
      <c r="I2587" s="534"/>
      <c r="J2587" s="535"/>
      <c r="K2587" s="534"/>
      <c r="W2587" s="361"/>
    </row>
    <row r="2588" spans="6:25" ht="15.75">
      <c r="F2588" s="534"/>
      <c r="G2588" s="533"/>
      <c r="H2588" s="534"/>
      <c r="I2588" s="534"/>
      <c r="J2588" s="535"/>
      <c r="K2588" s="534"/>
      <c r="W2588" s="361"/>
    </row>
    <row r="2589" spans="6:25" ht="15.75">
      <c r="F2589" s="411" t="s">
        <v>2712</v>
      </c>
      <c r="G2589" s="455"/>
      <c r="H2589" s="534"/>
      <c r="I2589" s="534"/>
      <c r="J2589" s="535"/>
      <c r="K2589" s="534"/>
      <c r="S2589" s="537"/>
      <c r="T2589" s="533"/>
      <c r="U2589" s="35" t="s">
        <v>2741</v>
      </c>
      <c r="V2589" s="534"/>
      <c r="W2589" s="722"/>
      <c r="X2589" s="534"/>
      <c r="Y2589" s="534"/>
    </row>
    <row r="2590" spans="6:25" ht="15.75">
      <c r="F2590" s="534"/>
      <c r="G2590" s="533"/>
      <c r="H2590" s="534"/>
      <c r="I2590" s="534"/>
      <c r="J2590" s="535"/>
      <c r="K2590" s="534"/>
      <c r="S2590" s="537"/>
      <c r="T2590" s="533"/>
      <c r="U2590" s="534"/>
      <c r="V2590" s="534"/>
      <c r="W2590" s="722"/>
      <c r="X2590" s="534"/>
      <c r="Y2590" s="534"/>
    </row>
    <row r="2591" spans="6:25" ht="15.75">
      <c r="F2591" s="534" t="s">
        <v>2729</v>
      </c>
      <c r="G2591" s="533"/>
      <c r="H2591" s="534"/>
      <c r="I2591" s="537">
        <v>2.944</v>
      </c>
      <c r="J2591" s="535" t="s">
        <v>213</v>
      </c>
      <c r="K2591" s="534"/>
      <c r="S2591" s="537" t="s">
        <v>2742</v>
      </c>
      <c r="T2591" s="533"/>
      <c r="U2591" s="534"/>
      <c r="V2591" s="723">
        <f>2*0.85*2.025</f>
        <v>3.4424999999999999</v>
      </c>
      <c r="W2591" s="722"/>
      <c r="X2591" s="534"/>
      <c r="Y2591" s="534"/>
    </row>
    <row r="2592" spans="6:25" ht="15.75">
      <c r="F2592" s="534" t="s">
        <v>2730</v>
      </c>
      <c r="G2592" s="533"/>
      <c r="H2592" s="534"/>
      <c r="I2592" s="537">
        <v>2.355</v>
      </c>
      <c r="J2592" s="535" t="s">
        <v>213</v>
      </c>
      <c r="K2592" s="534"/>
      <c r="S2592" s="537" t="s">
        <v>2743</v>
      </c>
      <c r="T2592" s="533"/>
      <c r="U2592" s="534"/>
      <c r="V2592" s="723">
        <v>2.2800000000000001E-2</v>
      </c>
      <c r="W2592" s="722"/>
      <c r="X2592" s="534"/>
      <c r="Y2592" s="534"/>
    </row>
    <row r="2593" spans="6:35" ht="15.75">
      <c r="F2593" s="534" t="s">
        <v>2731</v>
      </c>
      <c r="G2593" s="533"/>
      <c r="H2593" s="534"/>
      <c r="I2593" s="537">
        <v>0.88300000000000001</v>
      </c>
      <c r="J2593" s="535" t="s">
        <v>213</v>
      </c>
      <c r="K2593" s="534"/>
      <c r="S2593" s="537" t="s">
        <v>2744</v>
      </c>
      <c r="T2593" s="533"/>
      <c r="U2593" s="534"/>
      <c r="V2593" s="532">
        <f>2*3*0.85*0.15*0.0375</f>
        <v>2.8687499999999994E-2</v>
      </c>
      <c r="W2593" s="722"/>
      <c r="X2593" s="534"/>
      <c r="Y2593" s="534"/>
    </row>
    <row r="2594" spans="6:35" ht="15.75">
      <c r="F2594" s="534"/>
      <c r="G2594" s="533"/>
      <c r="H2594" s="534"/>
      <c r="I2594" s="534"/>
      <c r="J2594" s="535"/>
      <c r="K2594" s="534"/>
      <c r="S2594" s="537"/>
      <c r="T2594" s="533" t="s">
        <v>2745</v>
      </c>
      <c r="U2594" s="534"/>
      <c r="V2594" s="532">
        <f>2*3*0.85*0.075*0.0375</f>
        <v>1.4343749999999997E-2</v>
      </c>
      <c r="W2594" s="722"/>
      <c r="X2594" s="534"/>
      <c r="Y2594" s="534"/>
    </row>
    <row r="2595" spans="6:35" ht="15.75">
      <c r="F2595" s="534"/>
      <c r="G2595" s="533"/>
      <c r="H2595" s="534"/>
      <c r="I2595" s="534"/>
      <c r="J2595" s="535"/>
      <c r="K2595" s="534"/>
      <c r="S2595" s="537"/>
      <c r="T2595" s="533"/>
      <c r="U2595" s="534"/>
      <c r="V2595" s="724">
        <f>SUM(V2593:V2594)</f>
        <v>4.3031249999999993E-2</v>
      </c>
      <c r="W2595" s="722"/>
      <c r="X2595" s="534"/>
      <c r="Y2595" s="534"/>
    </row>
    <row r="2596" spans="6:35" ht="15.75">
      <c r="F2596" s="534"/>
      <c r="G2596" s="533"/>
      <c r="H2596" s="411" t="s">
        <v>2728</v>
      </c>
      <c r="I2596" s="534"/>
      <c r="J2596" s="535"/>
      <c r="K2596" s="534"/>
      <c r="S2596" s="537"/>
      <c r="T2596" s="533"/>
      <c r="U2596" s="534"/>
      <c r="V2596" s="534"/>
      <c r="W2596" s="722"/>
      <c r="X2596" s="534"/>
      <c r="Y2596" s="534"/>
    </row>
    <row r="2597" spans="6:35" ht="15.75">
      <c r="F2597" s="534"/>
      <c r="G2597" s="533"/>
      <c r="H2597" s="534"/>
      <c r="I2597" s="534"/>
      <c r="J2597" s="535"/>
      <c r="K2597" s="534"/>
      <c r="S2597" s="537"/>
      <c r="T2597" s="533"/>
      <c r="U2597" s="534"/>
      <c r="V2597" s="534"/>
      <c r="W2597" s="722"/>
      <c r="X2597" s="534"/>
      <c r="Y2597" s="534"/>
    </row>
    <row r="2598" spans="6:35" ht="15.75">
      <c r="F2598" s="534"/>
      <c r="G2598" s="533"/>
      <c r="H2598" s="534"/>
      <c r="I2598" s="534"/>
      <c r="J2598" s="535"/>
      <c r="K2598" s="534"/>
      <c r="S2598" s="537" t="s">
        <v>2746</v>
      </c>
      <c r="T2598" s="533"/>
      <c r="U2598" s="534"/>
      <c r="V2598" s="532">
        <f>2*4*0.725*0.3*0.01875</f>
        <v>3.2625000000000001E-2</v>
      </c>
      <c r="W2598" s="722"/>
      <c r="X2598" s="534"/>
      <c r="Y2598" s="534"/>
    </row>
    <row r="2599" spans="6:35" ht="15.75">
      <c r="F2599" s="534" t="s">
        <v>2732</v>
      </c>
      <c r="G2599" s="533"/>
      <c r="H2599" s="534"/>
      <c r="I2599" s="534">
        <v>16.38</v>
      </c>
      <c r="J2599" s="535" t="s">
        <v>213</v>
      </c>
      <c r="K2599" s="534"/>
      <c r="S2599" s="537" t="s">
        <v>2747</v>
      </c>
      <c r="T2599" s="533"/>
      <c r="U2599" s="534"/>
      <c r="V2599" s="532">
        <f>2*0.725*0.3*0.01875</f>
        <v>8.1562500000000003E-3</v>
      </c>
      <c r="W2599" s="722"/>
      <c r="X2599" s="534"/>
      <c r="Y2599" s="534"/>
    </row>
    <row r="2600" spans="6:35" ht="15.75">
      <c r="F2600" s="534" t="s">
        <v>2733</v>
      </c>
      <c r="G2600" s="533"/>
      <c r="H2600" s="534"/>
      <c r="I2600" s="534">
        <v>8.7799999999999994</v>
      </c>
      <c r="J2600" s="535" t="s">
        <v>213</v>
      </c>
      <c r="K2600" s="534"/>
      <c r="S2600" s="537"/>
      <c r="T2600" s="533"/>
      <c r="U2600" s="534"/>
      <c r="V2600" s="724">
        <f>SUM(V2598:V2599)</f>
        <v>4.0781250000000005E-2</v>
      </c>
      <c r="W2600" s="722"/>
      <c r="X2600" s="534"/>
      <c r="Y2600" s="534"/>
    </row>
    <row r="2601" spans="6:35" ht="15.75">
      <c r="F2601" s="534" t="s">
        <v>2735</v>
      </c>
      <c r="G2601" s="533"/>
      <c r="H2601" s="534"/>
      <c r="I2601" s="534">
        <v>37.67</v>
      </c>
      <c r="J2601" s="535" t="s">
        <v>213</v>
      </c>
      <c r="K2601" s="534"/>
      <c r="S2601" s="537"/>
      <c r="T2601" s="533"/>
      <c r="U2601" s="411" t="s">
        <v>2748</v>
      </c>
      <c r="V2601" s="534"/>
      <c r="W2601" s="722"/>
      <c r="X2601" s="534"/>
      <c r="Y2601" s="534"/>
      <c r="Z2601" s="487">
        <v>2.3099999999999999E-2</v>
      </c>
      <c r="AA2601" s="35">
        <f>Z2601*V2603</f>
        <v>2586.401664</v>
      </c>
    </row>
    <row r="2602" spans="6:35" ht="15.75">
      <c r="F2602" s="534" t="s">
        <v>2736</v>
      </c>
      <c r="G2602" s="533"/>
      <c r="H2602" s="534"/>
      <c r="I2602" s="534">
        <v>3.24</v>
      </c>
      <c r="J2602" s="535" t="s">
        <v>213</v>
      </c>
      <c r="K2602" s="534"/>
      <c r="S2602" s="537"/>
      <c r="T2602" s="533"/>
      <c r="U2602" s="534"/>
      <c r="V2602" s="534"/>
      <c r="W2602" s="722"/>
      <c r="X2602" s="534"/>
      <c r="Y2602" s="534"/>
      <c r="Z2602" s="487">
        <v>4.48E-2</v>
      </c>
      <c r="AA2602" s="35">
        <f>Z2602*V2604</f>
        <v>4469.491712</v>
      </c>
    </row>
    <row r="2603" spans="6:35" ht="18">
      <c r="F2603" s="534" t="s">
        <v>2737</v>
      </c>
      <c r="G2603" s="533"/>
      <c r="H2603" s="534"/>
      <c r="I2603" s="534">
        <v>3.6</v>
      </c>
      <c r="J2603" s="535" t="s">
        <v>213</v>
      </c>
      <c r="K2603" s="534"/>
      <c r="S2603" s="532">
        <f>V2592</f>
        <v>2.2800000000000001E-2</v>
      </c>
      <c r="T2603" s="533" t="s">
        <v>108</v>
      </c>
      <c r="U2603" s="534" t="s">
        <v>2749</v>
      </c>
      <c r="V2603" s="534">
        <f>I2635</f>
        <v>111965.44</v>
      </c>
      <c r="W2603" s="722" t="s">
        <v>108</v>
      </c>
      <c r="X2603" s="534">
        <f>S2603*V2603</f>
        <v>2552.8120320000003</v>
      </c>
      <c r="Y2603" s="534"/>
      <c r="Z2603" s="487">
        <v>2.2690000000000001</v>
      </c>
      <c r="AA2603" s="35">
        <f>Z2603*336</f>
        <v>762.38400000000001</v>
      </c>
      <c r="AD2603" s="534"/>
      <c r="AE2603" s="533"/>
      <c r="AF2603" s="725" t="s">
        <v>2750</v>
      </c>
      <c r="AG2603" s="725"/>
      <c r="AH2603" s="725"/>
      <c r="AI2603" s="725"/>
    </row>
    <row r="2604" spans="6:35" ht="15.75">
      <c r="F2604" s="534" t="s">
        <v>2721</v>
      </c>
      <c r="G2604" s="533"/>
      <c r="H2604" s="534"/>
      <c r="I2604" s="534">
        <v>2.88</v>
      </c>
      <c r="J2604" s="535"/>
      <c r="K2604" s="534"/>
      <c r="S2604" s="532">
        <f>V2595</f>
        <v>4.3031249999999993E-2</v>
      </c>
      <c r="T2604" s="533" t="s">
        <v>108</v>
      </c>
      <c r="U2604" s="534" t="s">
        <v>1979</v>
      </c>
      <c r="V2604" s="534">
        <f t="shared" ref="V2604:V2612" si="255">I2636</f>
        <v>99765.440000000002</v>
      </c>
      <c r="W2604" s="722" t="s">
        <v>108</v>
      </c>
      <c r="X2604" s="534">
        <f t="shared" ref="X2604:X2614" si="256">S2604*V2604</f>
        <v>4293.0315899999996</v>
      </c>
      <c r="Y2604" s="534"/>
      <c r="Z2604" s="487">
        <v>3.4849999999999999</v>
      </c>
      <c r="AA2604" s="35">
        <f>Z2604*V2606</f>
        <v>6427.7339999999995</v>
      </c>
      <c r="AD2604" s="534"/>
      <c r="AE2604" s="533"/>
      <c r="AF2604" s="534"/>
      <c r="AG2604" s="534"/>
      <c r="AH2604" s="535"/>
      <c r="AI2604" s="534"/>
    </row>
    <row r="2605" spans="6:35" ht="15.75">
      <c r="F2605" s="534"/>
      <c r="G2605" s="533"/>
      <c r="H2605" s="534"/>
      <c r="I2605" s="538" t="s">
        <v>2699</v>
      </c>
      <c r="J2605" s="535"/>
      <c r="K2605" s="534"/>
      <c r="S2605" s="532">
        <f>V2600</f>
        <v>4.0781250000000005E-2</v>
      </c>
      <c r="T2605" s="533" t="s">
        <v>108</v>
      </c>
      <c r="U2605" s="534" t="s">
        <v>1980</v>
      </c>
      <c r="V2605" s="534">
        <f t="shared" si="255"/>
        <v>107000</v>
      </c>
      <c r="W2605" s="722" t="s">
        <v>108</v>
      </c>
      <c r="X2605" s="534">
        <f t="shared" si="256"/>
        <v>4363.5937500000009</v>
      </c>
      <c r="Y2605" s="534"/>
      <c r="Z2605" s="487">
        <v>2</v>
      </c>
      <c r="AA2605" s="35">
        <f>Z2605*V2607</f>
        <v>509</v>
      </c>
      <c r="AD2605" s="534" t="s">
        <v>2751</v>
      </c>
      <c r="AE2605" s="533"/>
      <c r="AF2605" s="534"/>
      <c r="AG2605" s="723">
        <f>2*0.95*2.025</f>
        <v>3.8474999999999997</v>
      </c>
      <c r="AH2605" s="535"/>
      <c r="AI2605" s="534"/>
    </row>
    <row r="2606" spans="6:35" ht="15.75">
      <c r="F2606" s="534"/>
      <c r="G2606" s="533"/>
      <c r="H2606" s="534"/>
      <c r="I2606" s="411">
        <f>SUM(I2599:I2604)</f>
        <v>72.549999999999983</v>
      </c>
      <c r="J2606" s="535" t="s">
        <v>213</v>
      </c>
      <c r="K2606" s="534"/>
      <c r="S2606" s="532">
        <f>V2591</f>
        <v>3.4424999999999999</v>
      </c>
      <c r="T2606" s="533" t="s">
        <v>107</v>
      </c>
      <c r="U2606" s="534" t="s">
        <v>1981</v>
      </c>
      <c r="V2606" s="534">
        <f t="shared" si="255"/>
        <v>1844.3999999999999</v>
      </c>
      <c r="W2606" s="722" t="s">
        <v>107</v>
      </c>
      <c r="X2606" s="534">
        <f t="shared" si="256"/>
        <v>6349.3469999999998</v>
      </c>
      <c r="Y2606" s="534"/>
      <c r="Z2606" s="487">
        <v>6</v>
      </c>
      <c r="AA2606" s="35">
        <f>Z2606*V2608</f>
        <v>1284.5999999999999</v>
      </c>
      <c r="AD2606" s="534" t="s">
        <v>2743</v>
      </c>
      <c r="AE2606" s="533"/>
      <c r="AF2606" s="534"/>
      <c r="AG2606" s="723">
        <v>2.2800000000000001E-2</v>
      </c>
      <c r="AH2606" s="535"/>
      <c r="AI2606" s="534"/>
    </row>
    <row r="2607" spans="6:35" ht="15.75">
      <c r="F2607" s="534"/>
      <c r="G2607" s="533"/>
      <c r="H2607" s="534"/>
      <c r="I2607" s="538" t="s">
        <v>2699</v>
      </c>
      <c r="J2607" s="535"/>
      <c r="K2607" s="534"/>
      <c r="S2607" s="537">
        <v>2</v>
      </c>
      <c r="T2607" s="533" t="s">
        <v>3</v>
      </c>
      <c r="U2607" s="534" t="s">
        <v>1983</v>
      </c>
      <c r="V2607" s="534">
        <f t="shared" si="255"/>
        <v>254.5</v>
      </c>
      <c r="W2607" s="722" t="s">
        <v>194</v>
      </c>
      <c r="X2607" s="534">
        <f t="shared" si="256"/>
        <v>509</v>
      </c>
      <c r="Y2607" s="534"/>
      <c r="Z2607" s="487">
        <v>4</v>
      </c>
      <c r="AA2607" s="35">
        <f>Z2607*V2609</f>
        <v>1632</v>
      </c>
      <c r="AD2607" s="534" t="s">
        <v>2752</v>
      </c>
      <c r="AE2607" s="533"/>
      <c r="AF2607" s="534"/>
      <c r="AG2607" s="532">
        <f>2*3*0.95*0.15*0.0375</f>
        <v>3.2062499999999994E-2</v>
      </c>
      <c r="AH2607" s="535"/>
      <c r="AI2607" s="534"/>
    </row>
    <row r="2608" spans="6:35" ht="15.75">
      <c r="F2608" s="534"/>
      <c r="G2608" s="533"/>
      <c r="H2608" s="534"/>
      <c r="I2608" s="534"/>
      <c r="J2608" s="535"/>
      <c r="K2608" s="534"/>
      <c r="S2608" s="537">
        <v>6</v>
      </c>
      <c r="T2608" s="533" t="s">
        <v>3</v>
      </c>
      <c r="U2608" s="534" t="s">
        <v>1984</v>
      </c>
      <c r="V2608" s="534">
        <f t="shared" si="255"/>
        <v>214.1</v>
      </c>
      <c r="W2608" s="722" t="s">
        <v>194</v>
      </c>
      <c r="X2608" s="534">
        <f t="shared" si="256"/>
        <v>1284.5999999999999</v>
      </c>
      <c r="Y2608" s="534"/>
      <c r="Z2608" s="487">
        <v>1</v>
      </c>
      <c r="AA2608" s="35">
        <f>Z2608*X2610</f>
        <v>836</v>
      </c>
      <c r="AD2608" s="534"/>
      <c r="AE2608" s="533" t="s">
        <v>2753</v>
      </c>
      <c r="AF2608" s="534"/>
      <c r="AG2608" s="532">
        <f>2*3*0.95*0.075*0.0375</f>
        <v>1.6031249999999997E-2</v>
      </c>
      <c r="AH2608" s="535"/>
      <c r="AI2608" s="534"/>
    </row>
    <row r="2609" spans="6:35" ht="15.75">
      <c r="F2609" s="534">
        <v>73</v>
      </c>
      <c r="G2609" s="533" t="s">
        <v>213</v>
      </c>
      <c r="H2609" s="534" t="s">
        <v>2723</v>
      </c>
      <c r="I2609" s="534">
        <f>I2574</f>
        <v>70.150000000000006</v>
      </c>
      <c r="J2609" s="535" t="s">
        <v>213</v>
      </c>
      <c r="K2609" s="534">
        <f>F2609*I2609</f>
        <v>5120.9500000000007</v>
      </c>
      <c r="S2609" s="537">
        <v>4</v>
      </c>
      <c r="T2609" s="533" t="s">
        <v>3</v>
      </c>
      <c r="U2609" s="534" t="s">
        <v>1985</v>
      </c>
      <c r="V2609" s="534">
        <f t="shared" si="255"/>
        <v>408</v>
      </c>
      <c r="W2609" s="722" t="s">
        <v>194</v>
      </c>
      <c r="X2609" s="534">
        <f t="shared" si="256"/>
        <v>1632</v>
      </c>
      <c r="Y2609" s="534"/>
      <c r="Z2609" s="487">
        <v>2</v>
      </c>
      <c r="AA2609" s="35">
        <f>Z2609*V2611</f>
        <v>15</v>
      </c>
      <c r="AD2609" s="534"/>
      <c r="AE2609" s="533"/>
      <c r="AF2609" s="534"/>
      <c r="AG2609" s="724">
        <f>SUM(AG2607:AG2608)</f>
        <v>4.8093749999999991E-2</v>
      </c>
      <c r="AH2609" s="535"/>
      <c r="AI2609" s="534"/>
    </row>
    <row r="2610" spans="6:35" ht="15.75">
      <c r="F2610" s="534">
        <v>1.01</v>
      </c>
      <c r="G2610" s="533" t="s">
        <v>262</v>
      </c>
      <c r="H2610" s="534" t="s">
        <v>2690</v>
      </c>
      <c r="I2610" s="534">
        <f>I2575</f>
        <v>379.9</v>
      </c>
      <c r="J2610" s="535" t="s">
        <v>262</v>
      </c>
      <c r="K2610" s="534">
        <f>F2610*I2610</f>
        <v>383.69899999999996</v>
      </c>
      <c r="S2610" s="537">
        <v>1</v>
      </c>
      <c r="T2610" s="533" t="s">
        <v>3</v>
      </c>
      <c r="U2610" s="534" t="s">
        <v>1987</v>
      </c>
      <c r="V2610" s="534">
        <f t="shared" si="255"/>
        <v>836</v>
      </c>
      <c r="W2610" s="722" t="s">
        <v>194</v>
      </c>
      <c r="X2610" s="534">
        <f t="shared" si="256"/>
        <v>836</v>
      </c>
      <c r="Y2610" s="534"/>
      <c r="Z2610" s="487">
        <v>2</v>
      </c>
      <c r="AA2610" s="35">
        <f>Z2610*V2612</f>
        <v>99.1</v>
      </c>
      <c r="AD2610" s="534"/>
      <c r="AE2610" s="533"/>
      <c r="AF2610" s="534"/>
      <c r="AG2610" s="534"/>
      <c r="AH2610" s="535"/>
      <c r="AI2610" s="534"/>
    </row>
    <row r="2611" spans="6:35" ht="15.75">
      <c r="F2611" s="534">
        <v>1.01</v>
      </c>
      <c r="G2611" s="533" t="s">
        <v>262</v>
      </c>
      <c r="H2611" s="534" t="s">
        <v>2754</v>
      </c>
      <c r="I2611" s="534">
        <f>C200</f>
        <v>40.65</v>
      </c>
      <c r="J2611" s="535" t="s">
        <v>262</v>
      </c>
      <c r="K2611" s="534">
        <f>F2611*I2611</f>
        <v>41.0565</v>
      </c>
      <c r="S2611" s="537">
        <v>2</v>
      </c>
      <c r="T2611" s="533" t="s">
        <v>3</v>
      </c>
      <c r="U2611" s="534" t="s">
        <v>993</v>
      </c>
      <c r="V2611" s="465">
        <v>7.5</v>
      </c>
      <c r="W2611" s="722" t="s">
        <v>194</v>
      </c>
      <c r="X2611" s="534">
        <f t="shared" si="256"/>
        <v>15</v>
      </c>
      <c r="Y2611" s="534"/>
      <c r="Z2611" s="487"/>
      <c r="AA2611" s="35">
        <v>20</v>
      </c>
      <c r="AD2611" s="534"/>
      <c r="AE2611" s="533"/>
      <c r="AF2611" s="534"/>
      <c r="AG2611" s="534"/>
      <c r="AH2611" s="535"/>
      <c r="AI2611" s="534"/>
    </row>
    <row r="2612" spans="6:35" ht="15.75">
      <c r="F2612" s="534"/>
      <c r="G2612" s="533"/>
      <c r="H2612" s="534" t="s">
        <v>2725</v>
      </c>
      <c r="I2612" s="718">
        <v>266.81</v>
      </c>
      <c r="J2612" s="535" t="s">
        <v>128</v>
      </c>
      <c r="K2612" s="534">
        <f>I2612</f>
        <v>266.81</v>
      </c>
      <c r="S2612" s="537">
        <v>2</v>
      </c>
      <c r="T2612" s="533" t="s">
        <v>3</v>
      </c>
      <c r="U2612" s="534" t="s">
        <v>995</v>
      </c>
      <c r="V2612" s="534">
        <f t="shared" si="255"/>
        <v>49.55</v>
      </c>
      <c r="W2612" s="722" t="s">
        <v>194</v>
      </c>
      <c r="X2612" s="534">
        <f t="shared" si="256"/>
        <v>99.1</v>
      </c>
      <c r="Y2612" s="534"/>
      <c r="AA2612" s="35">
        <f>SUM(AA2601:AA2611)</f>
        <v>18641.711375999999</v>
      </c>
      <c r="AD2612" s="534" t="s">
        <v>2755</v>
      </c>
      <c r="AE2612" s="533"/>
      <c r="AF2612" s="534"/>
      <c r="AG2612" s="532">
        <f>2*4*0.825*0.3*0.01875</f>
        <v>3.7124999999999991E-2</v>
      </c>
      <c r="AH2612" s="535"/>
      <c r="AI2612" s="534"/>
    </row>
    <row r="2613" spans="6:35" ht="15.75">
      <c r="F2613" s="534"/>
      <c r="G2613" s="533"/>
      <c r="H2613" s="534"/>
      <c r="I2613" s="534"/>
      <c r="J2613" s="535"/>
      <c r="K2613" s="538" t="s">
        <v>1992</v>
      </c>
      <c r="S2613" s="537"/>
      <c r="T2613" s="533"/>
      <c r="U2613" s="534"/>
      <c r="V2613" s="534"/>
      <c r="W2613" s="722"/>
      <c r="X2613" s="534"/>
      <c r="Y2613" s="534"/>
      <c r="AA2613" s="35">
        <f>AA2612/3.485</f>
        <v>5349.128084935438</v>
      </c>
      <c r="AD2613" s="534" t="s">
        <v>2756</v>
      </c>
      <c r="AE2613" s="533"/>
      <c r="AF2613" s="534"/>
      <c r="AG2613" s="532">
        <f>2*0.825*0.3*0.01875</f>
        <v>9.2812499999999978E-3</v>
      </c>
      <c r="AH2613" s="535"/>
      <c r="AI2613" s="534"/>
    </row>
    <row r="2614" spans="6:35" ht="15.75">
      <c r="F2614" s="534"/>
      <c r="G2614" s="533"/>
      <c r="H2614" s="534"/>
      <c r="I2614" s="534"/>
      <c r="J2614" s="535"/>
      <c r="K2614" s="534">
        <f>SUM(K2609:K2612)</f>
        <v>5812.5155000000004</v>
      </c>
      <c r="S2614" s="537">
        <v>10</v>
      </c>
      <c r="T2614" s="533"/>
      <c r="U2614" s="404" t="s">
        <v>1951</v>
      </c>
      <c r="V2614" s="534">
        <f>I2645</f>
        <v>2.41</v>
      </c>
      <c r="W2614" s="722"/>
      <c r="X2614" s="534">
        <f t="shared" si="256"/>
        <v>24.1</v>
      </c>
      <c r="Y2614" s="534"/>
      <c r="AD2614" s="534"/>
      <c r="AE2614" s="533"/>
      <c r="AF2614" s="534"/>
      <c r="AG2614" s="724">
        <f>SUM(AG2612:AG2613)</f>
        <v>4.6406249999999989E-2</v>
      </c>
      <c r="AH2614" s="535"/>
      <c r="AI2614" s="534"/>
    </row>
    <row r="2615" spans="6:35" ht="15.75">
      <c r="F2615" s="534"/>
      <c r="G2615" s="533"/>
      <c r="H2615" s="534" t="s">
        <v>2726</v>
      </c>
      <c r="I2615" s="718">
        <v>255</v>
      </c>
      <c r="J2615" s="535" t="s">
        <v>128</v>
      </c>
      <c r="K2615" s="534">
        <v>255</v>
      </c>
      <c r="S2615" s="537"/>
      <c r="T2615" s="455"/>
      <c r="U2615" s="411" t="s">
        <v>177</v>
      </c>
      <c r="V2615" s="534"/>
      <c r="W2615" s="722"/>
      <c r="X2615" s="411">
        <f>SUM(X2603:X2614)</f>
        <v>21958.584371999998</v>
      </c>
      <c r="Y2615" s="411"/>
      <c r="AD2615" s="534"/>
      <c r="AE2615" s="533"/>
      <c r="AF2615" s="411" t="s">
        <v>2748</v>
      </c>
      <c r="AG2615" s="534"/>
      <c r="AH2615" s="535"/>
      <c r="AI2615" s="534"/>
    </row>
    <row r="2616" spans="6:35" ht="15.75">
      <c r="F2616" s="534"/>
      <c r="G2616" s="533"/>
      <c r="H2616" s="534"/>
      <c r="I2616" s="534"/>
      <c r="J2616" s="535"/>
      <c r="K2616" s="538" t="s">
        <v>1992</v>
      </c>
      <c r="S2616" s="537"/>
      <c r="T2616" s="455"/>
      <c r="U2616" s="411"/>
      <c r="V2616" s="534"/>
      <c r="W2616" s="722"/>
      <c r="X2616" s="538" t="s">
        <v>1992</v>
      </c>
      <c r="Y2616" s="538"/>
      <c r="AD2616" s="534"/>
      <c r="AE2616" s="533"/>
      <c r="AF2616" s="534"/>
      <c r="AG2616" s="534"/>
      <c r="AH2616" s="535"/>
      <c r="AI2616" s="534"/>
    </row>
    <row r="2617" spans="6:35" ht="15.75">
      <c r="F2617" s="534"/>
      <c r="G2617" s="533"/>
      <c r="H2617" s="411" t="s">
        <v>2727</v>
      </c>
      <c r="I2617" s="534"/>
      <c r="J2617" s="535"/>
      <c r="K2617" s="411">
        <f>SUM(K2614:K2615)</f>
        <v>6067.5155000000004</v>
      </c>
      <c r="M2617" s="35">
        <f>5227-K2617</f>
        <v>-840.51550000000043</v>
      </c>
      <c r="S2617" s="537"/>
      <c r="T2617" s="455"/>
      <c r="U2617" s="411" t="s">
        <v>2757</v>
      </c>
      <c r="V2617" s="534"/>
      <c r="W2617" s="722"/>
      <c r="X2617" s="411">
        <f>X2615/3.4425</f>
        <v>6378.6737464052285</v>
      </c>
      <c r="Y2617" s="411"/>
      <c r="AD2617" s="532">
        <f>AG2606</f>
        <v>2.2800000000000001E-2</v>
      </c>
      <c r="AE2617" s="533" t="s">
        <v>108</v>
      </c>
      <c r="AF2617" s="534" t="s">
        <v>2749</v>
      </c>
      <c r="AG2617" s="534">
        <f>V2603</f>
        <v>111965.44</v>
      </c>
      <c r="AH2617" s="535" t="s">
        <v>108</v>
      </c>
      <c r="AI2617" s="534">
        <f>AD2617*AG2617</f>
        <v>2552.8120320000003</v>
      </c>
    </row>
    <row r="2618" spans="6:35" ht="15.75">
      <c r="F2618" s="534"/>
      <c r="G2618" s="533"/>
      <c r="H2618" s="534"/>
      <c r="I2618" s="534"/>
      <c r="J2618" s="535"/>
      <c r="K2618" s="538" t="s">
        <v>1992</v>
      </c>
      <c r="W2618" s="361"/>
      <c r="AD2618" s="532">
        <f>AG2609</f>
        <v>4.8093749999999991E-2</v>
      </c>
      <c r="AE2618" s="533" t="s">
        <v>108</v>
      </c>
      <c r="AF2618" s="534" t="s">
        <v>1979</v>
      </c>
      <c r="AG2618" s="534">
        <f t="shared" ref="AG2618:AG2626" si="257">V2604</f>
        <v>99765.440000000002</v>
      </c>
      <c r="AH2618" s="535" t="s">
        <v>108</v>
      </c>
      <c r="AI2618" s="534">
        <f t="shared" ref="AI2618:AI2626" si="258">AD2618*AG2618</f>
        <v>4798.0941299999995</v>
      </c>
    </row>
    <row r="2619" spans="6:35" ht="15.75">
      <c r="F2619" s="534"/>
      <c r="G2619" s="533"/>
      <c r="H2619" s="534"/>
      <c r="I2619" s="534"/>
      <c r="J2619" s="535"/>
      <c r="K2619" s="534"/>
      <c r="W2619" s="361"/>
      <c r="AD2619" s="536">
        <f>AG2614</f>
        <v>4.6406249999999989E-2</v>
      </c>
      <c r="AE2619" s="533" t="s">
        <v>108</v>
      </c>
      <c r="AF2619" s="534" t="s">
        <v>1980</v>
      </c>
      <c r="AG2619" s="534">
        <f t="shared" si="257"/>
        <v>107000</v>
      </c>
      <c r="AH2619" s="535" t="s">
        <v>108</v>
      </c>
      <c r="AI2619" s="534">
        <f t="shared" si="258"/>
        <v>4965.4687499999991</v>
      </c>
    </row>
    <row r="2620" spans="6:35" ht="15.75">
      <c r="F2620" s="534"/>
      <c r="G2620" s="533"/>
      <c r="H2620" s="534"/>
      <c r="I2620" s="534"/>
      <c r="J2620" s="535"/>
      <c r="K2620" s="534"/>
      <c r="W2620" s="361"/>
      <c r="AD2620" s="532">
        <f>AG2605</f>
        <v>3.8474999999999997</v>
      </c>
      <c r="AE2620" s="533" t="s">
        <v>107</v>
      </c>
      <c r="AF2620" s="534" t="s">
        <v>1981</v>
      </c>
      <c r="AG2620" s="534">
        <f t="shared" si="257"/>
        <v>1844.3999999999999</v>
      </c>
      <c r="AH2620" s="535" t="s">
        <v>107</v>
      </c>
      <c r="AI2620" s="534">
        <f t="shared" si="258"/>
        <v>7096.3289999999988</v>
      </c>
    </row>
    <row r="2621" spans="6:35" ht="15.75">
      <c r="F2621" s="534"/>
      <c r="G2621" s="533"/>
      <c r="H2621" s="411" t="s">
        <v>2758</v>
      </c>
      <c r="I2621" s="411"/>
      <c r="J2621" s="535"/>
      <c r="K2621" s="534"/>
      <c r="W2621" s="361"/>
      <c r="AD2621" s="534">
        <v>2</v>
      </c>
      <c r="AE2621" s="533" t="s">
        <v>3</v>
      </c>
      <c r="AF2621" s="534" t="s">
        <v>1983</v>
      </c>
      <c r="AG2621" s="534">
        <f t="shared" si="257"/>
        <v>254.5</v>
      </c>
      <c r="AH2621" s="535" t="s">
        <v>194</v>
      </c>
      <c r="AI2621" s="534">
        <f t="shared" si="258"/>
        <v>509</v>
      </c>
    </row>
    <row r="2622" spans="6:35" ht="15.75">
      <c r="F2622" s="534"/>
      <c r="G2622" s="533"/>
      <c r="H2622" s="534"/>
      <c r="I2622" s="534"/>
      <c r="J2622" s="535"/>
      <c r="K2622" s="534"/>
      <c r="W2622" s="361"/>
      <c r="AD2622" s="534">
        <v>6</v>
      </c>
      <c r="AE2622" s="533" t="s">
        <v>3</v>
      </c>
      <c r="AF2622" s="534" t="s">
        <v>1984</v>
      </c>
      <c r="AG2622" s="534">
        <f t="shared" si="257"/>
        <v>214.1</v>
      </c>
      <c r="AH2622" s="535" t="s">
        <v>194</v>
      </c>
      <c r="AI2622" s="534">
        <f t="shared" si="258"/>
        <v>1284.5999999999999</v>
      </c>
    </row>
    <row r="2623" spans="6:35" ht="15.75">
      <c r="F2623" s="534" t="s">
        <v>2759</v>
      </c>
      <c r="G2623" s="533"/>
      <c r="H2623" s="534"/>
      <c r="I2623" s="534"/>
      <c r="J2623" s="535"/>
      <c r="K2623" s="534"/>
      <c r="W2623" s="361"/>
      <c r="AD2623" s="534">
        <v>4</v>
      </c>
      <c r="AE2623" s="533" t="s">
        <v>3</v>
      </c>
      <c r="AF2623" s="534" t="s">
        <v>1985</v>
      </c>
      <c r="AG2623" s="534">
        <f t="shared" si="257"/>
        <v>408</v>
      </c>
      <c r="AH2623" s="535" t="s">
        <v>194</v>
      </c>
      <c r="AI2623" s="534">
        <f t="shared" si="258"/>
        <v>1632</v>
      </c>
    </row>
    <row r="2624" spans="6:35" ht="15.75">
      <c r="F2624" s="534" t="s">
        <v>2743</v>
      </c>
      <c r="G2624" s="533"/>
      <c r="H2624" s="534"/>
      <c r="I2624" s="723">
        <v>2.2800000000000001E-2</v>
      </c>
      <c r="J2624" s="535"/>
      <c r="K2624" s="534"/>
      <c r="W2624" s="361"/>
      <c r="AD2624" s="534">
        <v>1</v>
      </c>
      <c r="AE2624" s="533" t="s">
        <v>3</v>
      </c>
      <c r="AF2624" s="534" t="s">
        <v>1987</v>
      </c>
      <c r="AG2624" s="534">
        <f t="shared" si="257"/>
        <v>836</v>
      </c>
      <c r="AH2624" s="535" t="s">
        <v>194</v>
      </c>
      <c r="AI2624" s="534">
        <f t="shared" si="258"/>
        <v>836</v>
      </c>
    </row>
    <row r="2625" spans="6:35" ht="15.75">
      <c r="F2625" s="534" t="s">
        <v>2760</v>
      </c>
      <c r="G2625" s="533"/>
      <c r="H2625" s="534"/>
      <c r="I2625" s="532">
        <v>2.3599999999999999E-2</v>
      </c>
      <c r="J2625" s="535"/>
      <c r="K2625" s="534"/>
      <c r="W2625" s="361"/>
      <c r="AD2625" s="534">
        <v>2</v>
      </c>
      <c r="AE2625" s="533" t="s">
        <v>3</v>
      </c>
      <c r="AF2625" s="534" t="s">
        <v>993</v>
      </c>
      <c r="AG2625" s="534">
        <f t="shared" si="257"/>
        <v>7.5</v>
      </c>
      <c r="AH2625" s="535" t="s">
        <v>194</v>
      </c>
      <c r="AI2625" s="534">
        <f t="shared" si="258"/>
        <v>15</v>
      </c>
    </row>
    <row r="2626" spans="6:35" ht="15.75">
      <c r="F2626" s="534"/>
      <c r="G2626" s="533" t="s">
        <v>2761</v>
      </c>
      <c r="H2626" s="534"/>
      <c r="I2626" s="532">
        <v>1.18E-2</v>
      </c>
      <c r="J2626" s="535"/>
      <c r="K2626" s="534"/>
      <c r="W2626" s="361"/>
      <c r="AD2626" s="534">
        <v>2</v>
      </c>
      <c r="AE2626" s="533" t="s">
        <v>3</v>
      </c>
      <c r="AF2626" s="534" t="s">
        <v>995</v>
      </c>
      <c r="AG2626" s="534">
        <f t="shared" si="257"/>
        <v>49.55</v>
      </c>
      <c r="AH2626" s="535" t="s">
        <v>194</v>
      </c>
      <c r="AI2626" s="534">
        <f t="shared" si="258"/>
        <v>99.1</v>
      </c>
    </row>
    <row r="2627" spans="6:35" ht="15.75">
      <c r="F2627" s="534"/>
      <c r="G2627" s="533"/>
      <c r="H2627" s="534"/>
      <c r="I2627" s="724">
        <f>SUM(I2625:I2626)</f>
        <v>3.5400000000000001E-2</v>
      </c>
      <c r="J2627" s="535"/>
      <c r="K2627" s="534"/>
      <c r="W2627" s="361"/>
      <c r="AD2627" s="534"/>
      <c r="AE2627" s="533"/>
      <c r="AF2627" s="534"/>
      <c r="AG2627" s="534"/>
      <c r="AH2627" s="535"/>
      <c r="AI2627" s="534"/>
    </row>
    <row r="2628" spans="6:35" ht="15.75">
      <c r="F2628" s="534"/>
      <c r="G2628" s="533"/>
      <c r="H2628" s="534"/>
      <c r="I2628" s="534"/>
      <c r="J2628" s="535"/>
      <c r="K2628" s="534"/>
      <c r="M2628" s="534"/>
      <c r="N2628" s="533"/>
      <c r="O2628" s="411" t="s">
        <v>2762</v>
      </c>
      <c r="P2628" s="534"/>
      <c r="Q2628" s="535"/>
      <c r="R2628" s="534"/>
      <c r="W2628" s="361"/>
      <c r="AD2628" s="534"/>
      <c r="AE2628" s="533"/>
      <c r="AF2628" s="534"/>
      <c r="AG2628" s="534"/>
      <c r="AH2628" s="535"/>
      <c r="AI2628" s="538">
        <v>10.54</v>
      </c>
    </row>
    <row r="2629" spans="6:35" ht="15.75">
      <c r="F2629" s="534"/>
      <c r="G2629" s="533"/>
      <c r="H2629" s="534"/>
      <c r="I2629" s="534"/>
      <c r="J2629" s="535"/>
      <c r="K2629" s="534"/>
      <c r="M2629" s="534"/>
      <c r="N2629" s="533"/>
      <c r="O2629" s="534"/>
      <c r="P2629" s="534"/>
      <c r="Q2629" s="535"/>
      <c r="R2629" s="534"/>
      <c r="W2629" s="361"/>
      <c r="AD2629" s="534"/>
      <c r="AE2629" s="455"/>
      <c r="AF2629" s="411" t="s">
        <v>177</v>
      </c>
      <c r="AG2629" s="534"/>
      <c r="AH2629" s="535"/>
      <c r="AI2629" s="411">
        <f>SUM(AI2617:AI2628)</f>
        <v>23798.943911999995</v>
      </c>
    </row>
    <row r="2630" spans="6:35" ht="15.75">
      <c r="F2630" s="534" t="s">
        <v>2763</v>
      </c>
      <c r="G2630" s="533"/>
      <c r="H2630" s="534"/>
      <c r="I2630" s="532">
        <v>2.5899999999999999E-2</v>
      </c>
      <c r="J2630" s="535"/>
      <c r="K2630" s="534"/>
      <c r="M2630" s="534" t="s">
        <v>2764</v>
      </c>
      <c r="N2630" s="533"/>
      <c r="O2630" s="534"/>
      <c r="P2630" s="534"/>
      <c r="Q2630" s="535"/>
      <c r="R2630" s="534"/>
      <c r="W2630" s="361"/>
      <c r="AD2630" s="534"/>
      <c r="AE2630" s="455"/>
      <c r="AF2630" s="411"/>
      <c r="AG2630" s="534"/>
      <c r="AH2630" s="535"/>
      <c r="AI2630" s="538" t="s">
        <v>1992</v>
      </c>
    </row>
    <row r="2631" spans="6:35" ht="15.75">
      <c r="F2631" s="534" t="s">
        <v>2765</v>
      </c>
      <c r="G2631" s="533"/>
      <c r="H2631" s="534"/>
      <c r="I2631" s="532">
        <f>2*0.575*0.3*0.01875</f>
        <v>6.4687499999999997E-3</v>
      </c>
      <c r="J2631" s="535"/>
      <c r="K2631" s="534">
        <f>3643035-3769622.98</f>
        <v>-126587.97999999998</v>
      </c>
      <c r="M2631" s="534" t="s">
        <v>2743</v>
      </c>
      <c r="N2631" s="533"/>
      <c r="O2631" s="534"/>
      <c r="P2631" s="723">
        <v>2.2800000000000001E-2</v>
      </c>
      <c r="Q2631" s="535"/>
      <c r="R2631" s="534"/>
      <c r="W2631" s="361"/>
      <c r="AD2631" s="534"/>
      <c r="AE2631" s="455"/>
      <c r="AF2631" s="411" t="s">
        <v>2766</v>
      </c>
      <c r="AG2631" s="534"/>
      <c r="AH2631" s="535"/>
      <c r="AI2631" s="411">
        <f>AI2629/3.8475</f>
        <v>6185.5604709551644</v>
      </c>
    </row>
    <row r="2632" spans="6:35" ht="15.75">
      <c r="F2632" s="534"/>
      <c r="G2632" s="533"/>
      <c r="H2632" s="534"/>
      <c r="I2632" s="724">
        <f>SUM(I2630:I2631)</f>
        <v>3.2368750000000002E-2</v>
      </c>
      <c r="J2632" s="535"/>
      <c r="K2632" s="534"/>
      <c r="M2632" s="534" t="s">
        <v>2767</v>
      </c>
      <c r="N2632" s="533"/>
      <c r="O2632" s="534"/>
      <c r="P2632" s="532">
        <v>1.8599999999999998E-2</v>
      </c>
      <c r="Q2632" s="535"/>
      <c r="R2632" s="534"/>
      <c r="W2632" s="361"/>
    </row>
    <row r="2633" spans="6:35" ht="15.75">
      <c r="F2633" s="534"/>
      <c r="G2633" s="533"/>
      <c r="H2633" s="411" t="s">
        <v>2748</v>
      </c>
      <c r="I2633" s="534"/>
      <c r="J2633" s="535"/>
      <c r="K2633" s="534"/>
      <c r="M2633" s="534"/>
      <c r="N2633" s="533" t="s">
        <v>2768</v>
      </c>
      <c r="O2633" s="534"/>
      <c r="P2633" s="532">
        <v>9.2999999999999992E-3</v>
      </c>
      <c r="Q2633" s="535"/>
      <c r="R2633" s="534"/>
      <c r="W2633" s="361"/>
    </row>
    <row r="2634" spans="6:35" ht="15.75">
      <c r="F2634" s="534"/>
      <c r="G2634" s="533"/>
      <c r="H2634" s="534"/>
      <c r="I2634" s="534"/>
      <c r="J2634" s="535"/>
      <c r="K2634" s="534"/>
      <c r="M2634" s="534"/>
      <c r="N2634" s="533"/>
      <c r="O2634" s="534"/>
      <c r="P2634" s="724">
        <f>SUM(P2632:P2633)</f>
        <v>2.7899999999999998E-2</v>
      </c>
      <c r="Q2634" s="535"/>
      <c r="R2634" s="534"/>
      <c r="W2634" s="361"/>
    </row>
    <row r="2635" spans="6:35" ht="15.75">
      <c r="F2635" s="532">
        <v>2.2800000000000001E-2</v>
      </c>
      <c r="G2635" s="533" t="s">
        <v>108</v>
      </c>
      <c r="H2635" s="534" t="s">
        <v>1978</v>
      </c>
      <c r="I2635" s="534">
        <f>AE26</f>
        <v>111965.44</v>
      </c>
      <c r="J2635" s="535" t="s">
        <v>108</v>
      </c>
      <c r="K2635" s="534">
        <f>F2635*I2635</f>
        <v>2552.8120320000003</v>
      </c>
      <c r="M2635" s="534"/>
      <c r="N2635" s="533"/>
      <c r="O2635" s="534"/>
      <c r="P2635" s="534"/>
      <c r="Q2635" s="535"/>
      <c r="R2635" s="534"/>
      <c r="W2635" s="361"/>
    </row>
    <row r="2636" spans="6:35" ht="15.75">
      <c r="F2636" s="532">
        <v>3.5400000000000001E-2</v>
      </c>
      <c r="G2636" s="533" t="s">
        <v>108</v>
      </c>
      <c r="H2636" s="534" t="s">
        <v>1979</v>
      </c>
      <c r="I2636" s="534">
        <f>AE27</f>
        <v>99765.440000000002</v>
      </c>
      <c r="J2636" s="535" t="s">
        <v>108</v>
      </c>
      <c r="K2636" s="534">
        <f t="shared" ref="K2636:K2645" si="259">F2636*I2636</f>
        <v>3531.6965760000003</v>
      </c>
      <c r="M2636" s="534"/>
      <c r="N2636" s="533"/>
      <c r="O2636" s="534"/>
      <c r="P2636" s="534"/>
      <c r="Q2636" s="535"/>
      <c r="R2636" s="534"/>
      <c r="W2636" s="361"/>
    </row>
    <row r="2637" spans="6:35" ht="15.75">
      <c r="F2637" s="536">
        <v>3.2300000000000002E-2</v>
      </c>
      <c r="G2637" s="533" t="s">
        <v>108</v>
      </c>
      <c r="H2637" s="35" t="s">
        <v>2769</v>
      </c>
      <c r="I2637" s="448">
        <v>107000</v>
      </c>
      <c r="J2637" s="535" t="s">
        <v>108</v>
      </c>
      <c r="K2637" s="534">
        <f t="shared" si="259"/>
        <v>3456.1000000000004</v>
      </c>
      <c r="M2637" s="534" t="s">
        <v>2770</v>
      </c>
      <c r="N2637" s="533"/>
      <c r="O2637" s="534"/>
      <c r="P2637" s="532">
        <v>1.9E-2</v>
      </c>
      <c r="Q2637" s="535"/>
      <c r="R2637" s="534"/>
      <c r="W2637" s="361"/>
      <c r="AD2637" s="537"/>
      <c r="AE2637" s="533"/>
      <c r="AF2637" s="411" t="s">
        <v>2741</v>
      </c>
      <c r="AG2637" s="534"/>
      <c r="AH2637" s="535"/>
      <c r="AI2637" s="534"/>
    </row>
    <row r="2638" spans="6:35" ht="15.75">
      <c r="F2638" s="537">
        <v>2.835</v>
      </c>
      <c r="G2638" s="533" t="s">
        <v>107</v>
      </c>
      <c r="H2638" s="534" t="s">
        <v>1981</v>
      </c>
      <c r="I2638" s="534">
        <f>AG30</f>
        <v>1844.3999999999999</v>
      </c>
      <c r="J2638" s="535" t="s">
        <v>107</v>
      </c>
      <c r="K2638" s="534">
        <f t="shared" si="259"/>
        <v>5228.8739999999998</v>
      </c>
      <c r="M2638" s="534" t="s">
        <v>2771</v>
      </c>
      <c r="N2638" s="533"/>
      <c r="O2638" s="534"/>
      <c r="P2638" s="532">
        <v>4.7999999999999996E-3</v>
      </c>
      <c r="Q2638" s="535"/>
      <c r="R2638" s="534"/>
      <c r="W2638" s="361"/>
      <c r="AD2638" s="537"/>
      <c r="AE2638" s="533"/>
      <c r="AF2638" s="411" t="s">
        <v>2772</v>
      </c>
      <c r="AG2638" s="534"/>
      <c r="AH2638" s="535"/>
      <c r="AI2638" s="534"/>
    </row>
    <row r="2639" spans="6:35" ht="15.75">
      <c r="F2639" s="534">
        <v>2</v>
      </c>
      <c r="G2639" s="533" t="s">
        <v>3</v>
      </c>
      <c r="H2639" s="35" t="s">
        <v>2773</v>
      </c>
      <c r="I2639" s="404">
        <f>I2820</f>
        <v>254.5</v>
      </c>
      <c r="J2639" s="535" t="s">
        <v>194</v>
      </c>
      <c r="K2639" s="534">
        <f t="shared" si="259"/>
        <v>509</v>
      </c>
      <c r="M2639" s="534"/>
      <c r="N2639" s="533"/>
      <c r="O2639" s="534"/>
      <c r="P2639" s="724">
        <f>SUM(P2637:P2638)</f>
        <v>2.3799999999999998E-2</v>
      </c>
      <c r="Q2639" s="535"/>
      <c r="R2639" s="534"/>
      <c r="W2639" s="361"/>
      <c r="AD2639" s="537" t="s">
        <v>2742</v>
      </c>
      <c r="AE2639" s="533"/>
      <c r="AF2639" s="534"/>
      <c r="AG2639" s="723">
        <f>2*0.85*2.025</f>
        <v>3.4424999999999999</v>
      </c>
      <c r="AH2639" s="535"/>
      <c r="AI2639" s="534"/>
    </row>
    <row r="2640" spans="6:35" ht="15.75">
      <c r="F2640" s="534">
        <v>6</v>
      </c>
      <c r="G2640" s="533" t="s">
        <v>3</v>
      </c>
      <c r="H2640" s="35" t="s">
        <v>2774</v>
      </c>
      <c r="I2640" s="404">
        <f t="shared" ref="I2640:I2645" si="260">I2821</f>
        <v>214.1</v>
      </c>
      <c r="J2640" s="535" t="s">
        <v>194</v>
      </c>
      <c r="K2640" s="534">
        <f t="shared" si="259"/>
        <v>1284.5999999999999</v>
      </c>
      <c r="M2640" s="534"/>
      <c r="N2640" s="533"/>
      <c r="O2640" s="411" t="s">
        <v>2748</v>
      </c>
      <c r="P2640" s="534"/>
      <c r="Q2640" s="535"/>
      <c r="R2640" s="534"/>
      <c r="W2640" s="361"/>
      <c r="AD2640" s="537" t="s">
        <v>2743</v>
      </c>
      <c r="AE2640" s="533"/>
      <c r="AF2640" s="534"/>
      <c r="AG2640" s="723">
        <v>2.2800000000000001E-2</v>
      </c>
      <c r="AH2640" s="535"/>
      <c r="AI2640" s="534"/>
    </row>
    <row r="2641" spans="6:36" ht="15.75">
      <c r="F2641" s="534">
        <v>4</v>
      </c>
      <c r="G2641" s="533" t="s">
        <v>3</v>
      </c>
      <c r="H2641" s="35" t="s">
        <v>2775</v>
      </c>
      <c r="I2641" s="404">
        <f t="shared" si="260"/>
        <v>408</v>
      </c>
      <c r="J2641" s="535" t="s">
        <v>194</v>
      </c>
      <c r="K2641" s="534">
        <f t="shared" si="259"/>
        <v>1632</v>
      </c>
      <c r="M2641" s="534"/>
      <c r="N2641" s="533"/>
      <c r="O2641" s="534"/>
      <c r="P2641" s="534"/>
      <c r="Q2641" s="535"/>
      <c r="R2641" s="534"/>
      <c r="W2641" s="361"/>
      <c r="AD2641" s="537" t="s">
        <v>2744</v>
      </c>
      <c r="AE2641" s="533"/>
      <c r="AF2641" s="534"/>
      <c r="AG2641" s="532">
        <f>2*3*0.85*0.15*0.0375</f>
        <v>2.8687499999999994E-2</v>
      </c>
      <c r="AH2641" s="535"/>
      <c r="AI2641" s="534"/>
    </row>
    <row r="2642" spans="6:36" ht="15.75">
      <c r="F2642" s="534">
        <v>1</v>
      </c>
      <c r="G2642" s="533" t="s">
        <v>3</v>
      </c>
      <c r="H2642" s="35" t="s">
        <v>2776</v>
      </c>
      <c r="I2642" s="404">
        <f t="shared" si="260"/>
        <v>836</v>
      </c>
      <c r="J2642" s="535" t="s">
        <v>194</v>
      </c>
      <c r="K2642" s="534">
        <f t="shared" si="259"/>
        <v>836</v>
      </c>
      <c r="M2642" s="532">
        <f>P2631</f>
        <v>2.2800000000000001E-2</v>
      </c>
      <c r="N2642" s="533" t="s">
        <v>108</v>
      </c>
      <c r="O2642" s="534" t="s">
        <v>2749</v>
      </c>
      <c r="P2642" s="534">
        <f>I2635</f>
        <v>111965.44</v>
      </c>
      <c r="Q2642" s="535" t="s">
        <v>108</v>
      </c>
      <c r="R2642" s="534">
        <f>M2642*P2642</f>
        <v>2552.8120320000003</v>
      </c>
      <c r="W2642" s="361"/>
      <c r="AD2642" s="537"/>
      <c r="AE2642" s="533" t="s">
        <v>2745</v>
      </c>
      <c r="AF2642" s="534"/>
      <c r="AG2642" s="532">
        <f>2*3*0.85*0.075*0.0375</f>
        <v>1.4343749999999997E-2</v>
      </c>
      <c r="AH2642" s="535"/>
      <c r="AI2642" s="534"/>
    </row>
    <row r="2643" spans="6:36" ht="15.75">
      <c r="F2643" s="534">
        <v>2</v>
      </c>
      <c r="G2643" s="533" t="s">
        <v>3</v>
      </c>
      <c r="H2643" s="35" t="s">
        <v>2777</v>
      </c>
      <c r="I2643" s="404">
        <f t="shared" si="260"/>
        <v>7.3</v>
      </c>
      <c r="J2643" s="535" t="s">
        <v>194</v>
      </c>
      <c r="K2643" s="534">
        <f t="shared" si="259"/>
        <v>14.6</v>
      </c>
      <c r="M2643" s="532">
        <f>P2634</f>
        <v>2.7899999999999998E-2</v>
      </c>
      <c r="N2643" s="533" t="s">
        <v>108</v>
      </c>
      <c r="O2643" s="534" t="s">
        <v>1979</v>
      </c>
      <c r="P2643" s="534">
        <f t="shared" ref="P2643:P2651" si="261">I2636</f>
        <v>99765.440000000002</v>
      </c>
      <c r="Q2643" s="535" t="s">
        <v>108</v>
      </c>
      <c r="R2643" s="534">
        <f t="shared" ref="R2643:R2652" si="262">M2643*P2643</f>
        <v>2783.4557759999998</v>
      </c>
      <c r="W2643" s="361"/>
      <c r="AC2643" s="537"/>
      <c r="AD2643" s="537"/>
      <c r="AE2643" s="533"/>
      <c r="AF2643" s="534"/>
      <c r="AG2643" s="724">
        <f>SUM(AG2641:AG2642)</f>
        <v>4.3031249999999993E-2</v>
      </c>
      <c r="AH2643" s="535"/>
      <c r="AI2643" s="534"/>
    </row>
    <row r="2644" spans="6:36" ht="15.75">
      <c r="F2644" s="534">
        <v>2</v>
      </c>
      <c r="G2644" s="533" t="s">
        <v>3</v>
      </c>
      <c r="H2644" s="35" t="s">
        <v>2778</v>
      </c>
      <c r="I2644" s="404">
        <f t="shared" si="260"/>
        <v>49.55</v>
      </c>
      <c r="J2644" s="535" t="s">
        <v>194</v>
      </c>
      <c r="K2644" s="534">
        <f t="shared" si="259"/>
        <v>99.1</v>
      </c>
      <c r="M2644" s="536">
        <f>P2639</f>
        <v>2.3799999999999998E-2</v>
      </c>
      <c r="N2644" s="533" t="s">
        <v>108</v>
      </c>
      <c r="O2644" s="35" t="s">
        <v>2779</v>
      </c>
      <c r="P2644" s="534">
        <f t="shared" si="261"/>
        <v>107000</v>
      </c>
      <c r="Q2644" s="535" t="s">
        <v>108</v>
      </c>
      <c r="R2644" s="534">
        <f t="shared" si="262"/>
        <v>2546.6</v>
      </c>
      <c r="W2644" s="361"/>
      <c r="AC2644" s="537"/>
      <c r="AD2644" s="537"/>
      <c r="AE2644" s="533"/>
      <c r="AF2644" s="534"/>
      <c r="AG2644" s="534"/>
      <c r="AH2644" s="535"/>
      <c r="AI2644" s="534"/>
    </row>
    <row r="2645" spans="6:36" ht="15.75">
      <c r="F2645" s="404">
        <v>118</v>
      </c>
      <c r="G2645" s="533"/>
      <c r="H2645" s="404" t="s">
        <v>1951</v>
      </c>
      <c r="I2645" s="404">
        <f t="shared" si="260"/>
        <v>2.41</v>
      </c>
      <c r="J2645" s="535"/>
      <c r="K2645" s="534">
        <f t="shared" si="259"/>
        <v>284.38</v>
      </c>
      <c r="M2645" s="537">
        <v>2.23</v>
      </c>
      <c r="N2645" s="533" t="s">
        <v>107</v>
      </c>
      <c r="O2645" s="534" t="s">
        <v>1981</v>
      </c>
      <c r="P2645" s="534">
        <f t="shared" si="261"/>
        <v>1844.3999999999999</v>
      </c>
      <c r="Q2645" s="535" t="s">
        <v>107</v>
      </c>
      <c r="R2645" s="534">
        <f t="shared" si="262"/>
        <v>4113.0119999999997</v>
      </c>
      <c r="W2645" s="361"/>
      <c r="AC2645" s="537"/>
      <c r="AD2645" s="537"/>
      <c r="AE2645" s="533"/>
      <c r="AF2645" s="534"/>
      <c r="AG2645" s="534"/>
      <c r="AH2645" s="535"/>
      <c r="AI2645" s="534"/>
    </row>
    <row r="2646" spans="6:36" ht="15.75">
      <c r="F2646" s="534"/>
      <c r="G2646" s="533"/>
      <c r="H2646" s="534"/>
      <c r="I2646" s="534"/>
      <c r="J2646" s="535"/>
      <c r="K2646" s="538"/>
      <c r="M2646" s="534">
        <v>2</v>
      </c>
      <c r="N2646" s="533" t="s">
        <v>3</v>
      </c>
      <c r="O2646" s="411" t="s">
        <v>2773</v>
      </c>
      <c r="P2646" s="534">
        <f t="shared" si="261"/>
        <v>254.5</v>
      </c>
      <c r="Q2646" s="535" t="s">
        <v>194</v>
      </c>
      <c r="R2646" s="534">
        <f t="shared" si="262"/>
        <v>509</v>
      </c>
      <c r="W2646" s="361"/>
      <c r="AC2646" s="537"/>
      <c r="AD2646" s="537" t="s">
        <v>2746</v>
      </c>
      <c r="AE2646" s="533"/>
      <c r="AF2646" s="534"/>
      <c r="AG2646" s="532">
        <f>2*4*0.725*0.3*0.01875</f>
        <v>3.2625000000000001E-2</v>
      </c>
      <c r="AH2646" s="535"/>
      <c r="AI2646" s="534"/>
    </row>
    <row r="2647" spans="6:36" ht="15.75">
      <c r="F2647" s="534"/>
      <c r="G2647" s="455"/>
      <c r="H2647" s="411" t="s">
        <v>177</v>
      </c>
      <c r="I2647" s="534"/>
      <c r="J2647" s="535"/>
      <c r="K2647" s="411">
        <f>SUM(K2635:K2646)</f>
        <v>19429.162607999999</v>
      </c>
      <c r="L2647" s="726"/>
      <c r="M2647" s="534">
        <v>6</v>
      </c>
      <c r="N2647" s="533" t="s">
        <v>3</v>
      </c>
      <c r="O2647" s="411" t="s">
        <v>2774</v>
      </c>
      <c r="P2647" s="534">
        <f t="shared" si="261"/>
        <v>214.1</v>
      </c>
      <c r="Q2647" s="535" t="s">
        <v>194</v>
      </c>
      <c r="R2647" s="534">
        <f t="shared" si="262"/>
        <v>1284.5999999999999</v>
      </c>
      <c r="W2647" s="361"/>
      <c r="AC2647" s="537"/>
      <c r="AD2647" s="537" t="s">
        <v>2747</v>
      </c>
      <c r="AE2647" s="533"/>
      <c r="AF2647" s="534"/>
      <c r="AG2647" s="532">
        <f>2*0.725*0.3*0.01875</f>
        <v>8.1562500000000003E-3</v>
      </c>
      <c r="AH2647" s="535"/>
      <c r="AI2647" s="534"/>
    </row>
    <row r="2648" spans="6:36" ht="15.75">
      <c r="F2648" s="534"/>
      <c r="G2648" s="455"/>
      <c r="H2648" s="411"/>
      <c r="I2648" s="534"/>
      <c r="J2648" s="535"/>
      <c r="K2648" s="538" t="s">
        <v>1992</v>
      </c>
      <c r="M2648" s="534">
        <v>4</v>
      </c>
      <c r="N2648" s="533" t="s">
        <v>3</v>
      </c>
      <c r="O2648" s="411" t="s">
        <v>2775</v>
      </c>
      <c r="P2648" s="534">
        <f t="shared" si="261"/>
        <v>408</v>
      </c>
      <c r="Q2648" s="535" t="s">
        <v>194</v>
      </c>
      <c r="R2648" s="534">
        <f t="shared" si="262"/>
        <v>1632</v>
      </c>
      <c r="W2648" s="361"/>
      <c r="AC2648" s="537"/>
      <c r="AD2648" s="537"/>
      <c r="AE2648" s="533"/>
      <c r="AF2648" s="534"/>
      <c r="AG2648" s="724">
        <f>SUM(AG2646:AG2647)</f>
        <v>4.0781250000000005E-2</v>
      </c>
      <c r="AH2648" s="535"/>
      <c r="AI2648" s="534"/>
    </row>
    <row r="2649" spans="6:36" ht="15.75">
      <c r="F2649" s="534"/>
      <c r="G2649" s="455"/>
      <c r="H2649" s="411" t="s">
        <v>1995</v>
      </c>
      <c r="I2649" s="534"/>
      <c r="J2649" s="535"/>
      <c r="K2649" s="411">
        <f>K2647/2.835</f>
        <v>6853.3201439153436</v>
      </c>
      <c r="M2649" s="534">
        <v>1</v>
      </c>
      <c r="N2649" s="533" t="s">
        <v>3</v>
      </c>
      <c r="O2649" s="411" t="s">
        <v>2776</v>
      </c>
      <c r="P2649" s="534">
        <f t="shared" si="261"/>
        <v>836</v>
      </c>
      <c r="Q2649" s="535" t="s">
        <v>194</v>
      </c>
      <c r="R2649" s="534">
        <f t="shared" si="262"/>
        <v>836</v>
      </c>
      <c r="W2649" s="361"/>
      <c r="AC2649" s="537"/>
      <c r="AD2649" s="537"/>
      <c r="AE2649" s="533"/>
      <c r="AF2649" s="411" t="s">
        <v>2748</v>
      </c>
      <c r="AG2649" s="534"/>
      <c r="AH2649" s="535"/>
      <c r="AI2649" s="534"/>
      <c r="AJ2649" s="487"/>
    </row>
    <row r="2650" spans="6:36" ht="15.75">
      <c r="F2650" s="534"/>
      <c r="G2650" s="455"/>
      <c r="K2650" s="415" t="s">
        <v>1992</v>
      </c>
      <c r="M2650" s="534">
        <v>2</v>
      </c>
      <c r="N2650" s="533" t="s">
        <v>3</v>
      </c>
      <c r="O2650" s="35" t="s">
        <v>993</v>
      </c>
      <c r="P2650" s="534">
        <f t="shared" si="261"/>
        <v>7.3</v>
      </c>
      <c r="Q2650" s="535" t="s">
        <v>194</v>
      </c>
      <c r="R2650" s="534">
        <f t="shared" si="262"/>
        <v>14.6</v>
      </c>
      <c r="W2650" s="361"/>
      <c r="AC2650" s="537"/>
      <c r="AD2650" s="537"/>
      <c r="AE2650" s="533"/>
      <c r="AF2650" s="534"/>
      <c r="AG2650" s="534"/>
      <c r="AH2650" s="535"/>
      <c r="AI2650" s="534"/>
      <c r="AJ2650" s="487"/>
    </row>
    <row r="2651" spans="6:36" ht="15.75">
      <c r="F2651" s="727" t="s">
        <v>2780</v>
      </c>
      <c r="G2651" s="728"/>
      <c r="H2651" s="389" t="s">
        <v>1982</v>
      </c>
      <c r="I2651" s="729"/>
      <c r="J2651" s="730"/>
      <c r="K2651" s="729"/>
      <c r="M2651" s="534">
        <v>2</v>
      </c>
      <c r="N2651" s="533" t="s">
        <v>3</v>
      </c>
      <c r="O2651" s="534" t="s">
        <v>995</v>
      </c>
      <c r="P2651" s="534">
        <f t="shared" si="261"/>
        <v>49.55</v>
      </c>
      <c r="Q2651" s="535" t="s">
        <v>194</v>
      </c>
      <c r="R2651" s="534">
        <f t="shared" si="262"/>
        <v>99.1</v>
      </c>
      <c r="W2651" s="361"/>
      <c r="AC2651" s="537"/>
      <c r="AD2651" s="532">
        <f>AG2640</f>
        <v>2.2800000000000001E-2</v>
      </c>
      <c r="AE2651" s="533" t="s">
        <v>108</v>
      </c>
      <c r="AF2651" s="534" t="s">
        <v>2749</v>
      </c>
      <c r="AG2651" s="534">
        <f>V2603</f>
        <v>111965.44</v>
      </c>
      <c r="AH2651" s="535" t="s">
        <v>108</v>
      </c>
      <c r="AI2651" s="534">
        <f>AD2651*AG2651</f>
        <v>2552.8120320000003</v>
      </c>
      <c r="AJ2651" s="487"/>
    </row>
    <row r="2652" spans="6:36" ht="15.75">
      <c r="F2652" s="729"/>
      <c r="G2652" s="728"/>
      <c r="H2652" s="731" t="s">
        <v>117</v>
      </c>
      <c r="I2652" s="731" t="s">
        <v>117</v>
      </c>
      <c r="J2652" s="389" t="s">
        <v>117</v>
      </c>
      <c r="K2652" s="729"/>
      <c r="M2652" s="404">
        <v>118</v>
      </c>
      <c r="N2652" s="533"/>
      <c r="O2652" s="404" t="s">
        <v>1951</v>
      </c>
      <c r="P2652" s="448">
        <f>P2833</f>
        <v>2.41</v>
      </c>
      <c r="Q2652" s="535"/>
      <c r="R2652" s="534">
        <f t="shared" si="262"/>
        <v>284.38</v>
      </c>
      <c r="W2652" s="361"/>
      <c r="AC2652" s="537"/>
      <c r="AD2652" s="532">
        <f>AG2643</f>
        <v>4.3031249999999993E-2</v>
      </c>
      <c r="AE2652" s="533" t="s">
        <v>108</v>
      </c>
      <c r="AF2652" s="534" t="s">
        <v>1979</v>
      </c>
      <c r="AG2652" s="534">
        <f t="shared" ref="AG2652:AG2662" si="263">V2604</f>
        <v>99765.440000000002</v>
      </c>
      <c r="AH2652" s="535" t="s">
        <v>108</v>
      </c>
      <c r="AI2652" s="534">
        <f t="shared" ref="AI2652:AI2662" si="264">AD2652*AG2652</f>
        <v>4293.0315899999996</v>
      </c>
      <c r="AJ2652" s="487"/>
    </row>
    <row r="2653" spans="6:36" ht="15.75">
      <c r="F2653" s="729"/>
      <c r="G2653" s="728"/>
      <c r="H2653" s="729"/>
      <c r="I2653" s="729"/>
      <c r="J2653" s="730"/>
      <c r="K2653" s="729"/>
      <c r="M2653" s="534"/>
      <c r="N2653" s="533"/>
      <c r="O2653" s="534"/>
      <c r="P2653" s="534"/>
      <c r="Q2653" s="535"/>
      <c r="R2653" s="538" t="s">
        <v>1992</v>
      </c>
      <c r="W2653" s="361"/>
      <c r="AC2653" s="537"/>
      <c r="AD2653" s="532">
        <f>AG2648</f>
        <v>4.0781250000000005E-2</v>
      </c>
      <c r="AE2653" s="533" t="s">
        <v>108</v>
      </c>
      <c r="AF2653" s="40" t="s">
        <v>2779</v>
      </c>
      <c r="AG2653" s="534">
        <f t="shared" si="263"/>
        <v>107000</v>
      </c>
      <c r="AH2653" s="535" t="s">
        <v>108</v>
      </c>
      <c r="AI2653" s="534">
        <f t="shared" si="264"/>
        <v>4363.5937500000009</v>
      </c>
      <c r="AJ2653" s="487"/>
    </row>
    <row r="2654" spans="6:36" ht="31.5">
      <c r="F2654" s="729"/>
      <c r="G2654" s="728"/>
      <c r="H2654" s="389" t="s">
        <v>1986</v>
      </c>
      <c r="I2654" s="729"/>
      <c r="J2654" s="730"/>
      <c r="K2654" s="729"/>
      <c r="M2654" s="534"/>
      <c r="N2654" s="455"/>
      <c r="O2654" s="411" t="s">
        <v>177</v>
      </c>
      <c r="P2654" s="534"/>
      <c r="Q2654" s="535"/>
      <c r="R2654" s="411">
        <f>SUM(R2642:R2652)</f>
        <v>16655.559808000002</v>
      </c>
      <c r="W2654" s="361"/>
      <c r="AC2654" s="537"/>
      <c r="AD2654" s="532">
        <f>AG2639</f>
        <v>3.4424999999999999</v>
      </c>
      <c r="AE2654" s="533" t="s">
        <v>107</v>
      </c>
      <c r="AF2654" s="732" t="s">
        <v>1981</v>
      </c>
      <c r="AG2654" s="534">
        <f t="shared" si="263"/>
        <v>1844.3999999999999</v>
      </c>
      <c r="AH2654" s="535" t="s">
        <v>107</v>
      </c>
      <c r="AI2654" s="534">
        <f t="shared" si="264"/>
        <v>6349.3469999999998</v>
      </c>
      <c r="AJ2654" s="487"/>
    </row>
    <row r="2655" spans="6:36" ht="15.75">
      <c r="F2655" s="729"/>
      <c r="G2655" s="728"/>
      <c r="H2655" s="389"/>
      <c r="I2655" s="729"/>
      <c r="J2655" s="730"/>
      <c r="K2655" s="729"/>
      <c r="M2655" s="534"/>
      <c r="N2655" s="455"/>
      <c r="O2655" s="411"/>
      <c r="P2655" s="534"/>
      <c r="Q2655" s="535"/>
      <c r="R2655" s="538" t="s">
        <v>1992</v>
      </c>
      <c r="W2655" s="361"/>
      <c r="AC2655" s="537"/>
      <c r="AD2655" s="537">
        <v>2</v>
      </c>
      <c r="AE2655" s="533" t="s">
        <v>3</v>
      </c>
      <c r="AF2655" s="35" t="s">
        <v>2773</v>
      </c>
      <c r="AG2655" s="733">
        <v>450</v>
      </c>
      <c r="AH2655" s="535" t="s">
        <v>194</v>
      </c>
      <c r="AI2655" s="534">
        <f t="shared" si="264"/>
        <v>900</v>
      </c>
      <c r="AJ2655" s="487"/>
    </row>
    <row r="2656" spans="6:36" ht="15.75">
      <c r="F2656" s="729"/>
      <c r="G2656" s="728"/>
      <c r="H2656" s="389" t="s">
        <v>1988</v>
      </c>
      <c r="I2656" s="729"/>
      <c r="J2656" s="730"/>
      <c r="K2656" s="729"/>
      <c r="M2656" s="534"/>
      <c r="N2656" s="455"/>
      <c r="O2656" s="411" t="s">
        <v>2781</v>
      </c>
      <c r="P2656" s="534"/>
      <c r="Q2656" s="535"/>
      <c r="R2656" s="411">
        <f>R2654/M2645</f>
        <v>7468.8609004484315</v>
      </c>
      <c r="W2656" s="361"/>
      <c r="AC2656" s="537"/>
      <c r="AD2656" s="537">
        <v>6</v>
      </c>
      <c r="AE2656" s="533" t="s">
        <v>3</v>
      </c>
      <c r="AF2656" s="35" t="s">
        <v>2774</v>
      </c>
      <c r="AG2656" s="733">
        <v>79</v>
      </c>
      <c r="AH2656" s="535" t="s">
        <v>194</v>
      </c>
      <c r="AI2656" s="534">
        <f t="shared" si="264"/>
        <v>474</v>
      </c>
      <c r="AJ2656" s="487"/>
    </row>
    <row r="2657" spans="6:36" ht="15.75">
      <c r="F2657" s="729"/>
      <c r="G2657" s="728"/>
      <c r="H2657" s="389" t="s">
        <v>1989</v>
      </c>
      <c r="I2657" s="729"/>
      <c r="J2657" s="730"/>
      <c r="K2657" s="729"/>
      <c r="M2657" s="534"/>
      <c r="N2657" s="455"/>
      <c r="Q2657" s="360"/>
      <c r="R2657" s="415" t="s">
        <v>1992</v>
      </c>
      <c r="W2657" s="361"/>
      <c r="AC2657" s="532"/>
      <c r="AD2657" s="537">
        <v>4</v>
      </c>
      <c r="AE2657" s="533" t="s">
        <v>3</v>
      </c>
      <c r="AF2657" s="35" t="s">
        <v>2775</v>
      </c>
      <c r="AG2657" s="733">
        <v>130</v>
      </c>
      <c r="AH2657" s="535" t="s">
        <v>194</v>
      </c>
      <c r="AI2657" s="534">
        <f t="shared" si="264"/>
        <v>520</v>
      </c>
      <c r="AJ2657" s="487"/>
    </row>
    <row r="2658" spans="6:36" ht="15.75">
      <c r="F2658" s="729"/>
      <c r="G2658" s="728"/>
      <c r="H2658" s="389" t="s">
        <v>1990</v>
      </c>
      <c r="I2658" s="729"/>
      <c r="J2658" s="730"/>
      <c r="K2658" s="729"/>
      <c r="M2658" s="35" t="s">
        <v>2780</v>
      </c>
      <c r="O2658" s="35" t="s">
        <v>1982</v>
      </c>
      <c r="W2658" s="361"/>
      <c r="AC2658" s="532"/>
      <c r="AD2658" s="537">
        <v>1</v>
      </c>
      <c r="AE2658" s="533" t="s">
        <v>3</v>
      </c>
      <c r="AF2658" s="35" t="s">
        <v>2776</v>
      </c>
      <c r="AG2658" s="733">
        <v>985</v>
      </c>
      <c r="AH2658" s="535" t="s">
        <v>194</v>
      </c>
      <c r="AI2658" s="534">
        <f t="shared" si="264"/>
        <v>985</v>
      </c>
      <c r="AJ2658" s="487"/>
    </row>
    <row r="2659" spans="6:36" ht="15.75">
      <c r="F2659" s="729"/>
      <c r="G2659" s="728"/>
      <c r="H2659" s="389" t="s">
        <v>1991</v>
      </c>
      <c r="I2659" s="729"/>
      <c r="J2659" s="730"/>
      <c r="K2659" s="729"/>
      <c r="O2659" s="35" t="s">
        <v>117</v>
      </c>
      <c r="P2659" s="35" t="s">
        <v>117</v>
      </c>
      <c r="Q2659" s="35" t="s">
        <v>117</v>
      </c>
      <c r="W2659" s="361"/>
      <c r="AC2659" s="532"/>
      <c r="AD2659" s="537">
        <v>2</v>
      </c>
      <c r="AE2659" s="533" t="s">
        <v>3</v>
      </c>
      <c r="AF2659" s="35" t="s">
        <v>2782</v>
      </c>
      <c r="AG2659" s="448">
        <v>24.6</v>
      </c>
      <c r="AH2659" s="535" t="s">
        <v>194</v>
      </c>
      <c r="AI2659" s="534">
        <f t="shared" si="264"/>
        <v>49.2</v>
      </c>
      <c r="AJ2659" s="487"/>
    </row>
    <row r="2660" spans="6:36" ht="15.75">
      <c r="F2660" s="729"/>
      <c r="G2660" s="728"/>
      <c r="H2660" s="389" t="s">
        <v>2783</v>
      </c>
      <c r="I2660" s="729"/>
      <c r="J2660" s="389" t="s">
        <v>114</v>
      </c>
      <c r="K2660" s="734">
        <v>3.7699999999999997E-2</v>
      </c>
      <c r="W2660" s="361"/>
      <c r="AC2660" s="532"/>
      <c r="AD2660" s="537">
        <v>2</v>
      </c>
      <c r="AE2660" s="533" t="s">
        <v>3</v>
      </c>
      <c r="AF2660" s="534" t="s">
        <v>995</v>
      </c>
      <c r="AG2660" s="534">
        <f t="shared" si="263"/>
        <v>49.55</v>
      </c>
      <c r="AH2660" s="535" t="s">
        <v>194</v>
      </c>
      <c r="AI2660" s="534">
        <f t="shared" si="264"/>
        <v>99.1</v>
      </c>
    </row>
    <row r="2661" spans="6:36" ht="15.75">
      <c r="F2661" s="729"/>
      <c r="G2661" s="728"/>
      <c r="H2661" s="389" t="s">
        <v>2784</v>
      </c>
      <c r="I2661" s="729"/>
      <c r="J2661" s="735" t="s">
        <v>114</v>
      </c>
      <c r="K2661" s="735" t="s">
        <v>114</v>
      </c>
      <c r="O2661" s="35" t="s">
        <v>1986</v>
      </c>
      <c r="W2661" s="361"/>
      <c r="AC2661" s="537"/>
      <c r="AD2661" s="537"/>
      <c r="AE2661" s="533"/>
      <c r="AF2661" s="534"/>
      <c r="AG2661" s="534">
        <f t="shared" si="263"/>
        <v>0</v>
      </c>
      <c r="AH2661" s="535"/>
      <c r="AI2661" s="534">
        <f t="shared" si="264"/>
        <v>0</v>
      </c>
    </row>
    <row r="2662" spans="6:36" ht="15.75">
      <c r="F2662" s="729"/>
      <c r="G2662" s="728"/>
      <c r="H2662" s="389" t="s">
        <v>1996</v>
      </c>
      <c r="I2662" s="729"/>
      <c r="J2662" s="730"/>
      <c r="K2662" s="735" t="s">
        <v>114</v>
      </c>
      <c r="W2662" s="361"/>
      <c r="AC2662" s="537"/>
      <c r="AD2662" s="537">
        <v>118</v>
      </c>
      <c r="AE2662" s="533"/>
      <c r="AF2662" s="404" t="s">
        <v>1951</v>
      </c>
      <c r="AG2662" s="534">
        <f t="shared" si="263"/>
        <v>2.41</v>
      </c>
      <c r="AH2662" s="535"/>
      <c r="AI2662" s="534">
        <f t="shared" si="264"/>
        <v>284.38</v>
      </c>
    </row>
    <row r="2663" spans="6:36" ht="15.75">
      <c r="F2663" s="729"/>
      <c r="G2663" s="728"/>
      <c r="H2663" s="729"/>
      <c r="I2663" s="729"/>
      <c r="J2663" s="730"/>
      <c r="K2663" s="729"/>
      <c r="O2663" s="35" t="s">
        <v>1988</v>
      </c>
      <c r="W2663" s="361"/>
      <c r="AC2663" s="537"/>
      <c r="AD2663" s="537"/>
      <c r="AE2663" s="455"/>
      <c r="AF2663" s="411" t="s">
        <v>177</v>
      </c>
      <c r="AG2663" s="534"/>
      <c r="AH2663" s="535"/>
      <c r="AI2663" s="411">
        <f>SUM(AI2651:AI2662)</f>
        <v>20870.464372000002</v>
      </c>
    </row>
    <row r="2664" spans="6:36" ht="15.75">
      <c r="F2664" s="736">
        <v>1.18E-2</v>
      </c>
      <c r="G2664" s="737" t="s">
        <v>108</v>
      </c>
      <c r="H2664" s="389" t="s">
        <v>986</v>
      </c>
      <c r="I2664" s="738">
        <f>AE26</f>
        <v>111965.44</v>
      </c>
      <c r="J2664" s="389" t="s">
        <v>108</v>
      </c>
      <c r="K2664" s="738">
        <f t="shared" ref="K2664:K2673" si="265">(F2664*I2664)</f>
        <v>1321.192192</v>
      </c>
      <c r="O2664" s="35" t="s">
        <v>1989</v>
      </c>
      <c r="W2664" s="361"/>
      <c r="AC2664" s="537"/>
      <c r="AD2664" s="537"/>
      <c r="AE2664" s="455"/>
      <c r="AF2664" s="411"/>
      <c r="AG2664" s="534"/>
      <c r="AH2664" s="535"/>
      <c r="AI2664" s="538" t="s">
        <v>1992</v>
      </c>
    </row>
    <row r="2665" spans="6:36" ht="15.75">
      <c r="F2665" s="736">
        <v>3.7699999999999997E-2</v>
      </c>
      <c r="G2665" s="737" t="s">
        <v>108</v>
      </c>
      <c r="H2665" s="389" t="s">
        <v>987</v>
      </c>
      <c r="I2665" s="738">
        <f>AE27</f>
        <v>99765.440000000002</v>
      </c>
      <c r="J2665" s="389" t="s">
        <v>108</v>
      </c>
      <c r="K2665" s="738">
        <f t="shared" si="265"/>
        <v>3761.1570879999999</v>
      </c>
      <c r="O2665" s="35" t="s">
        <v>1990</v>
      </c>
      <c r="W2665" s="361"/>
      <c r="AC2665" s="537"/>
      <c r="AD2665" s="537"/>
      <c r="AE2665" s="455"/>
      <c r="AF2665" s="411" t="s">
        <v>2757</v>
      </c>
      <c r="AG2665" s="534"/>
      <c r="AH2665" s="535"/>
      <c r="AI2665" s="411">
        <f>AI2663/3.4425</f>
        <v>6062.589505301381</v>
      </c>
    </row>
    <row r="2666" spans="6:36" ht="15.75">
      <c r="F2666" s="736">
        <v>1.8550000000000001E-2</v>
      </c>
      <c r="G2666" s="737" t="s">
        <v>108</v>
      </c>
      <c r="H2666" s="389" t="s">
        <v>1997</v>
      </c>
      <c r="I2666" s="738">
        <f>AG33</f>
        <v>16428</v>
      </c>
      <c r="J2666" s="389" t="s">
        <v>108</v>
      </c>
      <c r="K2666" s="738">
        <f t="shared" si="265"/>
        <v>304.73939999999999</v>
      </c>
      <c r="O2666" s="35" t="s">
        <v>1991</v>
      </c>
      <c r="W2666" s="361"/>
      <c r="AC2666" s="537"/>
      <c r="AD2666" s="533"/>
      <c r="AE2666" s="534"/>
      <c r="AF2666" s="534"/>
      <c r="AG2666" s="535"/>
      <c r="AH2666" s="534"/>
    </row>
    <row r="2667" spans="6:36" ht="15.75">
      <c r="F2667" s="736">
        <v>1.36</v>
      </c>
      <c r="G2667" s="737" t="s">
        <v>107</v>
      </c>
      <c r="H2667" s="389" t="s">
        <v>1998</v>
      </c>
      <c r="I2667" s="739">
        <v>269.10000000000002</v>
      </c>
      <c r="J2667" s="389" t="s">
        <v>107</v>
      </c>
      <c r="K2667" s="738">
        <f t="shared" si="265"/>
        <v>365.97600000000006</v>
      </c>
      <c r="O2667" s="35" t="s">
        <v>2783</v>
      </c>
      <c r="Q2667" s="35" t="s">
        <v>114</v>
      </c>
      <c r="R2667" s="35">
        <v>0.04</v>
      </c>
      <c r="W2667" s="361"/>
      <c r="AC2667" s="537"/>
      <c r="AD2667" s="533"/>
      <c r="AE2667" s="534"/>
      <c r="AF2667" s="534"/>
      <c r="AG2667" s="535"/>
      <c r="AH2667" s="534"/>
    </row>
    <row r="2668" spans="6:36" ht="15.75">
      <c r="F2668" s="736">
        <v>2.0499999999999998</v>
      </c>
      <c r="G2668" s="737" t="s">
        <v>107</v>
      </c>
      <c r="H2668" s="389" t="s">
        <v>1999</v>
      </c>
      <c r="I2668" s="738">
        <f>D30</f>
        <v>1537.2</v>
      </c>
      <c r="J2668" s="389" t="s">
        <v>107</v>
      </c>
      <c r="K2668" s="738">
        <f t="shared" si="265"/>
        <v>3151.2599999999998</v>
      </c>
      <c r="O2668" s="35" t="s">
        <v>2784</v>
      </c>
      <c r="Q2668" s="35" t="s">
        <v>114</v>
      </c>
      <c r="R2668" s="35" t="s">
        <v>114</v>
      </c>
      <c r="W2668" s="361"/>
      <c r="AC2668" s="537"/>
      <c r="AD2668" s="533"/>
      <c r="AE2668" s="404"/>
      <c r="AF2668" s="534"/>
      <c r="AG2668" s="535"/>
      <c r="AH2668" s="534"/>
    </row>
    <row r="2669" spans="6:36" ht="15.75">
      <c r="F2669" s="738">
        <v>2</v>
      </c>
      <c r="G2669" s="737" t="s">
        <v>151</v>
      </c>
      <c r="H2669" s="389" t="s">
        <v>2785</v>
      </c>
      <c r="I2669" s="738">
        <f>E287</f>
        <v>57</v>
      </c>
      <c r="J2669" s="389" t="s">
        <v>151</v>
      </c>
      <c r="K2669" s="738">
        <f t="shared" si="265"/>
        <v>114</v>
      </c>
      <c r="O2669" s="35" t="s">
        <v>1996</v>
      </c>
      <c r="R2669" s="35" t="s">
        <v>114</v>
      </c>
      <c r="W2669" s="361"/>
      <c r="AC2669" s="537"/>
      <c r="AD2669" s="455"/>
      <c r="AE2669" s="411"/>
      <c r="AF2669" s="534"/>
      <c r="AG2669" s="535"/>
      <c r="AH2669" s="411"/>
    </row>
    <row r="2670" spans="6:36" ht="15.75">
      <c r="F2670" s="738">
        <v>6</v>
      </c>
      <c r="G2670" s="737" t="s">
        <v>151</v>
      </c>
      <c r="H2670" s="389" t="s">
        <v>1958</v>
      </c>
      <c r="I2670" s="738">
        <f>C284</f>
        <v>49.35</v>
      </c>
      <c r="J2670" s="389" t="s">
        <v>151</v>
      </c>
      <c r="K2670" s="738">
        <f t="shared" si="265"/>
        <v>296.10000000000002</v>
      </c>
      <c r="W2670" s="361"/>
      <c r="AC2670" s="537"/>
      <c r="AD2670" s="455"/>
      <c r="AE2670" s="411"/>
      <c r="AF2670" s="534"/>
      <c r="AG2670" s="535"/>
      <c r="AH2670" s="538"/>
    </row>
    <row r="2671" spans="6:36" ht="15.75">
      <c r="F2671" s="738">
        <v>2</v>
      </c>
      <c r="G2671" s="737" t="s">
        <v>151</v>
      </c>
      <c r="H2671" s="740" t="s">
        <v>2786</v>
      </c>
      <c r="I2671" s="738">
        <f>I1136</f>
        <v>60.9</v>
      </c>
      <c r="J2671" s="389" t="s">
        <v>151</v>
      </c>
      <c r="K2671" s="738">
        <f t="shared" si="265"/>
        <v>121.8</v>
      </c>
      <c r="M2671" s="35">
        <v>0.01</v>
      </c>
      <c r="N2671" s="35" t="s">
        <v>108</v>
      </c>
      <c r="O2671" s="35" t="s">
        <v>986</v>
      </c>
      <c r="P2671" s="35">
        <f>I2664</f>
        <v>111965.44</v>
      </c>
      <c r="Q2671" s="35" t="s">
        <v>108</v>
      </c>
      <c r="R2671" s="35">
        <v>764.29</v>
      </c>
      <c r="W2671" s="361"/>
      <c r="AC2671" s="537"/>
      <c r="AD2671" s="455"/>
      <c r="AE2671" s="411"/>
      <c r="AF2671" s="534"/>
      <c r="AG2671" s="535"/>
      <c r="AH2671" s="411"/>
    </row>
    <row r="2672" spans="6:36" ht="15">
      <c r="F2672" s="738">
        <v>1</v>
      </c>
      <c r="G2672" s="737" t="s">
        <v>151</v>
      </c>
      <c r="H2672" s="389" t="s">
        <v>2787</v>
      </c>
      <c r="I2672" s="739">
        <f>I1137</f>
        <v>63.2</v>
      </c>
      <c r="J2672" s="389" t="s">
        <v>151</v>
      </c>
      <c r="K2672" s="738">
        <f t="shared" si="265"/>
        <v>63.2</v>
      </c>
      <c r="M2672" s="35">
        <v>0.04</v>
      </c>
      <c r="N2672" s="35" t="s">
        <v>108</v>
      </c>
      <c r="O2672" s="35" t="s">
        <v>987</v>
      </c>
      <c r="P2672" s="35">
        <f>I2665</f>
        <v>99765.440000000002</v>
      </c>
      <c r="Q2672" s="35" t="s">
        <v>108</v>
      </c>
      <c r="R2672" s="35">
        <v>2172.65</v>
      </c>
      <c r="W2672" s="361"/>
      <c r="AC2672" s="36"/>
    </row>
    <row r="2673" spans="6:23" ht="15">
      <c r="F2673" s="738">
        <v>2.52</v>
      </c>
      <c r="G2673" s="737" t="s">
        <v>107</v>
      </c>
      <c r="H2673" s="389" t="s">
        <v>2003</v>
      </c>
      <c r="I2673" s="738">
        <f>K1169</f>
        <v>226.08</v>
      </c>
      <c r="J2673" s="389" t="s">
        <v>107</v>
      </c>
      <c r="K2673" s="738">
        <f t="shared" si="265"/>
        <v>569.72160000000008</v>
      </c>
      <c r="M2673" s="35">
        <v>0.02</v>
      </c>
      <c r="N2673" s="35" t="s">
        <v>108</v>
      </c>
      <c r="O2673" s="35" t="s">
        <v>1997</v>
      </c>
      <c r="P2673" s="35">
        <f>I2666</f>
        <v>16428</v>
      </c>
      <c r="Q2673" s="35" t="s">
        <v>108</v>
      </c>
      <c r="R2673" s="35">
        <v>56.02</v>
      </c>
      <c r="W2673" s="361"/>
    </row>
    <row r="2674" spans="6:23" ht="15.75">
      <c r="F2674" s="729"/>
      <c r="G2674" s="728"/>
      <c r="H2674" s="389" t="s">
        <v>2004</v>
      </c>
      <c r="I2674" s="741" t="s">
        <v>128</v>
      </c>
      <c r="J2674" s="730"/>
      <c r="K2674" s="738">
        <v>2.13</v>
      </c>
      <c r="M2674" s="35">
        <v>1.36</v>
      </c>
      <c r="N2674" s="35" t="s">
        <v>107</v>
      </c>
      <c r="O2674" s="35" t="s">
        <v>1998</v>
      </c>
      <c r="P2674" s="742">
        <v>385.89</v>
      </c>
      <c r="Q2674" s="35" t="s">
        <v>107</v>
      </c>
      <c r="R2674" s="35">
        <v>524.80999999999995</v>
      </c>
      <c r="W2674" s="361"/>
    </row>
    <row r="2675" spans="6:23" ht="15">
      <c r="F2675" s="729"/>
      <c r="G2675" s="728"/>
      <c r="H2675" s="743"/>
      <c r="I2675" s="743"/>
      <c r="J2675" s="744"/>
      <c r="K2675" s="745" t="s">
        <v>117</v>
      </c>
      <c r="M2675" s="35">
        <v>2.0499999999999998</v>
      </c>
      <c r="N2675" s="35" t="s">
        <v>107</v>
      </c>
      <c r="O2675" s="35" t="s">
        <v>1999</v>
      </c>
      <c r="P2675" s="35">
        <f t="shared" ref="P2675:P2680" si="266">I2668</f>
        <v>1537.2</v>
      </c>
      <c r="Q2675" s="35" t="s">
        <v>107</v>
      </c>
      <c r="R2675" s="35">
        <v>586.29999999999995</v>
      </c>
      <c r="W2675" s="361"/>
    </row>
    <row r="2676" spans="6:23" ht="15">
      <c r="F2676" s="729"/>
      <c r="G2676" s="728"/>
      <c r="H2676" s="746" t="s">
        <v>2005</v>
      </c>
      <c r="I2676" s="743"/>
      <c r="J2676" s="744"/>
      <c r="K2676" s="747">
        <f>SUM(K2664:K2674)</f>
        <v>10071.27628</v>
      </c>
      <c r="M2676" s="35">
        <v>2</v>
      </c>
      <c r="N2676" s="35" t="s">
        <v>151</v>
      </c>
      <c r="O2676" s="35" t="s">
        <v>2785</v>
      </c>
      <c r="P2676" s="35">
        <f t="shared" si="266"/>
        <v>57</v>
      </c>
      <c r="Q2676" s="35" t="s">
        <v>151</v>
      </c>
      <c r="R2676" s="35">
        <v>50</v>
      </c>
      <c r="W2676" s="361"/>
    </row>
    <row r="2677" spans="6:23" ht="15">
      <c r="F2677" s="729"/>
      <c r="G2677" s="737" t="s">
        <v>114</v>
      </c>
      <c r="H2677" s="743"/>
      <c r="I2677" s="743"/>
      <c r="J2677" s="744"/>
      <c r="K2677" s="745" t="s">
        <v>117</v>
      </c>
      <c r="M2677" s="35">
        <v>6</v>
      </c>
      <c r="N2677" s="35" t="s">
        <v>151</v>
      </c>
      <c r="O2677" s="35" t="s">
        <v>1958</v>
      </c>
      <c r="P2677" s="35">
        <f t="shared" si="266"/>
        <v>49.35</v>
      </c>
      <c r="Q2677" s="35" t="s">
        <v>151</v>
      </c>
      <c r="R2677" s="35">
        <v>150</v>
      </c>
      <c r="W2677" s="361"/>
    </row>
    <row r="2678" spans="6:23" ht="15">
      <c r="F2678" s="729"/>
      <c r="G2678" s="728"/>
      <c r="H2678" s="746" t="s">
        <v>177</v>
      </c>
      <c r="I2678" s="743"/>
      <c r="J2678" s="744"/>
      <c r="K2678" s="747">
        <f>K2676/2.52</f>
        <v>3996.5382063492061</v>
      </c>
      <c r="M2678" s="35">
        <v>2</v>
      </c>
      <c r="N2678" s="35" t="s">
        <v>151</v>
      </c>
      <c r="O2678" s="35" t="s">
        <v>2788</v>
      </c>
      <c r="P2678" s="35">
        <f t="shared" si="266"/>
        <v>60.9</v>
      </c>
      <c r="Q2678" s="35" t="s">
        <v>151</v>
      </c>
      <c r="R2678" s="35">
        <v>70</v>
      </c>
      <c r="W2678" s="361"/>
    </row>
    <row r="2679" spans="6:23" ht="15">
      <c r="F2679" s="729"/>
      <c r="G2679" s="728"/>
      <c r="H2679" s="743"/>
      <c r="I2679" s="743"/>
      <c r="J2679" s="744"/>
      <c r="K2679" s="745" t="s">
        <v>156</v>
      </c>
      <c r="M2679" s="35">
        <v>1</v>
      </c>
      <c r="N2679" s="35" t="s">
        <v>151</v>
      </c>
      <c r="O2679" s="35" t="s">
        <v>2787</v>
      </c>
      <c r="P2679" s="35">
        <f t="shared" si="266"/>
        <v>63.2</v>
      </c>
      <c r="Q2679" s="35" t="s">
        <v>151</v>
      </c>
      <c r="R2679" s="35">
        <v>60</v>
      </c>
      <c r="W2679" s="361"/>
    </row>
    <row r="2680" spans="6:23" ht="15">
      <c r="F2680" s="729"/>
      <c r="G2680" s="728"/>
      <c r="H2680" s="743"/>
      <c r="I2680" s="743"/>
      <c r="J2680" s="744"/>
      <c r="K2680" s="743"/>
      <c r="M2680" s="35">
        <v>2.52</v>
      </c>
      <c r="N2680" s="35" t="s">
        <v>107</v>
      </c>
      <c r="O2680" s="35" t="s">
        <v>2003</v>
      </c>
      <c r="P2680" s="35">
        <f t="shared" si="266"/>
        <v>226.08</v>
      </c>
      <c r="Q2680" s="35" t="s">
        <v>107</v>
      </c>
      <c r="R2680" s="35">
        <v>124.71</v>
      </c>
      <c r="W2680" s="361"/>
    </row>
    <row r="2681" spans="6:23" ht="15.75">
      <c r="F2681" s="726" t="s">
        <v>2789</v>
      </c>
      <c r="G2681" s="726"/>
      <c r="H2681" s="726"/>
      <c r="I2681" s="726"/>
      <c r="J2681" s="726"/>
      <c r="K2681" s="726"/>
      <c r="O2681" s="35" t="s">
        <v>2004</v>
      </c>
      <c r="P2681" s="35" t="s">
        <v>128</v>
      </c>
      <c r="R2681" s="35">
        <v>0.28000000000000003</v>
      </c>
      <c r="W2681" s="361"/>
    </row>
    <row r="2682" spans="6:23" ht="15.75">
      <c r="F2682" s="54">
        <v>4</v>
      </c>
      <c r="G2682" s="358" t="s">
        <v>1896</v>
      </c>
      <c r="H2682" s="35" t="s">
        <v>2790</v>
      </c>
      <c r="I2682" s="534">
        <f>C396</f>
        <v>151.4</v>
      </c>
      <c r="J2682" s="360" t="s">
        <v>2791</v>
      </c>
      <c r="K2682" s="54">
        <f>I2682*F2682</f>
        <v>605.6</v>
      </c>
      <c r="R2682" s="35" t="s">
        <v>117</v>
      </c>
      <c r="W2682" s="361"/>
    </row>
    <row r="2683" spans="6:23" ht="15">
      <c r="F2683" s="54">
        <v>2.52</v>
      </c>
      <c r="G2683" s="358" t="s">
        <v>2791</v>
      </c>
      <c r="H2683" s="35" t="s">
        <v>2792</v>
      </c>
      <c r="I2683" s="35">
        <f>C34/1000</f>
        <v>53</v>
      </c>
      <c r="J2683" s="360" t="s">
        <v>213</v>
      </c>
      <c r="K2683" s="54">
        <f t="shared" ref="K2683:K2689" si="267">I2683*F2683</f>
        <v>133.56</v>
      </c>
      <c r="O2683" s="35" t="s">
        <v>2005</v>
      </c>
      <c r="R2683" s="35">
        <v>4559.0600000000004</v>
      </c>
      <c r="W2683" s="361"/>
    </row>
    <row r="2684" spans="6:23" ht="15">
      <c r="F2684" s="54">
        <v>1.1299999999999999</v>
      </c>
      <c r="G2684" s="358" t="s">
        <v>2791</v>
      </c>
      <c r="H2684" s="35" t="s">
        <v>2793</v>
      </c>
      <c r="I2684" s="35">
        <f>I2683</f>
        <v>53</v>
      </c>
      <c r="J2684" s="360" t="s">
        <v>213</v>
      </c>
      <c r="K2684" s="54">
        <f t="shared" si="267"/>
        <v>59.889999999999993</v>
      </c>
      <c r="N2684" s="35" t="s">
        <v>114</v>
      </c>
      <c r="R2684" s="35" t="s">
        <v>117</v>
      </c>
      <c r="W2684" s="361"/>
    </row>
    <row r="2685" spans="6:23" ht="15">
      <c r="F2685" s="54">
        <v>0.35</v>
      </c>
      <c r="G2685" s="358" t="s">
        <v>213</v>
      </c>
      <c r="H2685" s="35" t="s">
        <v>2794</v>
      </c>
      <c r="I2685" s="35">
        <f>I2684</f>
        <v>53</v>
      </c>
      <c r="J2685" s="360" t="s">
        <v>213</v>
      </c>
      <c r="K2685" s="54">
        <f t="shared" si="267"/>
        <v>18.549999999999997</v>
      </c>
      <c r="O2685" s="35" t="s">
        <v>177</v>
      </c>
      <c r="R2685" s="35">
        <v>1809.15</v>
      </c>
      <c r="W2685" s="361"/>
    </row>
    <row r="2686" spans="6:23" ht="15">
      <c r="F2686" s="54">
        <v>4</v>
      </c>
      <c r="G2686" s="358" t="s">
        <v>213</v>
      </c>
      <c r="H2686" s="35" t="s">
        <v>2795</v>
      </c>
      <c r="I2686" s="35">
        <f>C37</f>
        <v>66.42</v>
      </c>
      <c r="J2686" s="360" t="s">
        <v>213</v>
      </c>
      <c r="K2686" s="54">
        <f t="shared" si="267"/>
        <v>265.68</v>
      </c>
      <c r="R2686" s="35" t="s">
        <v>156</v>
      </c>
      <c r="W2686" s="361"/>
    </row>
    <row r="2687" spans="6:23" ht="15.75">
      <c r="F2687" s="54">
        <v>6</v>
      </c>
      <c r="G2687" s="358" t="s">
        <v>1896</v>
      </c>
      <c r="H2687" s="35" t="s">
        <v>2796</v>
      </c>
      <c r="I2687" s="465">
        <v>1</v>
      </c>
      <c r="J2687" s="360" t="s">
        <v>194</v>
      </c>
      <c r="K2687" s="54">
        <f t="shared" si="267"/>
        <v>6</v>
      </c>
      <c r="W2687" s="361"/>
    </row>
    <row r="2688" spans="6:23" ht="15">
      <c r="F2688" s="54">
        <v>0.5</v>
      </c>
      <c r="G2688" s="358" t="s">
        <v>1896</v>
      </c>
      <c r="H2688" s="35" t="s">
        <v>483</v>
      </c>
      <c r="I2688" s="35">
        <f>C12</f>
        <v>781.19999999999993</v>
      </c>
      <c r="J2688" s="360" t="s">
        <v>194</v>
      </c>
      <c r="K2688" s="54">
        <f t="shared" si="267"/>
        <v>390.59999999999997</v>
      </c>
      <c r="W2688" s="361"/>
    </row>
    <row r="2689" spans="6:23" ht="15">
      <c r="F2689" s="54">
        <v>0.5</v>
      </c>
      <c r="G2689" s="358" t="s">
        <v>1896</v>
      </c>
      <c r="H2689" s="35" t="s">
        <v>2626</v>
      </c>
      <c r="I2689" s="35">
        <f>C13</f>
        <v>640.79999999999995</v>
      </c>
      <c r="J2689" s="360" t="s">
        <v>194</v>
      </c>
      <c r="K2689" s="54">
        <f t="shared" si="267"/>
        <v>320.39999999999998</v>
      </c>
      <c r="W2689" s="361"/>
    </row>
    <row r="2690" spans="6:23" ht="15">
      <c r="G2690" s="358" t="s">
        <v>128</v>
      </c>
      <c r="H2690" s="35" t="s">
        <v>2797</v>
      </c>
      <c r="I2690" s="471" t="s">
        <v>128</v>
      </c>
      <c r="K2690" s="35">
        <v>21.69</v>
      </c>
      <c r="L2690" s="35">
        <f>24*176</f>
        <v>4224</v>
      </c>
      <c r="W2690" s="361"/>
    </row>
    <row r="2691" spans="6:23" ht="15.75">
      <c r="G2691" s="35"/>
      <c r="H2691" s="748" t="s">
        <v>2798</v>
      </c>
      <c r="K2691" s="749">
        <f>SUM(K2682:K2690)</f>
        <v>1821.9699999999998</v>
      </c>
      <c r="W2691" s="361"/>
    </row>
    <row r="2692" spans="6:23" ht="15.75">
      <c r="G2692" s="35"/>
      <c r="H2692" s="748" t="s">
        <v>2693</v>
      </c>
      <c r="K2692" s="749">
        <f>K2691/2</f>
        <v>910.9849999999999</v>
      </c>
      <c r="W2692" s="361"/>
    </row>
    <row r="2693" spans="6:23" ht="15">
      <c r="G2693" s="35"/>
      <c r="L2693" s="35">
        <f>K2727+K2718</f>
        <v>226.42899999999997</v>
      </c>
      <c r="W2693" s="361"/>
    </row>
    <row r="2694" spans="6:23" ht="15">
      <c r="H2694" s="35" t="s">
        <v>2799</v>
      </c>
      <c r="W2694" s="361"/>
    </row>
    <row r="2695" spans="6:23" ht="15">
      <c r="W2695" s="361"/>
    </row>
    <row r="2696" spans="6:23" ht="15.75">
      <c r="F2696" s="750"/>
      <c r="G2696" s="751"/>
      <c r="H2696" s="752" t="s">
        <v>2800</v>
      </c>
      <c r="I2696" s="750"/>
      <c r="J2696" s="753"/>
      <c r="K2696" s="750"/>
      <c r="W2696" s="361"/>
    </row>
    <row r="2697" spans="6:23" ht="15.75">
      <c r="F2697" s="750"/>
      <c r="G2697" s="751"/>
      <c r="H2697" s="750" t="s">
        <v>2801</v>
      </c>
      <c r="I2697" s="750"/>
      <c r="J2697" s="753"/>
      <c r="K2697" s="750"/>
      <c r="W2697" s="361"/>
    </row>
    <row r="2698" spans="6:23" ht="15.75">
      <c r="F2698" s="750">
        <v>41.6</v>
      </c>
      <c r="G2698" s="751" t="s">
        <v>213</v>
      </c>
      <c r="H2698" s="750" t="s">
        <v>2802</v>
      </c>
      <c r="I2698" s="750">
        <f>I2683</f>
        <v>53</v>
      </c>
      <c r="J2698" s="753" t="s">
        <v>213</v>
      </c>
      <c r="K2698" s="750">
        <f>F2698*I2698</f>
        <v>2204.8000000000002</v>
      </c>
      <c r="W2698" s="361"/>
    </row>
    <row r="2699" spans="6:23" ht="15.75">
      <c r="F2699" s="750">
        <v>0.5</v>
      </c>
      <c r="G2699" s="751" t="s">
        <v>292</v>
      </c>
      <c r="H2699" s="750" t="s">
        <v>2803</v>
      </c>
      <c r="I2699" s="750">
        <f>AG21</f>
        <v>919.19999999999993</v>
      </c>
      <c r="J2699" s="753" t="s">
        <v>194</v>
      </c>
      <c r="K2699" s="750">
        <f>F2699*I2699</f>
        <v>459.59999999999997</v>
      </c>
      <c r="W2699" s="361"/>
    </row>
    <row r="2700" spans="6:23" ht="15.75">
      <c r="F2700" s="750">
        <v>1</v>
      </c>
      <c r="G2700" s="751" t="s">
        <v>482</v>
      </c>
      <c r="H2700" s="750" t="s">
        <v>2804</v>
      </c>
      <c r="I2700" s="750">
        <f>C10</f>
        <v>1198.8</v>
      </c>
      <c r="J2700" s="753" t="s">
        <v>194</v>
      </c>
      <c r="K2700" s="750">
        <f>F2700*I2700</f>
        <v>1198.8</v>
      </c>
      <c r="W2700" s="361"/>
    </row>
    <row r="2701" spans="6:23" ht="15.75">
      <c r="F2701" s="750">
        <v>1</v>
      </c>
      <c r="G2701" s="751" t="s">
        <v>482</v>
      </c>
      <c r="H2701" s="750" t="s">
        <v>2013</v>
      </c>
      <c r="I2701" s="750">
        <f>C13</f>
        <v>640.79999999999995</v>
      </c>
      <c r="J2701" s="753" t="s">
        <v>194</v>
      </c>
      <c r="K2701" s="750">
        <f>F2701*I2701</f>
        <v>640.79999999999995</v>
      </c>
      <c r="W2701" s="361"/>
    </row>
    <row r="2702" spans="6:23" ht="15.75">
      <c r="F2702" s="750"/>
      <c r="G2702" s="751" t="s">
        <v>128</v>
      </c>
      <c r="H2702" s="750" t="s">
        <v>2805</v>
      </c>
      <c r="I2702" s="750"/>
      <c r="J2702" s="753" t="s">
        <v>128</v>
      </c>
      <c r="K2702" s="750">
        <v>27.7</v>
      </c>
      <c r="W2702" s="361"/>
    </row>
    <row r="2703" spans="6:23" ht="15.75">
      <c r="F2703" s="750"/>
      <c r="G2703" s="751"/>
      <c r="H2703" s="754" t="s">
        <v>2806</v>
      </c>
      <c r="I2703" s="750"/>
      <c r="J2703" s="754" t="s">
        <v>2807</v>
      </c>
      <c r="K2703" s="750">
        <f>SUM(K2698:K2702)</f>
        <v>4531.7</v>
      </c>
      <c r="W2703" s="361"/>
    </row>
    <row r="2704" spans="6:23" ht="15.75">
      <c r="F2704" s="750"/>
      <c r="G2704" s="751"/>
      <c r="H2704" s="754" t="s">
        <v>2808</v>
      </c>
      <c r="I2704" s="750"/>
      <c r="J2704" s="754" t="s">
        <v>2807</v>
      </c>
      <c r="K2704" s="750">
        <f>K2703/16</f>
        <v>283.23124999999999</v>
      </c>
      <c r="W2704" s="361"/>
    </row>
    <row r="2705" spans="6:23" ht="15.75">
      <c r="F2705" s="750"/>
      <c r="G2705" s="751"/>
      <c r="H2705" s="755" t="s">
        <v>2809</v>
      </c>
      <c r="I2705" s="756"/>
      <c r="J2705" s="755" t="s">
        <v>2807</v>
      </c>
      <c r="K2705" s="756">
        <f>K2704/0.95</f>
        <v>298.13815789473682</v>
      </c>
      <c r="W2705" s="361"/>
    </row>
    <row r="2706" spans="6:23" ht="15.75">
      <c r="F2706" s="750"/>
      <c r="G2706" s="751"/>
      <c r="H2706" s="750"/>
      <c r="I2706" s="750"/>
      <c r="J2706" s="753"/>
      <c r="K2706" s="750"/>
      <c r="W2706" s="361"/>
    </row>
    <row r="2707" spans="6:23" ht="15.75">
      <c r="F2707" s="750"/>
      <c r="G2707" s="751"/>
      <c r="H2707" s="750"/>
      <c r="I2707" s="750"/>
      <c r="J2707" s="753"/>
      <c r="K2707" s="750"/>
      <c r="W2707" s="361"/>
    </row>
    <row r="2708" spans="6:23" ht="15.75">
      <c r="F2708" s="577" t="s">
        <v>2204</v>
      </c>
      <c r="G2708" s="757" t="s">
        <v>122</v>
      </c>
      <c r="H2708" s="576" t="s">
        <v>2205</v>
      </c>
      <c r="I2708" s="750"/>
      <c r="J2708" s="753"/>
      <c r="K2708" s="750"/>
      <c r="W2708" s="361"/>
    </row>
    <row r="2709" spans="6:23" ht="15.75">
      <c r="F2709" s="750"/>
      <c r="G2709" s="751"/>
      <c r="H2709" s="576" t="s">
        <v>266</v>
      </c>
      <c r="I2709" s="750"/>
      <c r="J2709" s="753"/>
      <c r="K2709" s="750"/>
      <c r="W2709" s="361"/>
    </row>
    <row r="2710" spans="6:23" ht="15.75">
      <c r="F2710" s="750"/>
      <c r="G2710" s="751"/>
      <c r="H2710" s="576" t="s">
        <v>267</v>
      </c>
      <c r="I2710" s="750"/>
      <c r="J2710" s="753"/>
      <c r="K2710" s="750"/>
      <c r="W2710" s="361"/>
    </row>
    <row r="2711" spans="6:23" ht="15.75">
      <c r="F2711" s="750"/>
      <c r="G2711" s="751"/>
      <c r="H2711" s="576" t="s">
        <v>268</v>
      </c>
      <c r="I2711" s="750"/>
      <c r="J2711" s="753"/>
      <c r="K2711" s="750"/>
      <c r="W2711" s="361"/>
    </row>
    <row r="2712" spans="6:23" ht="15.75">
      <c r="F2712" s="750"/>
      <c r="G2712" s="751"/>
      <c r="H2712" s="758" t="s">
        <v>117</v>
      </c>
      <c r="I2712" s="750"/>
      <c r="J2712" s="753"/>
      <c r="K2712" s="750"/>
      <c r="W2712" s="361"/>
    </row>
    <row r="2713" spans="6:23" ht="15.75">
      <c r="F2713" s="574">
        <v>1.8</v>
      </c>
      <c r="G2713" s="757" t="s">
        <v>213</v>
      </c>
      <c r="H2713" s="759" t="s">
        <v>269</v>
      </c>
      <c r="I2713" s="574">
        <f>C611</f>
        <v>22.6</v>
      </c>
      <c r="J2713" s="577" t="s">
        <v>213</v>
      </c>
      <c r="K2713" s="574">
        <f>(F2713*I2713)</f>
        <v>40.680000000000007</v>
      </c>
      <c r="W2713" s="361"/>
    </row>
    <row r="2714" spans="6:23" ht="15.75">
      <c r="F2714" s="574">
        <v>0.25</v>
      </c>
      <c r="G2714" s="757" t="s">
        <v>151</v>
      </c>
      <c r="H2714" s="576" t="s">
        <v>270</v>
      </c>
      <c r="I2714" s="574">
        <f>C14</f>
        <v>956.4</v>
      </c>
      <c r="J2714" s="577" t="s">
        <v>151</v>
      </c>
      <c r="K2714" s="574">
        <f>(F2714*I2714)</f>
        <v>239.1</v>
      </c>
      <c r="W2714" s="361"/>
    </row>
    <row r="2715" spans="6:23" ht="15.75">
      <c r="F2715" s="574">
        <v>0.25</v>
      </c>
      <c r="G2715" s="757" t="s">
        <v>151</v>
      </c>
      <c r="H2715" s="576" t="s">
        <v>271</v>
      </c>
      <c r="I2715" s="574">
        <f>C12</f>
        <v>781.19999999999993</v>
      </c>
      <c r="J2715" s="577" t="s">
        <v>151</v>
      </c>
      <c r="K2715" s="574">
        <f>(F2715*I2715)</f>
        <v>195.29999999999998</v>
      </c>
      <c r="W2715" s="361"/>
    </row>
    <row r="2716" spans="6:23" ht="15.75">
      <c r="F2716" s="574">
        <v>0.4</v>
      </c>
      <c r="G2716" s="757" t="s">
        <v>151</v>
      </c>
      <c r="H2716" s="576" t="s">
        <v>154</v>
      </c>
      <c r="I2716" s="574">
        <f>C13</f>
        <v>640.79999999999995</v>
      </c>
      <c r="J2716" s="577" t="s">
        <v>151</v>
      </c>
      <c r="K2716" s="574">
        <f>(F2716*I2716)</f>
        <v>256.32</v>
      </c>
      <c r="W2716" s="361"/>
    </row>
    <row r="2717" spans="6:23" ht="15.75">
      <c r="F2717" s="750"/>
      <c r="G2717" s="757"/>
      <c r="H2717" s="576"/>
      <c r="I2717" s="576" t="s">
        <v>114</v>
      </c>
      <c r="J2717" s="577"/>
      <c r="K2717" s="574">
        <f>SUM(K2713:K2716)</f>
        <v>731.39999999999986</v>
      </c>
      <c r="W2717" s="361"/>
    </row>
    <row r="2718" spans="6:23" ht="15.75">
      <c r="F2718" s="750"/>
      <c r="G2718" s="751"/>
      <c r="H2718" s="756"/>
      <c r="I2718" s="756"/>
      <c r="J2718" s="760"/>
      <c r="K2718" s="761">
        <f>K2717/10</f>
        <v>73.139999999999986</v>
      </c>
      <c r="W2718" s="361"/>
    </row>
    <row r="2719" spans="6:23" ht="15.75">
      <c r="F2719" s="574">
        <v>3</v>
      </c>
      <c r="G2719" s="757" t="s">
        <v>213</v>
      </c>
      <c r="H2719" s="576" t="s">
        <v>2206</v>
      </c>
      <c r="I2719" s="762">
        <f>C273</f>
        <v>49.85</v>
      </c>
      <c r="J2719" s="577" t="s">
        <v>213</v>
      </c>
      <c r="K2719" s="762">
        <f>(F2719*I2719)</f>
        <v>149.55000000000001</v>
      </c>
      <c r="W2719" s="361"/>
    </row>
    <row r="2720" spans="6:23" ht="15.75">
      <c r="F2720" s="574">
        <v>0.5</v>
      </c>
      <c r="G2720" s="757" t="s">
        <v>151</v>
      </c>
      <c r="H2720" s="576" t="s">
        <v>270</v>
      </c>
      <c r="I2720" s="762">
        <f>C14</f>
        <v>956.4</v>
      </c>
      <c r="J2720" s="577" t="s">
        <v>151</v>
      </c>
      <c r="K2720" s="762">
        <f>(F2720*I2720)</f>
        <v>478.2</v>
      </c>
      <c r="W2720" s="361"/>
    </row>
    <row r="2721" spans="6:23" ht="15.75">
      <c r="F2721" s="574">
        <v>0.5</v>
      </c>
      <c r="G2721" s="757" t="s">
        <v>151</v>
      </c>
      <c r="H2721" s="576" t="s">
        <v>271</v>
      </c>
      <c r="I2721" s="762">
        <f>I2715</f>
        <v>781.19999999999993</v>
      </c>
      <c r="J2721" s="577" t="s">
        <v>151</v>
      </c>
      <c r="K2721" s="762">
        <f>(F2721*I2721)</f>
        <v>390.59999999999997</v>
      </c>
      <c r="W2721" s="361"/>
    </row>
    <row r="2722" spans="6:23" ht="15.75">
      <c r="F2722" s="574">
        <v>0.8</v>
      </c>
      <c r="G2722" s="757" t="s">
        <v>151</v>
      </c>
      <c r="H2722" s="576" t="s">
        <v>154</v>
      </c>
      <c r="I2722" s="762">
        <f>I2716</f>
        <v>640.79999999999995</v>
      </c>
      <c r="J2722" s="577" t="s">
        <v>151</v>
      </c>
      <c r="K2722" s="762">
        <f>(F2722*I2722)</f>
        <v>512.64</v>
      </c>
      <c r="W2722" s="361"/>
    </row>
    <row r="2723" spans="6:23" ht="15.75">
      <c r="F2723" s="750"/>
      <c r="G2723" s="757" t="s">
        <v>128</v>
      </c>
      <c r="H2723" s="576" t="s">
        <v>1131</v>
      </c>
      <c r="I2723" s="576" t="s">
        <v>114</v>
      </c>
      <c r="J2723" s="577" t="s">
        <v>128</v>
      </c>
      <c r="K2723" s="574">
        <v>1.9</v>
      </c>
      <c r="W2723" s="361"/>
    </row>
    <row r="2724" spans="6:23" ht="15.75">
      <c r="F2724" s="750"/>
      <c r="G2724" s="751"/>
      <c r="H2724" s="756"/>
      <c r="I2724" s="756"/>
      <c r="J2724" s="760"/>
      <c r="K2724" s="763" t="s">
        <v>117</v>
      </c>
      <c r="W2724" s="361"/>
    </row>
    <row r="2725" spans="6:23" ht="15.75">
      <c r="F2725" s="750"/>
      <c r="G2725" s="751"/>
      <c r="H2725" s="764" t="s">
        <v>176</v>
      </c>
      <c r="I2725" s="756"/>
      <c r="J2725" s="760"/>
      <c r="K2725" s="765">
        <f>SUM(K2719:K2723)</f>
        <v>1532.8899999999999</v>
      </c>
      <c r="W2725" s="361"/>
    </row>
    <row r="2726" spans="6:23" ht="15.75">
      <c r="F2726" s="750"/>
      <c r="G2726" s="751"/>
      <c r="H2726" s="756"/>
      <c r="I2726" s="756"/>
      <c r="J2726" s="760"/>
      <c r="K2726" s="763" t="s">
        <v>117</v>
      </c>
      <c r="W2726" s="361"/>
    </row>
    <row r="2727" spans="6:23" ht="15.75">
      <c r="F2727" s="750"/>
      <c r="G2727" s="751"/>
      <c r="H2727" s="764" t="s">
        <v>177</v>
      </c>
      <c r="I2727" s="756"/>
      <c r="J2727" s="760"/>
      <c r="K2727" s="765">
        <f>(K2725/10)</f>
        <v>153.28899999999999</v>
      </c>
      <c r="W2727" s="361"/>
    </row>
    <row r="2728" spans="6:23" ht="15.75">
      <c r="F2728" s="750"/>
      <c r="G2728" s="750"/>
      <c r="H2728" s="750"/>
      <c r="I2728" s="750"/>
      <c r="J2728" s="750"/>
      <c r="K2728" s="750"/>
      <c r="W2728" s="361"/>
    </row>
    <row r="2729" spans="6:23" ht="15.75">
      <c r="F2729" s="766"/>
      <c r="G2729" s="757" t="s">
        <v>122</v>
      </c>
      <c r="H2729" s="576" t="s">
        <v>1193</v>
      </c>
      <c r="I2729" s="750"/>
      <c r="J2729" s="753"/>
      <c r="K2729" s="750"/>
      <c r="W2729" s="361"/>
    </row>
    <row r="2730" spans="6:23" ht="15.75">
      <c r="F2730" s="750"/>
      <c r="G2730" s="751"/>
      <c r="H2730" s="576" t="s">
        <v>2363</v>
      </c>
      <c r="I2730" s="750"/>
      <c r="J2730" s="753"/>
      <c r="K2730" s="750"/>
      <c r="W2730" s="361"/>
    </row>
    <row r="2731" spans="6:23" ht="15.75">
      <c r="F2731" s="750"/>
      <c r="G2731" s="751"/>
      <c r="H2731" s="576" t="s">
        <v>2810</v>
      </c>
      <c r="I2731" s="750"/>
      <c r="J2731" s="753"/>
      <c r="K2731" s="750"/>
      <c r="W2731" s="361"/>
    </row>
    <row r="2732" spans="6:23" ht="15.75">
      <c r="F2732" s="750"/>
      <c r="G2732" s="751"/>
      <c r="H2732" s="758" t="s">
        <v>117</v>
      </c>
      <c r="I2732" s="750"/>
      <c r="J2732" s="753"/>
      <c r="K2732" s="750"/>
      <c r="W2732" s="361"/>
    </row>
    <row r="2733" spans="6:23" ht="15.75">
      <c r="F2733" s="750"/>
      <c r="G2733" s="757" t="s">
        <v>2364</v>
      </c>
      <c r="H2733" s="576" t="s">
        <v>1292</v>
      </c>
      <c r="I2733" s="750"/>
      <c r="J2733" s="753"/>
      <c r="K2733" s="576" t="s">
        <v>2365</v>
      </c>
      <c r="W2733" s="361"/>
    </row>
    <row r="2734" spans="6:23" ht="15.75">
      <c r="F2734" s="750"/>
      <c r="G2734" s="751"/>
      <c r="H2734" s="758" t="s">
        <v>117</v>
      </c>
      <c r="I2734" s="750"/>
      <c r="J2734" s="753"/>
      <c r="K2734" s="758" t="s">
        <v>156</v>
      </c>
      <c r="W2734" s="361"/>
    </row>
    <row r="2735" spans="6:23" ht="15.75">
      <c r="F2735" s="574">
        <v>30</v>
      </c>
      <c r="G2735" s="757" t="s">
        <v>110</v>
      </c>
      <c r="H2735" s="576" t="s">
        <v>1301</v>
      </c>
      <c r="I2735" s="574">
        <f>C663</f>
        <v>13.44</v>
      </c>
      <c r="J2735" s="577" t="s">
        <v>110</v>
      </c>
      <c r="K2735" s="574">
        <f>(F2735*I2735)</f>
        <v>403.2</v>
      </c>
      <c r="W2735" s="361"/>
    </row>
    <row r="2736" spans="6:23" ht="15.75">
      <c r="F2736" s="576" t="s">
        <v>114</v>
      </c>
      <c r="G2736" s="751"/>
      <c r="H2736" s="576" t="s">
        <v>1304</v>
      </c>
      <c r="I2736" s="576" t="s">
        <v>114</v>
      </c>
      <c r="J2736" s="753"/>
      <c r="K2736" s="576" t="s">
        <v>114</v>
      </c>
      <c r="W2736" s="361"/>
    </row>
    <row r="2737" spans="6:23" ht="15.75">
      <c r="F2737" s="574">
        <v>8</v>
      </c>
      <c r="G2737" s="757" t="s">
        <v>151</v>
      </c>
      <c r="H2737" s="576" t="s">
        <v>1218</v>
      </c>
      <c r="I2737" s="574">
        <f>I1808</f>
        <v>10.68</v>
      </c>
      <c r="J2737" s="577" t="s">
        <v>151</v>
      </c>
      <c r="K2737" s="574">
        <f t="shared" ref="K2737:K2742" si="268">(F2737*I2737)</f>
        <v>85.44</v>
      </c>
      <c r="W2737" s="361"/>
    </row>
    <row r="2738" spans="6:23" ht="15.75">
      <c r="F2738" s="574">
        <v>8</v>
      </c>
      <c r="G2738" s="757" t="s">
        <v>151</v>
      </c>
      <c r="H2738" s="576" t="s">
        <v>1221</v>
      </c>
      <c r="I2738" s="574">
        <f>I1809</f>
        <v>15.18</v>
      </c>
      <c r="J2738" s="577" t="s">
        <v>151</v>
      </c>
      <c r="K2738" s="574">
        <f t="shared" si="268"/>
        <v>121.44</v>
      </c>
      <c r="L2738" s="584"/>
      <c r="W2738" s="361"/>
    </row>
    <row r="2739" spans="6:23" ht="15.75">
      <c r="F2739" s="574">
        <v>3</v>
      </c>
      <c r="G2739" s="757" t="s">
        <v>151</v>
      </c>
      <c r="H2739" s="576" t="s">
        <v>1309</v>
      </c>
      <c r="I2739" s="574">
        <f>C41</f>
        <v>885.6</v>
      </c>
      <c r="J2739" s="577" t="s">
        <v>151</v>
      </c>
      <c r="K2739" s="574">
        <f t="shared" si="268"/>
        <v>2656.8</v>
      </c>
      <c r="L2739" s="587"/>
      <c r="W2739" s="361"/>
    </row>
    <row r="2740" spans="6:23" ht="15.75">
      <c r="F2740" s="574">
        <v>1</v>
      </c>
      <c r="G2740" s="757" t="s">
        <v>151</v>
      </c>
      <c r="H2740" s="576" t="s">
        <v>2366</v>
      </c>
      <c r="I2740" s="574">
        <f>C10</f>
        <v>1198.8</v>
      </c>
      <c r="J2740" s="577" t="s">
        <v>151</v>
      </c>
      <c r="K2740" s="574">
        <f t="shared" si="268"/>
        <v>1198.8</v>
      </c>
      <c r="L2740" s="587"/>
      <c r="W2740" s="361"/>
    </row>
    <row r="2741" spans="6:23" ht="15.75">
      <c r="F2741" s="574">
        <v>2</v>
      </c>
      <c r="G2741" s="757" t="s">
        <v>151</v>
      </c>
      <c r="H2741" s="576" t="s">
        <v>153</v>
      </c>
      <c r="I2741" s="574">
        <f>C12</f>
        <v>781.19999999999993</v>
      </c>
      <c r="J2741" s="577" t="s">
        <v>151</v>
      </c>
      <c r="K2741" s="574">
        <f t="shared" si="268"/>
        <v>1562.3999999999999</v>
      </c>
      <c r="L2741" s="587"/>
      <c r="W2741" s="361"/>
    </row>
    <row r="2742" spans="6:23" ht="15.75">
      <c r="F2742" s="574">
        <v>1</v>
      </c>
      <c r="G2742" s="757" t="s">
        <v>151</v>
      </c>
      <c r="H2742" s="576" t="s">
        <v>154</v>
      </c>
      <c r="I2742" s="574">
        <f>C13</f>
        <v>640.79999999999995</v>
      </c>
      <c r="J2742" s="577" t="s">
        <v>151</v>
      </c>
      <c r="K2742" s="574">
        <f t="shared" si="268"/>
        <v>640.79999999999995</v>
      </c>
      <c r="L2742" s="587"/>
      <c r="W2742" s="361"/>
    </row>
    <row r="2743" spans="6:23" ht="30.75">
      <c r="F2743" s="750"/>
      <c r="G2743" s="757" t="s">
        <v>128</v>
      </c>
      <c r="H2743" s="767" t="s">
        <v>2811</v>
      </c>
      <c r="I2743" s="574" t="s">
        <v>2667</v>
      </c>
      <c r="J2743" s="577" t="s">
        <v>128</v>
      </c>
      <c r="K2743" s="574">
        <v>64.849999999999994</v>
      </c>
      <c r="L2743" s="587"/>
      <c r="W2743" s="361"/>
    </row>
    <row r="2744" spans="6:23" ht="15.75">
      <c r="F2744" s="750"/>
      <c r="G2744" s="751"/>
      <c r="H2744" s="576"/>
      <c r="I2744" s="574"/>
      <c r="J2744" s="753"/>
      <c r="K2744" s="762"/>
      <c r="L2744" s="587"/>
      <c r="W2744" s="361"/>
    </row>
    <row r="2745" spans="6:23" ht="15.75">
      <c r="F2745" s="750"/>
      <c r="G2745" s="750"/>
      <c r="H2745" s="750"/>
      <c r="I2745" s="750"/>
      <c r="J2745" s="750"/>
      <c r="K2745" s="750"/>
      <c r="L2745" s="587"/>
      <c r="W2745" s="361"/>
    </row>
    <row r="2746" spans="6:23" ht="15.75">
      <c r="F2746" s="750"/>
      <c r="G2746" s="751"/>
      <c r="H2746" s="750"/>
      <c r="I2746" s="750"/>
      <c r="J2746" s="753"/>
      <c r="K2746" s="758" t="s">
        <v>117</v>
      </c>
      <c r="L2746" s="587"/>
      <c r="W2746" s="361"/>
    </row>
    <row r="2747" spans="6:23" ht="15.75">
      <c r="F2747" s="750"/>
      <c r="G2747" s="751"/>
      <c r="H2747" s="764" t="s">
        <v>1317</v>
      </c>
      <c r="I2747" s="756"/>
      <c r="J2747" s="760"/>
      <c r="K2747" s="765">
        <f>SUM(K2735:K2746)</f>
        <v>6733.7300000000005</v>
      </c>
      <c r="L2747" s="596"/>
      <c r="W2747" s="361"/>
    </row>
    <row r="2748" spans="6:23" ht="15.75">
      <c r="F2748" s="750"/>
      <c r="G2748" s="751"/>
      <c r="H2748" s="756"/>
      <c r="I2748" s="756"/>
      <c r="J2748" s="760"/>
      <c r="K2748" s="763" t="s">
        <v>117</v>
      </c>
      <c r="W2748" s="361"/>
    </row>
    <row r="2749" spans="6:23" ht="15.75">
      <c r="F2749" s="750"/>
      <c r="G2749" s="751"/>
      <c r="H2749" s="764" t="s">
        <v>253</v>
      </c>
      <c r="I2749" s="756"/>
      <c r="J2749" s="760"/>
      <c r="K2749" s="765">
        <f>(K2747/30)</f>
        <v>224.45766666666668</v>
      </c>
      <c r="W2749" s="361"/>
    </row>
    <row r="2750" spans="6:23" ht="15.75">
      <c r="F2750" s="750"/>
      <c r="G2750" s="750"/>
      <c r="H2750" s="750"/>
      <c r="I2750" s="750"/>
      <c r="J2750" s="750"/>
      <c r="K2750" s="750"/>
      <c r="W2750" s="361"/>
    </row>
    <row r="2751" spans="6:23" ht="15.75">
      <c r="F2751" s="750"/>
      <c r="G2751" s="750"/>
      <c r="H2751" s="750"/>
      <c r="I2751" s="750"/>
      <c r="J2751" s="750"/>
      <c r="K2751" s="750"/>
      <c r="W2751" s="361"/>
    </row>
    <row r="2752" spans="6:23" ht="15.75">
      <c r="F2752" s="768">
        <v>52</v>
      </c>
      <c r="G2752" s="757" t="s">
        <v>122</v>
      </c>
      <c r="H2752" s="576" t="s">
        <v>505</v>
      </c>
      <c r="I2752" s="750"/>
      <c r="J2752" s="753"/>
      <c r="K2752" s="750"/>
      <c r="W2752" s="361"/>
    </row>
    <row r="2753" spans="5:23" ht="15.75">
      <c r="F2753" s="750"/>
      <c r="G2753" s="751"/>
      <c r="H2753" s="576" t="s">
        <v>506</v>
      </c>
      <c r="I2753" s="750"/>
      <c r="J2753" s="753"/>
      <c r="K2753" s="750"/>
      <c r="W2753" s="361"/>
    </row>
    <row r="2754" spans="5:23" ht="15.75">
      <c r="F2754" s="750"/>
      <c r="G2754" s="751"/>
      <c r="H2754" s="576" t="s">
        <v>507</v>
      </c>
      <c r="I2754" s="750"/>
      <c r="J2754" s="753"/>
      <c r="K2754" s="750"/>
      <c r="W2754" s="361"/>
    </row>
    <row r="2755" spans="5:23" ht="15.75">
      <c r="F2755" s="750"/>
      <c r="G2755" s="751"/>
      <c r="H2755" s="576" t="s">
        <v>508</v>
      </c>
      <c r="I2755" s="750"/>
      <c r="J2755" s="753"/>
      <c r="K2755" s="750"/>
      <c r="W2755" s="361"/>
    </row>
    <row r="2756" spans="5:23" ht="15.75">
      <c r="F2756" s="750"/>
      <c r="G2756" s="751"/>
      <c r="H2756" s="576" t="s">
        <v>509</v>
      </c>
      <c r="I2756" s="750"/>
      <c r="J2756" s="753"/>
      <c r="K2756" s="750"/>
      <c r="W2756" s="361"/>
    </row>
    <row r="2757" spans="5:23" ht="15.75">
      <c r="E2757" s="35">
        <f>6*0.3</f>
        <v>1.7999999999999998</v>
      </c>
      <c r="F2757" s="750"/>
      <c r="G2757" s="751"/>
      <c r="H2757" s="576" t="s">
        <v>2812</v>
      </c>
      <c r="I2757" s="750"/>
      <c r="J2757" s="753"/>
      <c r="K2757" s="750"/>
      <c r="W2757" s="361"/>
    </row>
    <row r="2758" spans="5:23" ht="15.75">
      <c r="E2758" s="35">
        <f>3.5+E2757</f>
        <v>5.3</v>
      </c>
      <c r="F2758" s="750"/>
      <c r="G2758" s="751"/>
      <c r="H2758" s="576" t="s">
        <v>511</v>
      </c>
      <c r="I2758" s="750"/>
      <c r="J2758" s="753"/>
      <c r="K2758" s="750"/>
      <c r="L2758" s="35">
        <f>K2792</f>
        <v>279.59999999999997</v>
      </c>
      <c r="W2758" s="361"/>
    </row>
    <row r="2759" spans="5:23" ht="15.75">
      <c r="E2759" s="35">
        <f>3.14*0.3*0.3</f>
        <v>0.28259999999999996</v>
      </c>
      <c r="F2759" s="750"/>
      <c r="G2759" s="751"/>
      <c r="H2759" s="576" t="s">
        <v>512</v>
      </c>
      <c r="I2759" s="750"/>
      <c r="J2759" s="753"/>
      <c r="K2759" s="750"/>
      <c r="L2759" s="35">
        <f>K2793</f>
        <v>2734.2</v>
      </c>
      <c r="W2759" s="361"/>
    </row>
    <row r="2760" spans="5:23" ht="15.75">
      <c r="F2760" s="750"/>
      <c r="G2760" s="751"/>
      <c r="H2760" s="758" t="s">
        <v>156</v>
      </c>
      <c r="I2760" s="758" t="s">
        <v>156</v>
      </c>
      <c r="J2760" s="753"/>
      <c r="K2760" s="750"/>
      <c r="W2760" s="361"/>
    </row>
    <row r="2761" spans="5:23" ht="15.75">
      <c r="E2761" s="35">
        <f>E2759/4</f>
        <v>7.0649999999999991E-2</v>
      </c>
      <c r="F2761" s="750"/>
      <c r="G2761" s="757" t="s">
        <v>122</v>
      </c>
      <c r="H2761" s="576" t="s">
        <v>513</v>
      </c>
      <c r="I2761" s="750"/>
      <c r="J2761" s="753"/>
      <c r="K2761" s="750"/>
      <c r="L2761" s="35">
        <f>SUM(L2758:L2759)</f>
        <v>3013.7999999999997</v>
      </c>
      <c r="W2761" s="361"/>
    </row>
    <row r="2762" spans="5:23" ht="15.75">
      <c r="E2762" s="487">
        <f>E2761*E2758</f>
        <v>0.37444499999999992</v>
      </c>
      <c r="F2762" s="750"/>
      <c r="G2762" s="751"/>
      <c r="H2762" s="576" t="s">
        <v>514</v>
      </c>
      <c r="I2762" s="750"/>
      <c r="J2762" s="753"/>
      <c r="K2762" s="750"/>
      <c r="W2762" s="361"/>
    </row>
    <row r="2763" spans="5:23" ht="15.75">
      <c r="F2763" s="750"/>
      <c r="G2763" s="757" t="s">
        <v>433</v>
      </c>
      <c r="H2763" s="576" t="s">
        <v>515</v>
      </c>
      <c r="I2763" s="750"/>
      <c r="J2763" s="753"/>
      <c r="K2763" s="750"/>
      <c r="W2763" s="361"/>
    </row>
    <row r="2764" spans="5:23" ht="15.75">
      <c r="F2764" s="750"/>
      <c r="G2764" s="751"/>
      <c r="H2764" s="758" t="s">
        <v>117</v>
      </c>
      <c r="I2764" s="750"/>
      <c r="J2764" s="753"/>
      <c r="K2764" s="750"/>
      <c r="W2764" s="361"/>
    </row>
    <row r="2765" spans="5:23" ht="15.75">
      <c r="F2765" s="574">
        <v>1</v>
      </c>
      <c r="G2765" s="757" t="s">
        <v>31</v>
      </c>
      <c r="H2765" s="576" t="s">
        <v>516</v>
      </c>
      <c r="I2765" s="574">
        <f>I1872</f>
        <v>26</v>
      </c>
      <c r="J2765" s="577" t="s">
        <v>31</v>
      </c>
      <c r="K2765" s="574">
        <f>(F2765*I2765)</f>
        <v>26</v>
      </c>
      <c r="W2765" s="361"/>
    </row>
    <row r="2766" spans="5:23" ht="15.75">
      <c r="F2766" s="574">
        <v>1</v>
      </c>
      <c r="G2766" s="757" t="s">
        <v>128</v>
      </c>
      <c r="H2766" s="576" t="s">
        <v>517</v>
      </c>
      <c r="I2766" s="574">
        <f>I2765*0.7</f>
        <v>18.2</v>
      </c>
      <c r="J2766" s="577" t="s">
        <v>128</v>
      </c>
      <c r="K2766" s="574">
        <f>(F2766*I2766)</f>
        <v>18.2</v>
      </c>
      <c r="W2766" s="361"/>
    </row>
    <row r="2767" spans="5:23" ht="15.75">
      <c r="F2767" s="574">
        <v>1</v>
      </c>
      <c r="G2767" s="757" t="s">
        <v>31</v>
      </c>
      <c r="H2767" s="576" t="s">
        <v>518</v>
      </c>
      <c r="I2767" s="574">
        <f>K2749</f>
        <v>224.45766666666668</v>
      </c>
      <c r="J2767" s="577" t="s">
        <v>31</v>
      </c>
      <c r="K2767" s="574">
        <f>(F2767*I2767)</f>
        <v>224.45766666666668</v>
      </c>
      <c r="W2767" s="361"/>
    </row>
    <row r="2768" spans="5:23" ht="15.75">
      <c r="F2768" s="750"/>
      <c r="G2768" s="751"/>
      <c r="H2768" s="750"/>
      <c r="I2768" s="576" t="s">
        <v>114</v>
      </c>
      <c r="J2768" s="753"/>
      <c r="K2768" s="758"/>
      <c r="W2768" s="361"/>
    </row>
    <row r="2769" spans="6:26" ht="15.75">
      <c r="F2769" s="750"/>
      <c r="G2769" s="751"/>
      <c r="H2769" s="764" t="s">
        <v>519</v>
      </c>
      <c r="I2769" s="756"/>
      <c r="J2769" s="760"/>
      <c r="K2769" s="765">
        <f>SUM(K2765:K2767)</f>
        <v>268.65766666666667</v>
      </c>
      <c r="S2769" s="769"/>
      <c r="T2769" s="751"/>
      <c r="U2769" s="750"/>
      <c r="V2769" s="750"/>
      <c r="W2769" s="753"/>
      <c r="X2769" s="750"/>
      <c r="Y2769" s="750"/>
    </row>
    <row r="2770" spans="6:26" ht="15.75">
      <c r="F2770" s="750"/>
      <c r="G2770" s="751"/>
      <c r="H2770" s="576" t="s">
        <v>114</v>
      </c>
      <c r="I2770" s="576" t="s">
        <v>114</v>
      </c>
      <c r="J2770" s="753"/>
      <c r="K2770" s="758" t="s">
        <v>156</v>
      </c>
      <c r="S2770" s="770" t="s">
        <v>1865</v>
      </c>
      <c r="T2770" s="757" t="s">
        <v>122</v>
      </c>
      <c r="U2770" s="576" t="s">
        <v>2813</v>
      </c>
      <c r="V2770" s="750"/>
      <c r="W2770" s="753"/>
      <c r="X2770" s="750"/>
      <c r="Y2770" s="750"/>
    </row>
    <row r="2771" spans="6:26" ht="15.75">
      <c r="F2771" s="750"/>
      <c r="G2771" s="750"/>
      <c r="H2771" s="750"/>
      <c r="I2771" s="750"/>
      <c r="J2771" s="750"/>
      <c r="K2771" s="750"/>
      <c r="S2771" s="769"/>
      <c r="T2771" s="751"/>
      <c r="U2771" s="576" t="s">
        <v>1867</v>
      </c>
      <c r="V2771" s="750"/>
      <c r="W2771" s="753"/>
      <c r="X2771" s="750"/>
      <c r="Y2771" s="750"/>
    </row>
    <row r="2772" spans="6:26" ht="15.75">
      <c r="F2772" s="771"/>
      <c r="G2772" s="772"/>
      <c r="H2772" s="772"/>
      <c r="I2772" s="772"/>
      <c r="J2772" s="772"/>
      <c r="K2772" s="772"/>
      <c r="S2772" s="769"/>
      <c r="T2772" s="751"/>
      <c r="U2772" s="576" t="s">
        <v>1868</v>
      </c>
      <c r="V2772" s="750"/>
      <c r="W2772" s="753"/>
      <c r="X2772" s="750"/>
      <c r="Y2772" s="750"/>
    </row>
    <row r="2773" spans="6:26" ht="15.75">
      <c r="F2773" s="773"/>
      <c r="G2773" s="774" t="s">
        <v>2814</v>
      </c>
      <c r="H2773" s="775"/>
      <c r="I2773" s="775"/>
      <c r="J2773" s="776"/>
      <c r="K2773" s="775"/>
      <c r="S2773" s="769"/>
      <c r="T2773" s="751"/>
      <c r="U2773" s="758" t="s">
        <v>117</v>
      </c>
      <c r="V2773" s="750"/>
      <c r="W2773" s="753"/>
      <c r="X2773" s="750"/>
      <c r="Y2773" s="750"/>
    </row>
    <row r="2774" spans="6:26" ht="15.75">
      <c r="F2774" s="777"/>
      <c r="G2774" s="778"/>
      <c r="H2774" s="775"/>
      <c r="I2774" s="775"/>
      <c r="J2774" s="776"/>
      <c r="K2774" s="775"/>
      <c r="S2774" s="769"/>
      <c r="T2774" s="751"/>
      <c r="U2774" s="576" t="s">
        <v>2815</v>
      </c>
      <c r="V2774" s="750"/>
      <c r="W2774" s="753"/>
      <c r="X2774" s="750"/>
      <c r="Y2774" s="750"/>
    </row>
    <row r="2775" spans="6:26" ht="15.75">
      <c r="F2775" s="777">
        <v>5</v>
      </c>
      <c r="G2775" s="778" t="s">
        <v>2816</v>
      </c>
      <c r="H2775" s="779" t="s">
        <v>2817</v>
      </c>
      <c r="I2775" s="780">
        <v>160</v>
      </c>
      <c r="J2775" s="776" t="s">
        <v>2818</v>
      </c>
      <c r="K2775" s="775">
        <f>I2775*F2775</f>
        <v>800</v>
      </c>
      <c r="S2775" s="769"/>
      <c r="T2775" s="751"/>
      <c r="U2775" s="576" t="s">
        <v>2819</v>
      </c>
      <c r="V2775" s="750"/>
      <c r="W2775" s="753"/>
      <c r="X2775" s="750"/>
      <c r="Y2775" s="750"/>
    </row>
    <row r="2776" spans="6:26" ht="15.75">
      <c r="F2776" s="777">
        <v>1</v>
      </c>
      <c r="G2776" s="778" t="s">
        <v>292</v>
      </c>
      <c r="H2776" s="775" t="s">
        <v>2820</v>
      </c>
      <c r="I2776" s="781">
        <v>75</v>
      </c>
      <c r="J2776" s="776" t="s">
        <v>194</v>
      </c>
      <c r="K2776" s="775">
        <f>I2776*F2776</f>
        <v>75</v>
      </c>
      <c r="S2776" s="769"/>
      <c r="T2776" s="751"/>
      <c r="U2776" s="750"/>
      <c r="V2776" s="750"/>
      <c r="W2776" s="577" t="s">
        <v>117</v>
      </c>
      <c r="X2776" s="750"/>
      <c r="Y2776" s="750"/>
    </row>
    <row r="2777" spans="6:26" ht="15.75">
      <c r="F2777" s="777">
        <v>2.5</v>
      </c>
      <c r="G2777" s="778" t="s">
        <v>292</v>
      </c>
      <c r="H2777" s="775" t="s">
        <v>2821</v>
      </c>
      <c r="I2777" s="775">
        <f>C14</f>
        <v>956.4</v>
      </c>
      <c r="J2777" s="776" t="s">
        <v>292</v>
      </c>
      <c r="K2777" s="775">
        <f>I2777*F2777</f>
        <v>2391</v>
      </c>
      <c r="S2777" s="769"/>
      <c r="T2777" s="751"/>
      <c r="U2777" s="576" t="s">
        <v>2822</v>
      </c>
      <c r="V2777" s="750"/>
      <c r="W2777" s="753"/>
      <c r="X2777" s="750"/>
      <c r="Y2777" s="750"/>
    </row>
    <row r="2778" spans="6:26" ht="15.75">
      <c r="F2778" s="777"/>
      <c r="G2778" s="778"/>
      <c r="H2778" s="775" t="s">
        <v>331</v>
      </c>
      <c r="I2778" s="782" t="s">
        <v>128</v>
      </c>
      <c r="J2778" s="776"/>
      <c r="K2778" s="775">
        <v>0.25</v>
      </c>
      <c r="S2778" s="769"/>
      <c r="T2778" s="751"/>
      <c r="U2778" s="576" t="s">
        <v>2823</v>
      </c>
      <c r="V2778" s="750"/>
      <c r="W2778" s="753"/>
      <c r="X2778" s="783">
        <v>2.7099999999999999E-2</v>
      </c>
      <c r="Y2778" s="783"/>
    </row>
    <row r="2779" spans="6:26" ht="18">
      <c r="F2779" s="777"/>
      <c r="G2779" s="778"/>
      <c r="H2779" s="775"/>
      <c r="I2779" s="775"/>
      <c r="J2779" s="776"/>
      <c r="K2779" s="784" t="s">
        <v>156</v>
      </c>
      <c r="S2779" s="769"/>
      <c r="T2779" s="751"/>
      <c r="U2779" s="750"/>
      <c r="V2779" s="750"/>
      <c r="W2779" s="577" t="s">
        <v>114</v>
      </c>
      <c r="X2779" s="758" t="s">
        <v>117</v>
      </c>
      <c r="Y2779" s="758"/>
      <c r="Z2779" s="785">
        <f>SUM(X2780:X2781)</f>
        <v>1.6420000000000001E-2</v>
      </c>
    </row>
    <row r="2780" spans="6:26" ht="15.75">
      <c r="F2780" s="777"/>
      <c r="G2780" s="778"/>
      <c r="H2780" s="775"/>
      <c r="I2780" s="775" t="s">
        <v>2824</v>
      </c>
      <c r="J2780" s="776" t="s">
        <v>156</v>
      </c>
      <c r="K2780" s="786">
        <f>SUM(K2775:K2779)</f>
        <v>3266.25</v>
      </c>
      <c r="L2780" s="785">
        <f>K2813+K2812</f>
        <v>1.6420000000000001E-2</v>
      </c>
      <c r="S2780" s="769"/>
      <c r="T2780" s="751"/>
      <c r="U2780" s="576" t="s">
        <v>2825</v>
      </c>
      <c r="V2780" s="750"/>
      <c r="W2780" s="787" t="s">
        <v>114</v>
      </c>
      <c r="X2780" s="783">
        <v>1.2840000000000001E-2</v>
      </c>
      <c r="Y2780" s="783"/>
    </row>
    <row r="2781" spans="6:26" ht="18">
      <c r="F2781" s="788"/>
      <c r="G2781" s="789"/>
      <c r="H2781" s="790"/>
      <c r="I2781" s="790"/>
      <c r="J2781" s="791"/>
      <c r="K2781" s="792" t="s">
        <v>156</v>
      </c>
      <c r="S2781" s="769"/>
      <c r="T2781" s="751"/>
      <c r="U2781" s="576" t="s">
        <v>2826</v>
      </c>
      <c r="V2781" s="750"/>
      <c r="W2781" s="577" t="s">
        <v>114</v>
      </c>
      <c r="X2781" s="783">
        <v>3.5799999999999998E-3</v>
      </c>
      <c r="Y2781" s="783"/>
    </row>
    <row r="2782" spans="6:26" ht="15.75">
      <c r="F2782" s="750"/>
      <c r="G2782" s="751"/>
      <c r="H2782" s="750"/>
      <c r="I2782" s="750"/>
      <c r="J2782" s="753"/>
      <c r="K2782" s="750"/>
      <c r="S2782" s="769"/>
      <c r="T2782" s="751"/>
      <c r="U2782" s="750"/>
      <c r="V2782" s="750"/>
      <c r="W2782" s="753"/>
      <c r="X2782" s="758" t="s">
        <v>117</v>
      </c>
      <c r="Y2782" s="758"/>
    </row>
    <row r="2783" spans="6:26" ht="15.75">
      <c r="F2783" s="750" t="s">
        <v>2827</v>
      </c>
      <c r="G2783" s="751"/>
      <c r="H2783" s="750"/>
      <c r="I2783" s="750"/>
      <c r="J2783" s="753"/>
      <c r="K2783" s="750"/>
      <c r="S2783" s="793">
        <f>F2815</f>
        <v>1.898E-2</v>
      </c>
      <c r="T2783" s="757" t="s">
        <v>108</v>
      </c>
      <c r="U2783" s="576" t="s">
        <v>2828</v>
      </c>
      <c r="V2783" s="574">
        <f>C86</f>
        <v>34665.439999999995</v>
      </c>
      <c r="W2783" s="577" t="s">
        <v>108</v>
      </c>
      <c r="X2783" s="574">
        <f>(S2783*V2783)</f>
        <v>657.95005119999996</v>
      </c>
      <c r="Y2783" s="574"/>
    </row>
    <row r="2784" spans="6:26" ht="15.75">
      <c r="F2784" s="750"/>
      <c r="G2784" s="751"/>
      <c r="H2784" s="750"/>
      <c r="I2784" s="750"/>
      <c r="J2784" s="753"/>
      <c r="K2784" s="750"/>
      <c r="S2784" s="793">
        <f t="shared" ref="S2784:S2794" si="269">F2816</f>
        <v>2.7099999999999999E-2</v>
      </c>
      <c r="T2784" s="757" t="s">
        <v>108</v>
      </c>
      <c r="U2784" s="576" t="s">
        <v>2828</v>
      </c>
      <c r="V2784" s="574">
        <f>V2783</f>
        <v>34665.439999999995</v>
      </c>
      <c r="W2784" s="577" t="s">
        <v>108</v>
      </c>
      <c r="X2784" s="574">
        <f t="shared" ref="X2784:X2794" si="270">(S2784*V2784)</f>
        <v>939.43342399999983</v>
      </c>
      <c r="Y2784" s="574"/>
    </row>
    <row r="2785" spans="6:35" ht="15.75">
      <c r="F2785" s="750" t="s">
        <v>2829</v>
      </c>
      <c r="G2785" s="751"/>
      <c r="H2785" s="750"/>
      <c r="I2785" s="750"/>
      <c r="J2785" s="753"/>
      <c r="K2785" s="750"/>
      <c r="S2785" s="793">
        <f t="shared" si="269"/>
        <v>1.6420000000000001E-2</v>
      </c>
      <c r="T2785" s="757" t="s">
        <v>108</v>
      </c>
      <c r="U2785" s="576" t="s">
        <v>2830</v>
      </c>
      <c r="V2785" s="574">
        <f>C87</f>
        <v>39765.439999999995</v>
      </c>
      <c r="W2785" s="577" t="s">
        <v>108</v>
      </c>
      <c r="X2785" s="574">
        <f t="shared" si="270"/>
        <v>652.94852479999997</v>
      </c>
      <c r="Y2785" s="574"/>
      <c r="AE2785" s="411" t="s">
        <v>2831</v>
      </c>
    </row>
    <row r="2786" spans="6:35" ht="15.75">
      <c r="F2786" s="750"/>
      <c r="G2786" s="751"/>
      <c r="H2786" s="750"/>
      <c r="I2786" s="750"/>
      <c r="J2786" s="753"/>
      <c r="K2786" s="750"/>
      <c r="S2786" s="793"/>
      <c r="T2786" s="751"/>
      <c r="U2786" s="576"/>
      <c r="V2786" s="574">
        <f>V960</f>
        <v>0</v>
      </c>
      <c r="W2786" s="753"/>
      <c r="X2786" s="574">
        <f t="shared" si="270"/>
        <v>0</v>
      </c>
      <c r="Y2786" s="574"/>
      <c r="AE2786" s="411" t="s">
        <v>2832</v>
      </c>
    </row>
    <row r="2787" spans="6:35" ht="15.75">
      <c r="F2787" s="750"/>
      <c r="G2787" s="794">
        <v>0.745</v>
      </c>
      <c r="H2787" s="750" t="s">
        <v>793</v>
      </c>
      <c r="I2787" s="750"/>
      <c r="J2787" s="753"/>
      <c r="K2787" s="750"/>
      <c r="S2787" s="793">
        <f t="shared" si="269"/>
        <v>1.8225</v>
      </c>
      <c r="T2787" s="757" t="s">
        <v>107</v>
      </c>
      <c r="U2787" s="576" t="s">
        <v>1880</v>
      </c>
      <c r="V2787" s="574">
        <f>I2819</f>
        <v>1844.3999999999999</v>
      </c>
      <c r="W2787" s="577" t="s">
        <v>107</v>
      </c>
      <c r="X2787" s="574">
        <f t="shared" si="270"/>
        <v>3361.4189999999999</v>
      </c>
      <c r="Y2787" s="574"/>
    </row>
    <row r="2788" spans="6:35" ht="15.75">
      <c r="F2788" s="750"/>
      <c r="G2788" s="751"/>
      <c r="H2788" s="750"/>
      <c r="I2788" s="750"/>
      <c r="J2788" s="753"/>
      <c r="K2788" s="750"/>
      <c r="S2788" s="793">
        <f t="shared" si="269"/>
        <v>2</v>
      </c>
      <c r="T2788" s="757" t="s">
        <v>223</v>
      </c>
      <c r="U2788" s="576" t="s">
        <v>1881</v>
      </c>
      <c r="V2788" s="574">
        <f t="shared" ref="V2788:V2793" si="271">I2820</f>
        <v>254.5</v>
      </c>
      <c r="W2788" s="577" t="s">
        <v>151</v>
      </c>
      <c r="X2788" s="574">
        <f t="shared" si="270"/>
        <v>509</v>
      </c>
      <c r="Y2788" s="574"/>
      <c r="AD2788" s="795">
        <v>2.6159999999999999E-2</v>
      </c>
      <c r="AE2788" s="455" t="s">
        <v>108</v>
      </c>
      <c r="AF2788" s="411" t="s">
        <v>1978</v>
      </c>
      <c r="AG2788" s="411">
        <f>I2815</f>
        <v>111965.44</v>
      </c>
      <c r="AH2788" s="436" t="s">
        <v>108</v>
      </c>
      <c r="AI2788" s="411">
        <f>AG2788*AD2788</f>
        <v>2929.0159103999999</v>
      </c>
    </row>
    <row r="2789" spans="6:35" ht="15.75">
      <c r="F2789" s="756" t="s">
        <v>202</v>
      </c>
      <c r="G2789" s="751"/>
      <c r="H2789" s="750"/>
      <c r="I2789" s="750"/>
      <c r="J2789" s="753"/>
      <c r="K2789" s="750"/>
      <c r="S2789" s="793">
        <f t="shared" si="269"/>
        <v>3</v>
      </c>
      <c r="T2789" s="757" t="s">
        <v>151</v>
      </c>
      <c r="U2789" s="576" t="s">
        <v>1882</v>
      </c>
      <c r="V2789" s="574">
        <f t="shared" si="271"/>
        <v>214.1</v>
      </c>
      <c r="W2789" s="577" t="s">
        <v>151</v>
      </c>
      <c r="X2789" s="574">
        <f t="shared" si="270"/>
        <v>642.29999999999995</v>
      </c>
      <c r="Y2789" s="574"/>
      <c r="AD2789" s="795">
        <v>4.7809999999999998E-2</v>
      </c>
      <c r="AE2789" s="455" t="s">
        <v>108</v>
      </c>
      <c r="AF2789" s="411" t="s">
        <v>1979</v>
      </c>
      <c r="AG2789" s="411">
        <f>I2816</f>
        <v>99765.440000000002</v>
      </c>
      <c r="AH2789" s="436" t="s">
        <v>108</v>
      </c>
      <c r="AI2789" s="411">
        <f t="shared" ref="AI2789:AI2798" si="272">AG2789*AD2789</f>
        <v>4769.7856863999996</v>
      </c>
    </row>
    <row r="2790" spans="6:35" ht="15.75">
      <c r="F2790" s="750"/>
      <c r="G2790" s="751"/>
      <c r="H2790" s="750"/>
      <c r="I2790" s="750"/>
      <c r="J2790" s="753"/>
      <c r="K2790" s="750"/>
      <c r="S2790" s="793">
        <f t="shared" si="269"/>
        <v>2</v>
      </c>
      <c r="T2790" s="757" t="s">
        <v>151</v>
      </c>
      <c r="U2790" s="576" t="s">
        <v>1884</v>
      </c>
      <c r="V2790" s="574">
        <f t="shared" si="271"/>
        <v>408</v>
      </c>
      <c r="W2790" s="577" t="s">
        <v>151</v>
      </c>
      <c r="X2790" s="574">
        <f t="shared" si="270"/>
        <v>816</v>
      </c>
      <c r="Y2790" s="574"/>
      <c r="AD2790" s="796">
        <v>4.5879999999999997E-2</v>
      </c>
      <c r="AE2790" s="455" t="s">
        <v>108</v>
      </c>
      <c r="AF2790" s="411" t="s">
        <v>2833</v>
      </c>
      <c r="AG2790" s="411">
        <f>I3322</f>
        <v>107000</v>
      </c>
      <c r="AH2790" s="436" t="s">
        <v>108</v>
      </c>
      <c r="AI2790" s="411">
        <f t="shared" si="272"/>
        <v>4909.16</v>
      </c>
    </row>
    <row r="2791" spans="6:35" ht="15.75">
      <c r="F2791" s="769">
        <v>0.37</v>
      </c>
      <c r="G2791" s="751" t="s">
        <v>793</v>
      </c>
      <c r="H2791" s="750" t="s">
        <v>2834</v>
      </c>
      <c r="I2791" s="750">
        <f>X690</f>
        <v>9507.9127183500023</v>
      </c>
      <c r="J2791" s="754" t="s">
        <v>793</v>
      </c>
      <c r="K2791" s="750">
        <f>F2791*I2791</f>
        <v>3517.9277057895006</v>
      </c>
      <c r="S2791" s="793">
        <f t="shared" si="269"/>
        <v>1</v>
      </c>
      <c r="T2791" s="757" t="s">
        <v>151</v>
      </c>
      <c r="U2791" s="576" t="s">
        <v>1886</v>
      </c>
      <c r="V2791" s="574">
        <f t="shared" si="271"/>
        <v>836</v>
      </c>
      <c r="W2791" s="577" t="s">
        <v>151</v>
      </c>
      <c r="X2791" s="574">
        <f t="shared" si="270"/>
        <v>836</v>
      </c>
      <c r="Y2791" s="574"/>
      <c r="AD2791" s="796">
        <v>3.95</v>
      </c>
      <c r="AE2791" s="455" t="s">
        <v>107</v>
      </c>
      <c r="AF2791" s="411" t="s">
        <v>1981</v>
      </c>
      <c r="AG2791" s="411">
        <f>I2819</f>
        <v>1844.3999999999999</v>
      </c>
      <c r="AH2791" s="436" t="s">
        <v>107</v>
      </c>
      <c r="AI2791" s="411">
        <f t="shared" si="272"/>
        <v>7285.38</v>
      </c>
    </row>
    <row r="2792" spans="6:35" ht="15.75">
      <c r="F2792" s="750">
        <v>0.25</v>
      </c>
      <c r="G2792" s="751" t="s">
        <v>292</v>
      </c>
      <c r="H2792" s="750" t="s">
        <v>1551</v>
      </c>
      <c r="I2792" s="750">
        <f>C11</f>
        <v>1118.3999999999999</v>
      </c>
      <c r="J2792" s="754" t="s">
        <v>194</v>
      </c>
      <c r="K2792" s="750">
        <f>F2792*I2792</f>
        <v>279.59999999999997</v>
      </c>
      <c r="S2792" s="793">
        <f t="shared" si="269"/>
        <v>1</v>
      </c>
      <c r="T2792" s="757" t="s">
        <v>151</v>
      </c>
      <c r="U2792" s="576" t="s">
        <v>1888</v>
      </c>
      <c r="V2792" s="574">
        <f t="shared" si="271"/>
        <v>7.3</v>
      </c>
      <c r="W2792" s="577" t="s">
        <v>151</v>
      </c>
      <c r="X2792" s="574">
        <f t="shared" si="270"/>
        <v>7.3</v>
      </c>
      <c r="Y2792" s="574"/>
      <c r="AD2792" s="411">
        <v>2</v>
      </c>
      <c r="AE2792" s="455" t="s">
        <v>3</v>
      </c>
      <c r="AF2792" s="411" t="s">
        <v>1983</v>
      </c>
      <c r="AG2792" s="411">
        <f t="shared" ref="AG2792:AG2797" si="273">I2820</f>
        <v>254.5</v>
      </c>
      <c r="AH2792" s="436" t="s">
        <v>194</v>
      </c>
      <c r="AI2792" s="411">
        <f t="shared" si="272"/>
        <v>509</v>
      </c>
    </row>
    <row r="2793" spans="6:35" ht="15.75">
      <c r="F2793" s="750">
        <v>3.5</v>
      </c>
      <c r="G2793" s="751" t="s">
        <v>192</v>
      </c>
      <c r="H2793" s="750" t="s">
        <v>196</v>
      </c>
      <c r="I2793" s="750">
        <f>C12</f>
        <v>781.19999999999993</v>
      </c>
      <c r="J2793" s="754" t="s">
        <v>194</v>
      </c>
      <c r="K2793" s="750">
        <f>F2793*I2793</f>
        <v>2734.2</v>
      </c>
      <c r="S2793" s="793">
        <f t="shared" si="269"/>
        <v>1</v>
      </c>
      <c r="T2793" s="757" t="s">
        <v>151</v>
      </c>
      <c r="U2793" s="576" t="s">
        <v>995</v>
      </c>
      <c r="V2793" s="574">
        <f t="shared" si="271"/>
        <v>49.55</v>
      </c>
      <c r="W2793" s="577" t="s">
        <v>151</v>
      </c>
      <c r="X2793" s="574">
        <f t="shared" si="270"/>
        <v>49.55</v>
      </c>
      <c r="Y2793" s="574"/>
      <c r="AD2793" s="411">
        <v>6</v>
      </c>
      <c r="AE2793" s="455" t="s">
        <v>3</v>
      </c>
      <c r="AF2793" s="411" t="s">
        <v>1984</v>
      </c>
      <c r="AG2793" s="411">
        <f t="shared" si="273"/>
        <v>214.1</v>
      </c>
      <c r="AH2793" s="436" t="s">
        <v>194</v>
      </c>
      <c r="AI2793" s="411">
        <f t="shared" si="272"/>
        <v>1284.5999999999999</v>
      </c>
    </row>
    <row r="2794" spans="6:35" ht="15.75">
      <c r="F2794" s="750">
        <v>12</v>
      </c>
      <c r="G2794" s="751" t="s">
        <v>480</v>
      </c>
      <c r="H2794" s="750" t="s">
        <v>2835</v>
      </c>
      <c r="I2794" s="750"/>
      <c r="J2794" s="754" t="s">
        <v>480</v>
      </c>
      <c r="K2794" s="750">
        <f>I2794*F2794</f>
        <v>0</v>
      </c>
      <c r="S2794" s="769">
        <f t="shared" si="269"/>
        <v>64</v>
      </c>
      <c r="T2794" s="751"/>
      <c r="U2794" s="750" t="s">
        <v>2836</v>
      </c>
      <c r="V2794" s="750">
        <f>P2833</f>
        <v>2.41</v>
      </c>
      <c r="W2794" s="753"/>
      <c r="X2794" s="574">
        <f t="shared" si="270"/>
        <v>154.24</v>
      </c>
      <c r="Y2794" s="574"/>
      <c r="AD2794" s="411">
        <v>4</v>
      </c>
      <c r="AE2794" s="455" t="s">
        <v>3</v>
      </c>
      <c r="AF2794" s="411" t="s">
        <v>1985</v>
      </c>
      <c r="AG2794" s="411">
        <f t="shared" si="273"/>
        <v>408</v>
      </c>
      <c r="AH2794" s="436" t="s">
        <v>194</v>
      </c>
      <c r="AI2794" s="411">
        <f t="shared" si="272"/>
        <v>1632</v>
      </c>
    </row>
    <row r="2795" spans="6:35" ht="15.75">
      <c r="F2795" s="750"/>
      <c r="G2795" s="750" t="s">
        <v>2837</v>
      </c>
      <c r="H2795" s="750" t="s">
        <v>2838</v>
      </c>
      <c r="I2795" s="750"/>
      <c r="J2795" s="754" t="s">
        <v>2667</v>
      </c>
      <c r="K2795" s="750">
        <f>L2761*10%</f>
        <v>301.38</v>
      </c>
      <c r="S2795" s="769"/>
      <c r="T2795" s="751"/>
      <c r="U2795" s="576" t="s">
        <v>2839</v>
      </c>
      <c r="V2795" s="750"/>
      <c r="W2795" s="753"/>
      <c r="X2795" s="574">
        <f>SUM(X2783:X2794)</f>
        <v>8626.1409999999978</v>
      </c>
      <c r="Y2795" s="574"/>
      <c r="AD2795" s="411">
        <v>1</v>
      </c>
      <c r="AE2795" s="455" t="s">
        <v>3</v>
      </c>
      <c r="AF2795" s="411" t="s">
        <v>1987</v>
      </c>
      <c r="AG2795" s="411">
        <f t="shared" si="273"/>
        <v>836</v>
      </c>
      <c r="AH2795" s="436" t="s">
        <v>194</v>
      </c>
      <c r="AI2795" s="411">
        <f t="shared" si="272"/>
        <v>836</v>
      </c>
    </row>
    <row r="2796" spans="6:35" ht="15.75">
      <c r="F2796" s="750"/>
      <c r="G2796" s="751"/>
      <c r="H2796" s="750"/>
      <c r="I2796" s="750"/>
      <c r="J2796" s="753"/>
      <c r="K2796" s="750" t="s">
        <v>2840</v>
      </c>
      <c r="S2796" s="769"/>
      <c r="T2796" s="751"/>
      <c r="U2796" s="750"/>
      <c r="V2796" s="750"/>
      <c r="W2796" s="753"/>
      <c r="X2796" s="758" t="s">
        <v>117</v>
      </c>
      <c r="Y2796" s="758"/>
      <c r="AD2796" s="411">
        <v>2</v>
      </c>
      <c r="AE2796" s="455" t="s">
        <v>3</v>
      </c>
      <c r="AF2796" s="411" t="s">
        <v>993</v>
      </c>
      <c r="AG2796" s="411">
        <f t="shared" si="273"/>
        <v>7.3</v>
      </c>
      <c r="AH2796" s="436" t="s">
        <v>194</v>
      </c>
      <c r="AI2796" s="411">
        <f t="shared" si="272"/>
        <v>14.6</v>
      </c>
    </row>
    <row r="2797" spans="6:35" ht="15.75">
      <c r="F2797" s="750"/>
      <c r="G2797" s="751"/>
      <c r="H2797" s="750"/>
      <c r="I2797" s="750"/>
      <c r="J2797" s="753"/>
      <c r="K2797" s="750"/>
      <c r="S2797" s="769"/>
      <c r="T2797" s="751"/>
      <c r="U2797" s="576" t="s">
        <v>177</v>
      </c>
      <c r="V2797" s="750"/>
      <c r="W2797" s="753"/>
      <c r="X2797" s="574">
        <f>X2795/1.8225</f>
        <v>4733.1363511659792</v>
      </c>
      <c r="Y2797" s="574"/>
      <c r="AD2797" s="411">
        <v>2</v>
      </c>
      <c r="AE2797" s="455" t="s">
        <v>3</v>
      </c>
      <c r="AF2797" s="411" t="s">
        <v>995</v>
      </c>
      <c r="AG2797" s="411">
        <f t="shared" si="273"/>
        <v>49.55</v>
      </c>
      <c r="AH2797" s="436" t="s">
        <v>194</v>
      </c>
      <c r="AI2797" s="411">
        <f t="shared" si="272"/>
        <v>99.1</v>
      </c>
    </row>
    <row r="2798" spans="6:35" ht="15.75">
      <c r="F2798" s="750"/>
      <c r="G2798" s="751"/>
      <c r="H2798" s="750"/>
      <c r="I2798" s="750" t="s">
        <v>2841</v>
      </c>
      <c r="J2798" s="753"/>
      <c r="K2798" s="750">
        <f>SUM(K2791:K2795)</f>
        <v>6833.1077057895009</v>
      </c>
      <c r="S2798" s="769"/>
      <c r="T2798" s="751"/>
      <c r="U2798" s="750"/>
      <c r="V2798" s="750"/>
      <c r="W2798" s="753"/>
      <c r="X2798" s="750"/>
      <c r="Y2798" s="750"/>
      <c r="AD2798" s="411">
        <v>10</v>
      </c>
      <c r="AE2798" s="455"/>
      <c r="AF2798" s="411" t="s">
        <v>1914</v>
      </c>
      <c r="AG2798" s="411">
        <f>V2794</f>
        <v>2.41</v>
      </c>
      <c r="AH2798" s="436"/>
      <c r="AI2798" s="411">
        <f t="shared" si="272"/>
        <v>24.1</v>
      </c>
    </row>
    <row r="2799" spans="6:35" ht="15.75">
      <c r="F2799" s="750"/>
      <c r="G2799" s="751"/>
      <c r="H2799" s="750"/>
      <c r="I2799" s="750"/>
      <c r="J2799" s="753"/>
      <c r="K2799" s="750"/>
      <c r="W2799" s="361"/>
      <c r="AD2799" s="411"/>
      <c r="AE2799" s="455"/>
      <c r="AF2799" s="411" t="s">
        <v>177</v>
      </c>
      <c r="AG2799" s="411"/>
      <c r="AH2799" s="436"/>
      <c r="AI2799" s="411">
        <f>SUM(AI2788:AI2798)</f>
        <v>24292.741596799995</v>
      </c>
    </row>
    <row r="2800" spans="6:35" ht="15.75">
      <c r="F2800" s="750"/>
      <c r="G2800" s="751"/>
      <c r="H2800" s="750"/>
      <c r="I2800" s="750" t="s">
        <v>2842</v>
      </c>
      <c r="J2800" s="753"/>
      <c r="K2800" s="750">
        <f>K2798/3.5</f>
        <v>1952.3164873684289</v>
      </c>
      <c r="W2800" s="361"/>
      <c r="AD2800" s="411"/>
      <c r="AE2800" s="455"/>
      <c r="AF2800" s="411"/>
      <c r="AG2800" s="411"/>
      <c r="AH2800" s="436"/>
      <c r="AI2800" s="797" t="s">
        <v>1992</v>
      </c>
    </row>
    <row r="2801" spans="6:35" ht="15.75">
      <c r="F2801" s="750"/>
      <c r="G2801" s="751"/>
      <c r="H2801" s="750"/>
      <c r="I2801" s="750"/>
      <c r="J2801" s="753"/>
      <c r="K2801" s="750"/>
      <c r="W2801" s="361"/>
      <c r="AD2801" s="411"/>
      <c r="AE2801" s="455"/>
      <c r="AF2801" s="411" t="s">
        <v>177</v>
      </c>
      <c r="AG2801" s="411"/>
      <c r="AH2801" s="436"/>
      <c r="AI2801" s="411">
        <f>AI2799/AD2791</f>
        <v>6150.0611637468337</v>
      </c>
    </row>
    <row r="2802" spans="6:35" ht="15.75">
      <c r="F2802" s="798" t="s">
        <v>1865</v>
      </c>
      <c r="G2802" s="799" t="s">
        <v>122</v>
      </c>
      <c r="H2802" s="800" t="s">
        <v>1872</v>
      </c>
      <c r="I2802" s="801"/>
      <c r="J2802" s="802"/>
      <c r="K2802" s="801"/>
      <c r="W2802" s="361"/>
      <c r="AD2802" s="411"/>
      <c r="AE2802" s="455"/>
      <c r="AF2802" s="411"/>
      <c r="AG2802" s="411"/>
      <c r="AH2802" s="436"/>
      <c r="AI2802" s="797" t="s">
        <v>1992</v>
      </c>
    </row>
    <row r="2803" spans="6:35" ht="15.75">
      <c r="F2803" s="801"/>
      <c r="G2803" s="803"/>
      <c r="H2803" s="800" t="s">
        <v>1867</v>
      </c>
      <c r="I2803" s="801"/>
      <c r="J2803" s="802"/>
      <c r="K2803" s="801"/>
      <c r="W2803" s="361"/>
    </row>
    <row r="2804" spans="6:35" ht="15.75">
      <c r="F2804" s="801"/>
      <c r="G2804" s="803"/>
      <c r="H2804" s="800" t="s">
        <v>1868</v>
      </c>
      <c r="I2804" s="804" t="s">
        <v>2843</v>
      </c>
      <c r="J2804" s="802"/>
      <c r="K2804" s="801"/>
      <c r="W2804" s="361"/>
    </row>
    <row r="2805" spans="6:35" ht="15.75">
      <c r="F2805" s="801"/>
      <c r="G2805" s="803"/>
      <c r="H2805" s="805" t="s">
        <v>117</v>
      </c>
      <c r="I2805" s="801"/>
      <c r="J2805" s="802"/>
      <c r="K2805" s="801"/>
      <c r="W2805" s="361"/>
    </row>
    <row r="2806" spans="6:35" ht="15.75">
      <c r="F2806" s="801"/>
      <c r="G2806" s="803"/>
      <c r="H2806" s="800" t="s">
        <v>2815</v>
      </c>
      <c r="I2806" s="801"/>
      <c r="J2806" s="802"/>
      <c r="K2806" s="801"/>
      <c r="W2806" s="361"/>
    </row>
    <row r="2807" spans="6:35" ht="15.75">
      <c r="F2807" s="801"/>
      <c r="G2807" s="803"/>
      <c r="H2807" s="800" t="s">
        <v>2819</v>
      </c>
      <c r="I2807" s="801"/>
      <c r="J2807" s="802"/>
      <c r="K2807" s="801"/>
      <c r="W2807" s="361"/>
    </row>
    <row r="2808" spans="6:35" ht="15.75">
      <c r="F2808" s="801"/>
      <c r="G2808" s="803"/>
      <c r="H2808" s="801"/>
      <c r="I2808" s="801"/>
      <c r="J2808" s="798" t="s">
        <v>117</v>
      </c>
      <c r="K2808" s="801"/>
      <c r="W2808" s="361"/>
    </row>
    <row r="2809" spans="6:35" ht="15.75">
      <c r="F2809" s="801"/>
      <c r="G2809" s="803"/>
      <c r="H2809" s="800" t="s">
        <v>2822</v>
      </c>
      <c r="I2809" s="801"/>
      <c r="J2809" s="802"/>
      <c r="K2809" s="801"/>
      <c r="M2809" s="577" t="s">
        <v>1865</v>
      </c>
      <c r="N2809" s="757" t="s">
        <v>122</v>
      </c>
      <c r="O2809" s="576" t="s">
        <v>1872</v>
      </c>
      <c r="P2809" s="750"/>
      <c r="Q2809" s="753"/>
      <c r="R2809" s="750"/>
      <c r="W2809" s="361"/>
    </row>
    <row r="2810" spans="6:35" ht="15.75">
      <c r="F2810" s="801"/>
      <c r="G2810" s="803"/>
      <c r="H2810" s="800" t="s">
        <v>2823</v>
      </c>
      <c r="I2810" s="801"/>
      <c r="J2810" s="802"/>
      <c r="K2810" s="806">
        <v>2.7099999999999999E-2</v>
      </c>
      <c r="M2810" s="750"/>
      <c r="N2810" s="751"/>
      <c r="O2810" s="576" t="s">
        <v>1867</v>
      </c>
      <c r="P2810" s="750"/>
      <c r="Q2810" s="753"/>
      <c r="R2810" s="750"/>
      <c r="W2810" s="361"/>
    </row>
    <row r="2811" spans="6:35" ht="15.75">
      <c r="F2811" s="801"/>
      <c r="G2811" s="803"/>
      <c r="H2811" s="801"/>
      <c r="I2811" s="801"/>
      <c r="J2811" s="798" t="s">
        <v>114</v>
      </c>
      <c r="K2811" s="805" t="s">
        <v>117</v>
      </c>
      <c r="M2811" s="750"/>
      <c r="N2811" s="751"/>
      <c r="O2811" s="576" t="s">
        <v>2844</v>
      </c>
      <c r="P2811" s="756" t="s">
        <v>2845</v>
      </c>
      <c r="Q2811" s="753"/>
      <c r="R2811" s="750"/>
      <c r="W2811" s="361"/>
    </row>
    <row r="2812" spans="6:35" ht="15.75">
      <c r="F2812" s="801"/>
      <c r="G2812" s="803"/>
      <c r="H2812" s="800" t="s">
        <v>2825</v>
      </c>
      <c r="I2812" s="801"/>
      <c r="J2812" s="807" t="s">
        <v>114</v>
      </c>
      <c r="K2812" s="806">
        <v>1.2840000000000001E-2</v>
      </c>
      <c r="M2812" s="750"/>
      <c r="N2812" s="751"/>
      <c r="O2812" s="758" t="s">
        <v>117</v>
      </c>
      <c r="P2812" s="750"/>
      <c r="Q2812" s="753"/>
      <c r="R2812" s="750"/>
      <c r="W2812" s="361"/>
    </row>
    <row r="2813" spans="6:35" ht="15.75">
      <c r="F2813" s="801"/>
      <c r="G2813" s="803"/>
      <c r="H2813" s="800" t="s">
        <v>2846</v>
      </c>
      <c r="I2813" s="801"/>
      <c r="J2813" s="798" t="s">
        <v>114</v>
      </c>
      <c r="K2813" s="806">
        <v>3.5799999999999998E-3</v>
      </c>
      <c r="M2813" s="750"/>
      <c r="N2813" s="751"/>
      <c r="O2813" s="576" t="s">
        <v>2847</v>
      </c>
      <c r="P2813" s="750"/>
      <c r="Q2813" s="753"/>
      <c r="R2813" s="750"/>
      <c r="W2813" s="361"/>
    </row>
    <row r="2814" spans="6:35" ht="15.75">
      <c r="F2814" s="808"/>
      <c r="G2814" s="803"/>
      <c r="H2814" s="801"/>
      <c r="I2814" s="801"/>
      <c r="J2814" s="802"/>
      <c r="K2814" s="805" t="s">
        <v>117</v>
      </c>
      <c r="M2814" s="750"/>
      <c r="N2814" s="751"/>
      <c r="O2814" s="576" t="s">
        <v>2819</v>
      </c>
      <c r="P2814" s="750"/>
      <c r="Q2814" s="753"/>
      <c r="R2814" s="750"/>
      <c r="W2814" s="361"/>
    </row>
    <row r="2815" spans="6:35" ht="15.75">
      <c r="F2815" s="806">
        <v>1.898E-2</v>
      </c>
      <c r="G2815" s="799" t="s">
        <v>108</v>
      </c>
      <c r="H2815" s="800" t="s">
        <v>1883</v>
      </c>
      <c r="I2815" s="809">
        <f>AE26</f>
        <v>111965.44</v>
      </c>
      <c r="J2815" s="798" t="s">
        <v>108</v>
      </c>
      <c r="K2815" s="809">
        <f>(F2815*I2815)</f>
        <v>2125.1040512</v>
      </c>
      <c r="M2815" s="750"/>
      <c r="N2815" s="751"/>
      <c r="O2815" s="750"/>
      <c r="P2815" s="750"/>
      <c r="Q2815" s="577" t="s">
        <v>117</v>
      </c>
      <c r="R2815" s="750"/>
      <c r="W2815" s="361"/>
    </row>
    <row r="2816" spans="6:35" ht="15.75">
      <c r="F2816" s="806">
        <f>K2810</f>
        <v>2.7099999999999999E-2</v>
      </c>
      <c r="G2816" s="799" t="s">
        <v>108</v>
      </c>
      <c r="H2816" s="800" t="s">
        <v>1885</v>
      </c>
      <c r="I2816" s="809">
        <f>AE27</f>
        <v>99765.440000000002</v>
      </c>
      <c r="J2816" s="798" t="s">
        <v>108</v>
      </c>
      <c r="K2816" s="809">
        <f t="shared" ref="K2816:K2826" si="274">(F2816*I2816)</f>
        <v>2703.6434239999999</v>
      </c>
      <c r="M2816" s="750"/>
      <c r="N2816" s="751"/>
      <c r="O2816" s="576" t="s">
        <v>2848</v>
      </c>
      <c r="P2816" s="750"/>
      <c r="Q2816" s="753"/>
      <c r="R2816" s="750"/>
      <c r="W2816" s="361"/>
    </row>
    <row r="2817" spans="6:23" ht="15.75">
      <c r="F2817" s="806">
        <f>L2780</f>
        <v>1.6420000000000001E-2</v>
      </c>
      <c r="G2817" s="799" t="s">
        <v>108</v>
      </c>
      <c r="H2817" s="800" t="s">
        <v>1887</v>
      </c>
      <c r="I2817" s="809">
        <f>AE28</f>
        <v>95365.440000000002</v>
      </c>
      <c r="J2817" s="798" t="s">
        <v>108</v>
      </c>
      <c r="K2817" s="809">
        <f t="shared" si="274"/>
        <v>1565.9005248000001</v>
      </c>
      <c r="M2817" s="750"/>
      <c r="N2817" s="751"/>
      <c r="O2817" s="576" t="s">
        <v>2849</v>
      </c>
      <c r="P2817" s="750"/>
      <c r="Q2817" s="753"/>
      <c r="R2817" s="783">
        <v>2.784E-2</v>
      </c>
      <c r="W2817" s="361"/>
    </row>
    <row r="2818" spans="6:23" ht="15.75">
      <c r="F2818" s="810"/>
      <c r="G2818" s="803"/>
      <c r="H2818" s="800" t="s">
        <v>1967</v>
      </c>
      <c r="I2818" s="809"/>
      <c r="J2818" s="802"/>
      <c r="K2818" s="809"/>
      <c r="M2818" s="750"/>
      <c r="N2818" s="751"/>
      <c r="O2818" s="750"/>
      <c r="P2818" s="750"/>
      <c r="Q2818" s="577" t="s">
        <v>114</v>
      </c>
      <c r="R2818" s="758" t="s">
        <v>117</v>
      </c>
      <c r="W2818" s="361"/>
    </row>
    <row r="2819" spans="6:23" ht="15.75">
      <c r="F2819" s="810">
        <v>1.8225</v>
      </c>
      <c r="G2819" s="799" t="s">
        <v>107</v>
      </c>
      <c r="H2819" s="800" t="s">
        <v>1880</v>
      </c>
      <c r="I2819" s="809">
        <f>I956</f>
        <v>1844.3999999999999</v>
      </c>
      <c r="J2819" s="798" t="s">
        <v>107</v>
      </c>
      <c r="K2819" s="809">
        <f t="shared" si="274"/>
        <v>3361.4189999999999</v>
      </c>
      <c r="M2819" s="750"/>
      <c r="N2819" s="751"/>
      <c r="O2819" s="576" t="s">
        <v>2850</v>
      </c>
      <c r="P2819" s="750"/>
      <c r="Q2819" s="787" t="s">
        <v>114</v>
      </c>
      <c r="R2819" s="783">
        <v>2.5499999999999998E-2</v>
      </c>
      <c r="W2819" s="361"/>
    </row>
    <row r="2820" spans="6:23" ht="15.75">
      <c r="F2820" s="809">
        <v>2</v>
      </c>
      <c r="G2820" s="799" t="s">
        <v>223</v>
      </c>
      <c r="H2820" s="800" t="s">
        <v>2851</v>
      </c>
      <c r="I2820" s="811">
        <v>254.5</v>
      </c>
      <c r="J2820" s="798" t="s">
        <v>151</v>
      </c>
      <c r="K2820" s="809">
        <f t="shared" si="274"/>
        <v>509</v>
      </c>
      <c r="M2820" s="750"/>
      <c r="N2820" s="751"/>
      <c r="O2820" s="576"/>
      <c r="P2820" s="750"/>
      <c r="Q2820" s="577" t="s">
        <v>114</v>
      </c>
      <c r="R2820" s="783"/>
      <c r="W2820" s="361"/>
    </row>
    <row r="2821" spans="6:23" ht="15.75">
      <c r="F2821" s="809">
        <v>3</v>
      </c>
      <c r="G2821" s="799" t="s">
        <v>151</v>
      </c>
      <c r="H2821" s="800" t="s">
        <v>2852</v>
      </c>
      <c r="I2821" s="811">
        <v>214.1</v>
      </c>
      <c r="J2821" s="798" t="s">
        <v>151</v>
      </c>
      <c r="K2821" s="809">
        <f t="shared" si="274"/>
        <v>642.29999999999995</v>
      </c>
      <c r="M2821" s="750"/>
      <c r="N2821" s="751"/>
      <c r="O2821" s="750"/>
      <c r="P2821" s="750"/>
      <c r="Q2821" s="753"/>
      <c r="R2821" s="758" t="s">
        <v>117</v>
      </c>
      <c r="W2821" s="361"/>
    </row>
    <row r="2822" spans="6:23" ht="15.75">
      <c r="F2822" s="809">
        <v>2</v>
      </c>
      <c r="G2822" s="799" t="s">
        <v>151</v>
      </c>
      <c r="H2822" s="800" t="s">
        <v>2853</v>
      </c>
      <c r="I2822" s="811">
        <v>408</v>
      </c>
      <c r="J2822" s="798" t="s">
        <v>151</v>
      </c>
      <c r="K2822" s="809">
        <f t="shared" si="274"/>
        <v>816</v>
      </c>
      <c r="M2822" s="783">
        <v>1.898E-2</v>
      </c>
      <c r="N2822" s="757" t="s">
        <v>108</v>
      </c>
      <c r="O2822" s="576" t="s">
        <v>1883</v>
      </c>
      <c r="P2822" s="574">
        <f>I2815</f>
        <v>111965.44</v>
      </c>
      <c r="Q2822" s="577" t="s">
        <v>108</v>
      </c>
      <c r="R2822" s="574">
        <f>(M2822*P2822)</f>
        <v>2125.1040512</v>
      </c>
      <c r="W2822" s="361"/>
    </row>
    <row r="2823" spans="6:23" ht="15.75">
      <c r="F2823" s="809">
        <v>1</v>
      </c>
      <c r="G2823" s="799" t="s">
        <v>151</v>
      </c>
      <c r="H2823" s="800" t="s">
        <v>2854</v>
      </c>
      <c r="I2823" s="811">
        <v>836</v>
      </c>
      <c r="J2823" s="798" t="s">
        <v>151</v>
      </c>
      <c r="K2823" s="809">
        <f t="shared" si="274"/>
        <v>836</v>
      </c>
      <c r="M2823" s="783">
        <f>R2817</f>
        <v>2.784E-2</v>
      </c>
      <c r="N2823" s="757" t="s">
        <v>108</v>
      </c>
      <c r="O2823" s="576" t="s">
        <v>1885</v>
      </c>
      <c r="P2823" s="574">
        <f t="shared" ref="P2823:P2832" si="275">I2816</f>
        <v>99765.440000000002</v>
      </c>
      <c r="Q2823" s="577" t="s">
        <v>108</v>
      </c>
      <c r="R2823" s="574">
        <f t="shared" ref="R2823:R2832" si="276">(M2823*P2823)</f>
        <v>2777.4698496000001</v>
      </c>
      <c r="W2823" s="361"/>
    </row>
    <row r="2824" spans="6:23" ht="15.75">
      <c r="F2824" s="809">
        <v>1</v>
      </c>
      <c r="G2824" s="799" t="s">
        <v>151</v>
      </c>
      <c r="H2824" s="800" t="s">
        <v>1888</v>
      </c>
      <c r="I2824" s="812">
        <v>7.3</v>
      </c>
      <c r="J2824" s="798" t="s">
        <v>151</v>
      </c>
      <c r="K2824" s="809">
        <f t="shared" si="274"/>
        <v>7.3</v>
      </c>
      <c r="M2824" s="783">
        <f>R2819</f>
        <v>2.5499999999999998E-2</v>
      </c>
      <c r="N2824" s="757" t="s">
        <v>108</v>
      </c>
      <c r="O2824" s="576" t="s">
        <v>1887</v>
      </c>
      <c r="P2824" s="574">
        <f t="shared" si="275"/>
        <v>95365.440000000002</v>
      </c>
      <c r="Q2824" s="577" t="s">
        <v>108</v>
      </c>
      <c r="R2824" s="574">
        <f t="shared" si="276"/>
        <v>2431.8187199999998</v>
      </c>
      <c r="W2824" s="361"/>
    </row>
    <row r="2825" spans="6:23" ht="15.75">
      <c r="F2825" s="809">
        <v>1</v>
      </c>
      <c r="G2825" s="799" t="s">
        <v>151</v>
      </c>
      <c r="H2825" s="800" t="s">
        <v>2855</v>
      </c>
      <c r="I2825" s="811">
        <v>49.55</v>
      </c>
      <c r="J2825" s="798" t="s">
        <v>151</v>
      </c>
      <c r="K2825" s="809">
        <f t="shared" si="274"/>
        <v>49.55</v>
      </c>
      <c r="M2825" s="813"/>
      <c r="N2825" s="751"/>
      <c r="O2825" s="576" t="s">
        <v>2856</v>
      </c>
      <c r="P2825" s="574"/>
      <c r="Q2825" s="753"/>
      <c r="R2825" s="574"/>
      <c r="W2825" s="361"/>
    </row>
    <row r="2826" spans="6:23" ht="15.75">
      <c r="F2826" s="801">
        <v>64</v>
      </c>
      <c r="G2826" s="803"/>
      <c r="H2826" s="801" t="s">
        <v>2857</v>
      </c>
      <c r="I2826" s="814">
        <f>P1123</f>
        <v>2.41</v>
      </c>
      <c r="J2826" s="802"/>
      <c r="K2826" s="809">
        <f t="shared" si="274"/>
        <v>154.24</v>
      </c>
      <c r="M2826" s="813">
        <v>2.2275</v>
      </c>
      <c r="N2826" s="757" t="s">
        <v>107</v>
      </c>
      <c r="O2826" s="576" t="s">
        <v>1880</v>
      </c>
      <c r="P2826" s="574">
        <f t="shared" si="275"/>
        <v>1844.3999999999999</v>
      </c>
      <c r="Q2826" s="577" t="s">
        <v>107</v>
      </c>
      <c r="R2826" s="574">
        <f t="shared" si="276"/>
        <v>4108.4009999999998</v>
      </c>
      <c r="W2826" s="361"/>
    </row>
    <row r="2827" spans="6:23" ht="15.75">
      <c r="F2827" s="801"/>
      <c r="G2827" s="803"/>
      <c r="H2827" s="800" t="s">
        <v>2839</v>
      </c>
      <c r="I2827" s="801"/>
      <c r="J2827" s="802"/>
      <c r="K2827" s="809">
        <f>SUM(K2815:K2826)</f>
        <v>12770.456999999997</v>
      </c>
      <c r="M2827" s="574">
        <v>1</v>
      </c>
      <c r="N2827" s="757" t="s">
        <v>223</v>
      </c>
      <c r="O2827" s="576" t="s">
        <v>1881</v>
      </c>
      <c r="P2827" s="574">
        <f t="shared" si="275"/>
        <v>254.5</v>
      </c>
      <c r="Q2827" s="577" t="s">
        <v>151</v>
      </c>
      <c r="R2827" s="574">
        <f t="shared" si="276"/>
        <v>254.5</v>
      </c>
      <c r="W2827" s="361"/>
    </row>
    <row r="2828" spans="6:23" ht="15.75">
      <c r="F2828" s="801"/>
      <c r="G2828" s="803"/>
      <c r="H2828" s="801"/>
      <c r="I2828" s="801"/>
      <c r="J2828" s="802"/>
      <c r="K2828" s="805" t="s">
        <v>117</v>
      </c>
      <c r="M2828" s="574">
        <v>3</v>
      </c>
      <c r="N2828" s="757" t="s">
        <v>151</v>
      </c>
      <c r="O2828" s="576" t="s">
        <v>1882</v>
      </c>
      <c r="P2828" s="574">
        <f t="shared" si="275"/>
        <v>214.1</v>
      </c>
      <c r="Q2828" s="577" t="s">
        <v>151</v>
      </c>
      <c r="R2828" s="574">
        <f t="shared" si="276"/>
        <v>642.29999999999995</v>
      </c>
      <c r="W2828" s="361"/>
    </row>
    <row r="2829" spans="6:23" ht="15.75">
      <c r="F2829" s="750"/>
      <c r="G2829" s="751"/>
      <c r="H2829" s="576" t="s">
        <v>177</v>
      </c>
      <c r="I2829" s="750"/>
      <c r="J2829" s="753"/>
      <c r="K2829" s="765">
        <f>K2827/F2819</f>
        <v>7007.1094650205741</v>
      </c>
      <c r="M2829" s="574">
        <v>2</v>
      </c>
      <c r="N2829" s="757" t="s">
        <v>151</v>
      </c>
      <c r="O2829" s="576" t="s">
        <v>1884</v>
      </c>
      <c r="P2829" s="574">
        <f t="shared" si="275"/>
        <v>408</v>
      </c>
      <c r="Q2829" s="577" t="s">
        <v>151</v>
      </c>
      <c r="R2829" s="574">
        <f t="shared" si="276"/>
        <v>816</v>
      </c>
      <c r="W2829" s="361"/>
    </row>
    <row r="2830" spans="6:23" ht="15.75">
      <c r="F2830" s="750"/>
      <c r="G2830" s="751"/>
      <c r="H2830" s="750"/>
      <c r="I2830" s="750"/>
      <c r="J2830" s="753"/>
      <c r="K2830" s="750"/>
      <c r="M2830" s="574">
        <v>1</v>
      </c>
      <c r="N2830" s="757" t="s">
        <v>151</v>
      </c>
      <c r="O2830" s="576" t="s">
        <v>1886</v>
      </c>
      <c r="P2830" s="574">
        <f t="shared" si="275"/>
        <v>836</v>
      </c>
      <c r="Q2830" s="577" t="s">
        <v>151</v>
      </c>
      <c r="R2830" s="574">
        <f t="shared" si="276"/>
        <v>836</v>
      </c>
      <c r="W2830" s="361"/>
    </row>
    <row r="2831" spans="6:23" ht="15.75">
      <c r="F2831" s="577" t="s">
        <v>1865</v>
      </c>
      <c r="G2831" s="757" t="s">
        <v>122</v>
      </c>
      <c r="H2831" s="576" t="s">
        <v>2858</v>
      </c>
      <c r="I2831" s="750"/>
      <c r="J2831" s="753"/>
      <c r="K2831" s="750"/>
      <c r="M2831" s="574">
        <v>1</v>
      </c>
      <c r="N2831" s="757" t="s">
        <v>151</v>
      </c>
      <c r="O2831" s="576" t="s">
        <v>1888</v>
      </c>
      <c r="P2831" s="574">
        <f t="shared" si="275"/>
        <v>7.3</v>
      </c>
      <c r="Q2831" s="577" t="s">
        <v>151</v>
      </c>
      <c r="R2831" s="574">
        <f t="shared" si="276"/>
        <v>7.3</v>
      </c>
      <c r="W2831" s="361"/>
    </row>
    <row r="2832" spans="6:23" ht="15.75">
      <c r="F2832" s="750"/>
      <c r="G2832" s="751"/>
      <c r="H2832" s="576" t="s">
        <v>1867</v>
      </c>
      <c r="I2832" s="750"/>
      <c r="J2832" s="753"/>
      <c r="K2832" s="750"/>
      <c r="M2832" s="574">
        <v>1</v>
      </c>
      <c r="N2832" s="757" t="s">
        <v>151</v>
      </c>
      <c r="O2832" s="576" t="s">
        <v>995</v>
      </c>
      <c r="P2832" s="574">
        <f t="shared" si="275"/>
        <v>49.55</v>
      </c>
      <c r="Q2832" s="577" t="s">
        <v>151</v>
      </c>
      <c r="R2832" s="574">
        <f t="shared" si="276"/>
        <v>49.55</v>
      </c>
      <c r="W2832" s="361"/>
    </row>
    <row r="2833" spans="6:23" ht="15.75">
      <c r="F2833" s="750"/>
      <c r="G2833" s="751"/>
      <c r="H2833" s="576" t="s">
        <v>1868</v>
      </c>
      <c r="I2833" s="750"/>
      <c r="J2833" s="753">
        <f>1.1*2.025</f>
        <v>2.2275</v>
      </c>
      <c r="K2833" s="750"/>
      <c r="M2833" s="750">
        <v>58</v>
      </c>
      <c r="N2833" s="757" t="s">
        <v>151</v>
      </c>
      <c r="O2833" s="750" t="s">
        <v>1914</v>
      </c>
      <c r="P2833" s="750">
        <f>P1123</f>
        <v>2.41</v>
      </c>
      <c r="Q2833" s="753" t="s">
        <v>151</v>
      </c>
      <c r="R2833" s="574">
        <f>(M2833*P2833)</f>
        <v>139.78</v>
      </c>
      <c r="W2833" s="361"/>
    </row>
    <row r="2834" spans="6:23" ht="15.75">
      <c r="F2834" s="750"/>
      <c r="G2834" s="751"/>
      <c r="H2834" s="758" t="s">
        <v>117</v>
      </c>
      <c r="I2834" s="750"/>
      <c r="J2834" s="753"/>
      <c r="K2834" s="750"/>
      <c r="M2834" s="750"/>
      <c r="N2834" s="751"/>
      <c r="O2834" s="576" t="s">
        <v>2859</v>
      </c>
      <c r="P2834" s="750"/>
      <c r="Q2834" s="753"/>
      <c r="R2834" s="574">
        <f>SUM(R2822:R2833)</f>
        <v>14188.223620799998</v>
      </c>
      <c r="W2834" s="361"/>
    </row>
    <row r="2835" spans="6:23" ht="15.75">
      <c r="F2835" s="750"/>
      <c r="G2835" s="751"/>
      <c r="H2835" s="576" t="s">
        <v>1870</v>
      </c>
      <c r="I2835" s="750"/>
      <c r="J2835" s="753"/>
      <c r="K2835" s="750"/>
      <c r="M2835" s="750"/>
      <c r="N2835" s="751"/>
      <c r="O2835" s="750"/>
      <c r="P2835" s="750"/>
      <c r="Q2835" s="753"/>
      <c r="R2835" s="758" t="s">
        <v>117</v>
      </c>
      <c r="W2835" s="361"/>
    </row>
    <row r="2836" spans="6:23" ht="45.75">
      <c r="F2836" s="769">
        <v>1.823</v>
      </c>
      <c r="G2836" s="757" t="s">
        <v>107</v>
      </c>
      <c r="H2836" s="767" t="s">
        <v>2860</v>
      </c>
      <c r="I2836" s="815">
        <v>2180</v>
      </c>
      <c r="J2836" s="577" t="s">
        <v>107</v>
      </c>
      <c r="K2836" s="750">
        <f>F2837*I2836</f>
        <v>3974.14</v>
      </c>
      <c r="M2836" s="750"/>
      <c r="N2836" s="751"/>
      <c r="O2836" s="576" t="s">
        <v>177</v>
      </c>
      <c r="P2836" s="750"/>
      <c r="Q2836" s="753"/>
      <c r="R2836" s="574">
        <f>R2834/M2826</f>
        <v>6369.5728937373724</v>
      </c>
      <c r="W2836" s="361"/>
    </row>
    <row r="2837" spans="6:23" ht="15.75">
      <c r="F2837" s="793">
        <v>1.823</v>
      </c>
      <c r="G2837" s="757" t="s">
        <v>107</v>
      </c>
      <c r="H2837" s="759" t="s">
        <v>2861</v>
      </c>
      <c r="I2837" s="574">
        <f>AG52</f>
        <v>256.91999999999996</v>
      </c>
      <c r="J2837" s="577" t="s">
        <v>107</v>
      </c>
      <c r="K2837" s="574">
        <f t="shared" ref="K2837:K2843" si="277">(F2837*I2837)</f>
        <v>468.36515999999989</v>
      </c>
      <c r="W2837" s="361"/>
    </row>
    <row r="2838" spans="6:23" ht="15.75">
      <c r="F2838" s="574">
        <v>2</v>
      </c>
      <c r="G2838" s="757" t="s">
        <v>223</v>
      </c>
      <c r="H2838" s="576" t="s">
        <v>1881</v>
      </c>
      <c r="I2838" s="574">
        <f t="shared" ref="I2838:I2843" si="278">I992</f>
        <v>57.65</v>
      </c>
      <c r="J2838" s="577" t="s">
        <v>151</v>
      </c>
      <c r="K2838" s="574">
        <f t="shared" si="277"/>
        <v>115.3</v>
      </c>
      <c r="W2838" s="361"/>
    </row>
    <row r="2839" spans="6:23" ht="15.75">
      <c r="F2839" s="574">
        <v>3</v>
      </c>
      <c r="G2839" s="757" t="s">
        <v>151</v>
      </c>
      <c r="H2839" s="576" t="s">
        <v>1882</v>
      </c>
      <c r="I2839" s="574">
        <f t="shared" si="278"/>
        <v>89.6</v>
      </c>
      <c r="J2839" s="577" t="s">
        <v>151</v>
      </c>
      <c r="K2839" s="574">
        <f t="shared" si="277"/>
        <v>268.79999999999995</v>
      </c>
      <c r="W2839" s="361"/>
    </row>
    <row r="2840" spans="6:23" ht="15.75">
      <c r="F2840" s="574">
        <v>2</v>
      </c>
      <c r="G2840" s="757" t="s">
        <v>151</v>
      </c>
      <c r="H2840" s="576" t="s">
        <v>1884</v>
      </c>
      <c r="I2840" s="574">
        <f t="shared" si="278"/>
        <v>64.8</v>
      </c>
      <c r="J2840" s="577" t="s">
        <v>151</v>
      </c>
      <c r="K2840" s="574">
        <f t="shared" si="277"/>
        <v>129.6</v>
      </c>
      <c r="W2840" s="361"/>
    </row>
    <row r="2841" spans="6:23" ht="15.75">
      <c r="F2841" s="574">
        <v>1</v>
      </c>
      <c r="G2841" s="757" t="s">
        <v>151</v>
      </c>
      <c r="H2841" s="576" t="s">
        <v>1886</v>
      </c>
      <c r="I2841" s="574">
        <f t="shared" si="278"/>
        <v>181</v>
      </c>
      <c r="J2841" s="577" t="s">
        <v>151</v>
      </c>
      <c r="K2841" s="574">
        <f t="shared" si="277"/>
        <v>181</v>
      </c>
      <c r="W2841" s="361"/>
    </row>
    <row r="2842" spans="6:23" ht="15.75">
      <c r="F2842" s="574">
        <v>1</v>
      </c>
      <c r="G2842" s="757" t="s">
        <v>151</v>
      </c>
      <c r="H2842" s="576" t="s">
        <v>1888</v>
      </c>
      <c r="I2842" s="574">
        <f t="shared" si="278"/>
        <v>7.3</v>
      </c>
      <c r="J2842" s="577" t="s">
        <v>151</v>
      </c>
      <c r="K2842" s="574">
        <f t="shared" si="277"/>
        <v>7.3</v>
      </c>
      <c r="M2842" s="577" t="s">
        <v>1865</v>
      </c>
      <c r="N2842" s="757" t="s">
        <v>122</v>
      </c>
      <c r="O2842" s="576" t="s">
        <v>1872</v>
      </c>
      <c r="P2842" s="750"/>
      <c r="Q2842" s="753"/>
      <c r="R2842" s="750"/>
      <c r="W2842" s="361"/>
    </row>
    <row r="2843" spans="6:23" ht="15.75">
      <c r="F2843" s="574">
        <v>1</v>
      </c>
      <c r="G2843" s="757" t="s">
        <v>151</v>
      </c>
      <c r="H2843" s="576" t="s">
        <v>995</v>
      </c>
      <c r="I2843" s="574">
        <f t="shared" si="278"/>
        <v>49.55</v>
      </c>
      <c r="J2843" s="577" t="s">
        <v>151</v>
      </c>
      <c r="K2843" s="574">
        <f t="shared" si="277"/>
        <v>49.55</v>
      </c>
      <c r="M2843" s="750"/>
      <c r="N2843" s="751"/>
      <c r="O2843" s="576" t="s">
        <v>1867</v>
      </c>
      <c r="P2843" s="756" t="s">
        <v>2862</v>
      </c>
      <c r="Q2843" s="753"/>
      <c r="R2843" s="750"/>
      <c r="W2843" s="361"/>
    </row>
    <row r="2844" spans="6:23" ht="15.75">
      <c r="F2844" s="750"/>
      <c r="G2844" s="751"/>
      <c r="H2844" s="750"/>
      <c r="I2844" s="750"/>
      <c r="J2844" s="753"/>
      <c r="K2844" s="762">
        <v>0.85</v>
      </c>
      <c r="M2844" s="750"/>
      <c r="N2844" s="751"/>
      <c r="O2844" s="576" t="s">
        <v>2844</v>
      </c>
      <c r="P2844" s="756" t="s">
        <v>2863</v>
      </c>
      <c r="Q2844" s="753"/>
      <c r="R2844" s="750"/>
      <c r="W2844" s="361"/>
    </row>
    <row r="2845" spans="6:23" ht="15.75">
      <c r="F2845" s="750"/>
      <c r="G2845" s="751"/>
      <c r="H2845" s="576" t="s">
        <v>2864</v>
      </c>
      <c r="I2845" s="750"/>
      <c r="J2845" s="753"/>
      <c r="K2845" s="574">
        <f>SUM(K2836:K2844)</f>
        <v>5194.9051600000012</v>
      </c>
      <c r="M2845" s="750"/>
      <c r="N2845" s="751"/>
      <c r="O2845" s="758" t="s">
        <v>117</v>
      </c>
      <c r="Q2845" s="753"/>
      <c r="R2845" s="750"/>
      <c r="W2845" s="361"/>
    </row>
    <row r="2846" spans="6:23" ht="15.75">
      <c r="F2846" s="750"/>
      <c r="G2846" s="751"/>
      <c r="H2846" s="750"/>
      <c r="I2846" s="750"/>
      <c r="J2846" s="753"/>
      <c r="K2846" s="758" t="s">
        <v>117</v>
      </c>
      <c r="M2846" s="750"/>
      <c r="N2846" s="751"/>
      <c r="O2846" s="576" t="s">
        <v>2865</v>
      </c>
      <c r="P2846" s="750"/>
      <c r="Q2846" s="753"/>
      <c r="R2846" s="750"/>
      <c r="W2846" s="361"/>
    </row>
    <row r="2847" spans="6:23" ht="15.75">
      <c r="F2847" s="750"/>
      <c r="G2847" s="751"/>
      <c r="H2847" s="576" t="s">
        <v>177</v>
      </c>
      <c r="I2847" s="750"/>
      <c r="J2847" s="753"/>
      <c r="K2847" s="574">
        <f>K2845/F2837</f>
        <v>2849.6462753702694</v>
      </c>
      <c r="M2847" s="750"/>
      <c r="N2847" s="751"/>
      <c r="O2847" s="576" t="s">
        <v>2866</v>
      </c>
      <c r="P2847" s="750"/>
      <c r="Q2847" s="753"/>
      <c r="R2847" s="750"/>
      <c r="W2847" s="361"/>
    </row>
    <row r="2848" spans="6:23" ht="15.75">
      <c r="F2848" s="576" t="s">
        <v>114</v>
      </c>
      <c r="G2848" s="751"/>
      <c r="H2848" s="750"/>
      <c r="I2848" s="750"/>
      <c r="J2848" s="753"/>
      <c r="K2848" s="750"/>
      <c r="M2848" s="750"/>
      <c r="N2848" s="751"/>
      <c r="O2848" s="750"/>
      <c r="P2848" s="750"/>
      <c r="Q2848" s="577" t="s">
        <v>117</v>
      </c>
      <c r="R2848" s="750"/>
      <c r="W2848" s="361"/>
    </row>
    <row r="2849" spans="6:23" ht="15.75">
      <c r="F2849" s="750"/>
      <c r="G2849" s="751"/>
      <c r="H2849" s="750"/>
      <c r="I2849" s="750"/>
      <c r="J2849" s="753"/>
      <c r="K2849" s="750"/>
      <c r="M2849" s="750"/>
      <c r="N2849" s="751"/>
      <c r="O2849" s="576" t="s">
        <v>2867</v>
      </c>
      <c r="P2849" s="750"/>
      <c r="Q2849" s="753"/>
      <c r="R2849" s="750"/>
      <c r="W2849" s="361"/>
    </row>
    <row r="2850" spans="6:23" ht="15.75">
      <c r="F2850" s="766" t="s">
        <v>2780</v>
      </c>
      <c r="G2850" s="751"/>
      <c r="H2850" s="576" t="s">
        <v>2868</v>
      </c>
      <c r="I2850" s="750"/>
      <c r="J2850" s="816"/>
      <c r="K2850" s="750"/>
      <c r="M2850" s="750"/>
      <c r="N2850" s="751"/>
      <c r="O2850" s="576" t="s">
        <v>2869</v>
      </c>
      <c r="P2850" s="750"/>
      <c r="Q2850" s="753"/>
      <c r="R2850" s="783">
        <v>2.8910000000000002E-2</v>
      </c>
      <c r="W2850" s="361"/>
    </row>
    <row r="2851" spans="6:23" ht="15.75">
      <c r="F2851" s="750"/>
      <c r="G2851" s="751"/>
      <c r="H2851" s="758" t="s">
        <v>117</v>
      </c>
      <c r="I2851" s="758" t="s">
        <v>117</v>
      </c>
      <c r="J2851" s="576" t="s">
        <v>117</v>
      </c>
      <c r="K2851" s="750"/>
      <c r="M2851" s="750"/>
      <c r="N2851" s="751"/>
      <c r="O2851" s="750"/>
      <c r="P2851" s="750"/>
      <c r="Q2851" s="577" t="s">
        <v>114</v>
      </c>
      <c r="R2851" s="758" t="s">
        <v>117</v>
      </c>
      <c r="W2851" s="361"/>
    </row>
    <row r="2852" spans="6:23" ht="15.75">
      <c r="F2852" s="750"/>
      <c r="G2852" s="751"/>
      <c r="H2852" s="750"/>
      <c r="I2852" s="750"/>
      <c r="J2852" s="816"/>
      <c r="K2852" s="750"/>
      <c r="M2852" s="750"/>
      <c r="N2852" s="751"/>
      <c r="O2852" s="576" t="s">
        <v>2870</v>
      </c>
      <c r="P2852" s="750"/>
      <c r="Q2852" s="787" t="s">
        <v>114</v>
      </c>
      <c r="R2852" s="783"/>
      <c r="W2852" s="361"/>
    </row>
    <row r="2853" spans="6:23" ht="15.75">
      <c r="F2853" s="750"/>
      <c r="G2853" s="751"/>
      <c r="H2853" s="576" t="s">
        <v>1986</v>
      </c>
      <c r="I2853" s="750"/>
      <c r="J2853" s="816"/>
      <c r="K2853" s="750"/>
      <c r="M2853" s="750"/>
      <c r="N2853" s="751"/>
      <c r="O2853" s="576" t="s">
        <v>2871</v>
      </c>
      <c r="P2853" s="750"/>
      <c r="Q2853" s="577" t="s">
        <v>114</v>
      </c>
      <c r="R2853" s="783">
        <v>1.7999999999999999E-2</v>
      </c>
      <c r="W2853" s="361"/>
    </row>
    <row r="2854" spans="6:23" ht="15.75">
      <c r="F2854" s="750"/>
      <c r="G2854" s="751"/>
      <c r="H2854" s="576"/>
      <c r="I2854" s="750"/>
      <c r="J2854" s="816"/>
      <c r="K2854" s="750"/>
      <c r="M2854" s="750"/>
      <c r="N2854" s="751"/>
      <c r="O2854" s="750"/>
      <c r="P2854" s="750"/>
      <c r="Q2854" s="753"/>
      <c r="R2854" s="758" t="s">
        <v>117</v>
      </c>
      <c r="W2854" s="361"/>
    </row>
    <row r="2855" spans="6:23" ht="15.75">
      <c r="F2855" s="750"/>
      <c r="G2855" s="751"/>
      <c r="H2855" s="817" t="s">
        <v>1988</v>
      </c>
      <c r="I2855" s="750"/>
      <c r="J2855" s="816"/>
      <c r="K2855" s="818"/>
      <c r="M2855" s="783">
        <v>1.9220000000000001E-2</v>
      </c>
      <c r="N2855" s="757" t="s">
        <v>108</v>
      </c>
      <c r="O2855" s="576" t="s">
        <v>1883</v>
      </c>
      <c r="P2855" s="574">
        <f>P2822</f>
        <v>111965.44</v>
      </c>
      <c r="Q2855" s="577" t="s">
        <v>108</v>
      </c>
      <c r="R2855" s="574">
        <f>(M2855*P2855)</f>
        <v>2151.9757568</v>
      </c>
      <c r="W2855" s="361"/>
    </row>
    <row r="2856" spans="6:23" ht="15.75">
      <c r="F2856" s="750"/>
      <c r="G2856" s="751"/>
      <c r="H2856" s="576" t="s">
        <v>1989</v>
      </c>
      <c r="I2856" s="819">
        <f>0.0118+0.00675</f>
        <v>1.8550000000000001E-2</v>
      </c>
      <c r="J2856" s="816"/>
      <c r="K2856" s="750"/>
      <c r="M2856" s="783">
        <f>R2850</f>
        <v>2.8910000000000002E-2</v>
      </c>
      <c r="N2856" s="757" t="s">
        <v>108</v>
      </c>
      <c r="O2856" s="576" t="s">
        <v>1885</v>
      </c>
      <c r="P2856" s="574">
        <f t="shared" ref="P2856:P2865" si="279">P2823</f>
        <v>99765.440000000002</v>
      </c>
      <c r="Q2856" s="577" t="s">
        <v>108</v>
      </c>
      <c r="R2856" s="574">
        <f>(M2856*P2856)</f>
        <v>2884.2188704</v>
      </c>
      <c r="W2856" s="361"/>
    </row>
    <row r="2857" spans="6:23" ht="15.75">
      <c r="F2857" s="750"/>
      <c r="G2857" s="751"/>
      <c r="H2857" s="576" t="s">
        <v>1990</v>
      </c>
      <c r="I2857" s="750"/>
      <c r="J2857" s="816"/>
      <c r="K2857" s="750"/>
      <c r="M2857" s="783">
        <f>R2853</f>
        <v>1.7999999999999999E-2</v>
      </c>
      <c r="N2857" s="757" t="s">
        <v>108</v>
      </c>
      <c r="O2857" s="576" t="s">
        <v>1887</v>
      </c>
      <c r="P2857" s="574">
        <f t="shared" si="279"/>
        <v>95365.440000000002</v>
      </c>
      <c r="Q2857" s="577" t="s">
        <v>108</v>
      </c>
      <c r="R2857" s="574">
        <f>(M2857*P2857)</f>
        <v>1716.5779199999999</v>
      </c>
      <c r="W2857" s="361"/>
    </row>
    <row r="2858" spans="6:23" ht="15.75">
      <c r="F2858" s="750"/>
      <c r="G2858" s="751"/>
      <c r="H2858" s="576" t="s">
        <v>1991</v>
      </c>
      <c r="I2858" s="750"/>
      <c r="J2858" s="816"/>
      <c r="K2858" s="750"/>
      <c r="M2858" s="813"/>
      <c r="N2858" s="751"/>
      <c r="O2858" s="576" t="s">
        <v>2856</v>
      </c>
      <c r="P2858" s="574"/>
      <c r="Q2858" s="753"/>
      <c r="R2858" s="574"/>
      <c r="W2858" s="361"/>
    </row>
    <row r="2859" spans="6:23" ht="15.75">
      <c r="F2859" s="750"/>
      <c r="G2859" s="751"/>
      <c r="H2859" s="576" t="s">
        <v>2783</v>
      </c>
      <c r="I2859" s="750"/>
      <c r="J2859" s="576" t="s">
        <v>114</v>
      </c>
      <c r="K2859" s="783">
        <v>3.7699999999999997E-2</v>
      </c>
      <c r="M2859" s="813">
        <v>2.2549999999999999</v>
      </c>
      <c r="N2859" s="757" t="s">
        <v>107</v>
      </c>
      <c r="O2859" s="576" t="s">
        <v>1880</v>
      </c>
      <c r="P2859" s="574">
        <f t="shared" si="279"/>
        <v>1844.3999999999999</v>
      </c>
      <c r="Q2859" s="577" t="s">
        <v>107</v>
      </c>
      <c r="R2859" s="574">
        <f t="shared" ref="R2859:R2865" si="280">(M2859*P2859)</f>
        <v>4159.1219999999994</v>
      </c>
      <c r="W2859" s="361"/>
    </row>
    <row r="2860" spans="6:23" ht="15.75">
      <c r="F2860" s="750"/>
      <c r="G2860" s="751"/>
      <c r="H2860" s="576" t="s">
        <v>2872</v>
      </c>
      <c r="I2860" s="750"/>
      <c r="J2860" s="817" t="s">
        <v>114</v>
      </c>
      <c r="K2860" s="817" t="s">
        <v>114</v>
      </c>
      <c r="M2860" s="574">
        <v>1</v>
      </c>
      <c r="N2860" s="757" t="s">
        <v>223</v>
      </c>
      <c r="O2860" s="576" t="s">
        <v>1881</v>
      </c>
      <c r="P2860" s="574">
        <f t="shared" si="279"/>
        <v>254.5</v>
      </c>
      <c r="Q2860" s="577" t="s">
        <v>151</v>
      </c>
      <c r="R2860" s="574">
        <f t="shared" si="280"/>
        <v>254.5</v>
      </c>
      <c r="W2860" s="361"/>
    </row>
    <row r="2861" spans="6:23" ht="15.75">
      <c r="F2861" s="750"/>
      <c r="G2861" s="751"/>
      <c r="H2861" s="576" t="s">
        <v>1996</v>
      </c>
      <c r="I2861" s="750"/>
      <c r="J2861" s="816"/>
      <c r="K2861" s="817" t="s">
        <v>114</v>
      </c>
      <c r="M2861" s="574">
        <v>3</v>
      </c>
      <c r="N2861" s="757" t="s">
        <v>151</v>
      </c>
      <c r="O2861" s="576" t="s">
        <v>1882</v>
      </c>
      <c r="P2861" s="574">
        <f t="shared" si="279"/>
        <v>214.1</v>
      </c>
      <c r="Q2861" s="577" t="s">
        <v>151</v>
      </c>
      <c r="R2861" s="574">
        <f t="shared" si="280"/>
        <v>642.29999999999995</v>
      </c>
      <c r="W2861" s="361"/>
    </row>
    <row r="2862" spans="6:23" ht="15.75">
      <c r="F2862" s="750"/>
      <c r="G2862" s="751"/>
      <c r="H2862" s="576"/>
      <c r="I2862" s="750"/>
      <c r="J2862" s="816"/>
      <c r="K2862" s="817"/>
      <c r="M2862" s="574">
        <v>2</v>
      </c>
      <c r="N2862" s="757" t="s">
        <v>151</v>
      </c>
      <c r="O2862" s="576" t="s">
        <v>1884</v>
      </c>
      <c r="P2862" s="574">
        <f t="shared" si="279"/>
        <v>408</v>
      </c>
      <c r="Q2862" s="577" t="s">
        <v>151</v>
      </c>
      <c r="R2862" s="574">
        <f t="shared" si="280"/>
        <v>816</v>
      </c>
      <c r="W2862" s="361"/>
    </row>
    <row r="2863" spans="6:23" ht="15.75">
      <c r="F2863" s="750"/>
      <c r="G2863" s="751"/>
      <c r="H2863" s="576"/>
      <c r="I2863" s="750"/>
      <c r="J2863" s="816"/>
      <c r="K2863" s="817"/>
      <c r="M2863" s="574">
        <v>1</v>
      </c>
      <c r="N2863" s="757" t="s">
        <v>151</v>
      </c>
      <c r="O2863" s="576" t="s">
        <v>1886</v>
      </c>
      <c r="P2863" s="574">
        <f t="shared" si="279"/>
        <v>836</v>
      </c>
      <c r="Q2863" s="577" t="s">
        <v>151</v>
      </c>
      <c r="R2863" s="574">
        <f t="shared" si="280"/>
        <v>836</v>
      </c>
      <c r="W2863" s="361"/>
    </row>
    <row r="2864" spans="6:23" ht="15.75">
      <c r="F2864" s="750"/>
      <c r="G2864" s="751"/>
      <c r="H2864" s="750"/>
      <c r="I2864" s="750"/>
      <c r="J2864" s="816"/>
      <c r="K2864" s="750"/>
      <c r="M2864" s="574">
        <v>1</v>
      </c>
      <c r="N2864" s="757" t="s">
        <v>151</v>
      </c>
      <c r="O2864" s="576" t="s">
        <v>1888</v>
      </c>
      <c r="P2864" s="574">
        <f t="shared" si="279"/>
        <v>7.3</v>
      </c>
      <c r="Q2864" s="577" t="s">
        <v>151</v>
      </c>
      <c r="R2864" s="574">
        <f t="shared" si="280"/>
        <v>7.3</v>
      </c>
      <c r="W2864" s="361"/>
    </row>
    <row r="2865" spans="6:23" ht="15.75">
      <c r="F2865" s="820">
        <v>1.18E-2</v>
      </c>
      <c r="G2865" s="757" t="s">
        <v>108</v>
      </c>
      <c r="H2865" s="576" t="s">
        <v>986</v>
      </c>
      <c r="I2865" s="574">
        <f>I2815</f>
        <v>111965.44</v>
      </c>
      <c r="J2865" s="576" t="s">
        <v>108</v>
      </c>
      <c r="K2865" s="574">
        <f t="shared" ref="K2865:K2874" si="281">(F2865*I2865)</f>
        <v>1321.192192</v>
      </c>
      <c r="M2865" s="574">
        <v>1</v>
      </c>
      <c r="N2865" s="757" t="s">
        <v>151</v>
      </c>
      <c r="O2865" s="576" t="s">
        <v>995</v>
      </c>
      <c r="P2865" s="574">
        <f t="shared" si="279"/>
        <v>49.55</v>
      </c>
      <c r="Q2865" s="577" t="s">
        <v>151</v>
      </c>
      <c r="R2865" s="574">
        <f t="shared" si="280"/>
        <v>49.55</v>
      </c>
      <c r="W2865" s="361"/>
    </row>
    <row r="2866" spans="6:23" ht="15.75">
      <c r="F2866" s="783">
        <v>6.7499999999999999E-3</v>
      </c>
      <c r="G2866" s="757" t="s">
        <v>108</v>
      </c>
      <c r="H2866" s="576" t="s">
        <v>987</v>
      </c>
      <c r="I2866" s="574">
        <f>I2816</f>
        <v>99765.440000000002</v>
      </c>
      <c r="J2866" s="576" t="s">
        <v>108</v>
      </c>
      <c r="K2866" s="574">
        <f t="shared" si="281"/>
        <v>673.41672000000005</v>
      </c>
      <c r="M2866" s="750">
        <v>58</v>
      </c>
      <c r="N2866" s="757" t="s">
        <v>151</v>
      </c>
      <c r="O2866" s="750" t="s">
        <v>1914</v>
      </c>
      <c r="P2866" s="750">
        <f>P2833</f>
        <v>2.41</v>
      </c>
      <c r="Q2866" s="753" t="s">
        <v>151</v>
      </c>
      <c r="R2866" s="574">
        <f>(M2866*P2866)</f>
        <v>139.78</v>
      </c>
      <c r="W2866" s="361"/>
    </row>
    <row r="2867" spans="6:23" ht="15.75">
      <c r="F2867" s="783">
        <v>1.8550000000000001E-2</v>
      </c>
      <c r="G2867" s="757" t="s">
        <v>108</v>
      </c>
      <c r="H2867" s="576" t="s">
        <v>1997</v>
      </c>
      <c r="I2867" s="574">
        <f>C30</f>
        <v>16428</v>
      </c>
      <c r="J2867" s="576" t="s">
        <v>108</v>
      </c>
      <c r="K2867" s="574">
        <f t="shared" si="281"/>
        <v>304.73939999999999</v>
      </c>
      <c r="M2867" s="750"/>
      <c r="N2867" s="751"/>
      <c r="O2867" s="576" t="s">
        <v>2873</v>
      </c>
      <c r="P2867" s="750"/>
      <c r="Q2867" s="753"/>
      <c r="R2867" s="574">
        <f>SUM(R2855:R2866)+21.502</f>
        <v>13678.826547199998</v>
      </c>
      <c r="W2867" s="361"/>
    </row>
    <row r="2868" spans="6:23" ht="15.75">
      <c r="F2868" s="783">
        <v>2.0499999999999998</v>
      </c>
      <c r="G2868" s="757" t="s">
        <v>107</v>
      </c>
      <c r="H2868" s="576" t="s">
        <v>2874</v>
      </c>
      <c r="I2868" s="821">
        <v>840</v>
      </c>
      <c r="J2868" s="576" t="s">
        <v>107</v>
      </c>
      <c r="K2868" s="574">
        <f t="shared" si="281"/>
        <v>1721.9999999999998</v>
      </c>
      <c r="M2868" s="750"/>
      <c r="N2868" s="751"/>
      <c r="O2868" s="750"/>
      <c r="P2868" s="750"/>
      <c r="Q2868" s="753"/>
      <c r="R2868" s="758" t="s">
        <v>117</v>
      </c>
      <c r="W2868" s="361"/>
    </row>
    <row r="2869" spans="6:23" ht="30.75">
      <c r="F2869" s="783">
        <v>2.0499999999999998</v>
      </c>
      <c r="G2869" s="757" t="s">
        <v>107</v>
      </c>
      <c r="H2869" s="822" t="s">
        <v>2875</v>
      </c>
      <c r="I2869" s="574">
        <f>AG53</f>
        <v>396.23999999999995</v>
      </c>
      <c r="J2869" s="576" t="s">
        <v>107</v>
      </c>
      <c r="K2869" s="574">
        <f t="shared" si="281"/>
        <v>812.2919999999998</v>
      </c>
      <c r="M2869" s="750"/>
      <c r="N2869" s="751"/>
      <c r="O2869" s="576" t="s">
        <v>177</v>
      </c>
      <c r="P2869" s="750"/>
      <c r="Q2869" s="753"/>
      <c r="R2869" s="574">
        <f>R2867/M2859</f>
        <v>6065.9984688248333</v>
      </c>
      <c r="W2869" s="361"/>
    </row>
    <row r="2870" spans="6:23" ht="15.75">
      <c r="F2870" s="574">
        <v>2</v>
      </c>
      <c r="G2870" s="757" t="s">
        <v>151</v>
      </c>
      <c r="H2870" s="576" t="s">
        <v>2785</v>
      </c>
      <c r="I2870" s="574">
        <f>E287</f>
        <v>57</v>
      </c>
      <c r="J2870" s="576" t="s">
        <v>151</v>
      </c>
      <c r="K2870" s="574">
        <f t="shared" si="281"/>
        <v>114</v>
      </c>
      <c r="W2870" s="361"/>
    </row>
    <row r="2871" spans="6:23" ht="15.75">
      <c r="F2871" s="574">
        <v>8</v>
      </c>
      <c r="G2871" s="757" t="s">
        <v>151</v>
      </c>
      <c r="H2871" s="576" t="s">
        <v>1958</v>
      </c>
      <c r="I2871" s="574">
        <f>C284</f>
        <v>49.35</v>
      </c>
      <c r="J2871" s="576" t="s">
        <v>151</v>
      </c>
      <c r="K2871" s="574">
        <f t="shared" si="281"/>
        <v>394.8</v>
      </c>
      <c r="W2871" s="361"/>
    </row>
    <row r="2872" spans="6:23" ht="15.75">
      <c r="F2872" s="574">
        <v>2</v>
      </c>
      <c r="G2872" s="757" t="s">
        <v>151</v>
      </c>
      <c r="H2872" s="576" t="s">
        <v>2788</v>
      </c>
      <c r="I2872" s="574">
        <f>I1136</f>
        <v>60.9</v>
      </c>
      <c r="J2872" s="576" t="s">
        <v>151</v>
      </c>
      <c r="K2872" s="574">
        <f t="shared" si="281"/>
        <v>121.8</v>
      </c>
      <c r="W2872" s="361"/>
    </row>
    <row r="2873" spans="6:23" ht="15.75">
      <c r="F2873" s="574">
        <v>1</v>
      </c>
      <c r="G2873" s="757" t="s">
        <v>151</v>
      </c>
      <c r="H2873" s="576" t="s">
        <v>2876</v>
      </c>
      <c r="I2873" s="823">
        <f>I1137</f>
        <v>63.2</v>
      </c>
      <c r="J2873" s="576" t="s">
        <v>151</v>
      </c>
      <c r="K2873" s="574">
        <f t="shared" si="281"/>
        <v>63.2</v>
      </c>
      <c r="W2873" s="361"/>
    </row>
    <row r="2874" spans="6:23" ht="15.75">
      <c r="F2874" s="793">
        <v>0.94499999999999995</v>
      </c>
      <c r="G2874" s="757" t="s">
        <v>107</v>
      </c>
      <c r="H2874" s="576" t="s">
        <v>2003</v>
      </c>
      <c r="I2874" s="574">
        <f>K1169</f>
        <v>226.08</v>
      </c>
      <c r="J2874" s="576" t="s">
        <v>107</v>
      </c>
      <c r="K2874" s="574">
        <f t="shared" si="281"/>
        <v>213.6456</v>
      </c>
      <c r="W2874" s="361"/>
    </row>
    <row r="2875" spans="6:23" ht="15.75">
      <c r="F2875" s="750"/>
      <c r="G2875" s="751"/>
      <c r="H2875" s="576" t="s">
        <v>2004</v>
      </c>
      <c r="I2875" s="577" t="s">
        <v>128</v>
      </c>
      <c r="J2875" s="816"/>
      <c r="K2875" s="574">
        <v>0.6</v>
      </c>
      <c r="W2875" s="361"/>
    </row>
    <row r="2876" spans="6:23" ht="15.75">
      <c r="F2876" s="750"/>
      <c r="G2876" s="751"/>
      <c r="H2876" s="756"/>
      <c r="I2876" s="756"/>
      <c r="J2876" s="824"/>
      <c r="K2876" s="763" t="s">
        <v>117</v>
      </c>
      <c r="W2876" s="361"/>
    </row>
    <row r="2877" spans="6:23" ht="15.75">
      <c r="F2877" s="750"/>
      <c r="G2877" s="751"/>
      <c r="H2877" s="825" t="s">
        <v>2005</v>
      </c>
      <c r="I2877" s="756"/>
      <c r="J2877" s="824"/>
      <c r="K2877" s="765">
        <f>SUM(K2865:K2875)</f>
        <v>5741.6859119999999</v>
      </c>
      <c r="W2877" s="361"/>
    </row>
    <row r="2878" spans="6:23" ht="15.75">
      <c r="F2878" s="750"/>
      <c r="G2878" s="757" t="s">
        <v>114</v>
      </c>
      <c r="H2878" s="756"/>
      <c r="I2878" s="756"/>
      <c r="J2878" s="824"/>
      <c r="K2878" s="763" t="s">
        <v>117</v>
      </c>
      <c r="W2878" s="361"/>
    </row>
    <row r="2879" spans="6:23" ht="15.75">
      <c r="F2879" s="750"/>
      <c r="G2879" s="751"/>
      <c r="H2879" s="825" t="s">
        <v>177</v>
      </c>
      <c r="I2879" s="756"/>
      <c r="J2879" s="824"/>
      <c r="K2879" s="765">
        <f>K2877/2.52</f>
        <v>2278.4467904761905</v>
      </c>
      <c r="W2879" s="361"/>
    </row>
    <row r="2880" spans="6:23" ht="15.75">
      <c r="F2880" s="750"/>
      <c r="G2880" s="751"/>
      <c r="H2880" s="756"/>
      <c r="I2880" s="756"/>
      <c r="J2880" s="824"/>
      <c r="K2880" s="763" t="s">
        <v>156</v>
      </c>
      <c r="W2880" s="361"/>
    </row>
    <row r="2881" spans="6:23" ht="15.75">
      <c r="F2881" s="750"/>
      <c r="G2881" s="751"/>
      <c r="H2881" s="750"/>
      <c r="I2881" s="750"/>
      <c r="J2881" s="753"/>
      <c r="K2881" s="750"/>
      <c r="W2881" s="361"/>
    </row>
    <row r="2882" spans="6:23" ht="15.75">
      <c r="F2882" s="750"/>
      <c r="G2882" s="751"/>
      <c r="H2882" s="750" t="s">
        <v>2877</v>
      </c>
      <c r="I2882" s="750"/>
      <c r="J2882" s="753"/>
      <c r="K2882" s="750"/>
      <c r="W2882" s="361"/>
    </row>
    <row r="2883" spans="6:23" ht="15.75">
      <c r="F2883" s="750"/>
      <c r="G2883" s="751"/>
      <c r="H2883" s="750" t="s">
        <v>2878</v>
      </c>
      <c r="I2883" s="750"/>
      <c r="J2883" s="753"/>
      <c r="K2883" s="750"/>
      <c r="W2883" s="361"/>
    </row>
    <row r="2884" spans="6:23" ht="15.75">
      <c r="F2884" s="750"/>
      <c r="G2884" s="751"/>
      <c r="H2884" s="750"/>
      <c r="I2884" s="750"/>
      <c r="J2884" s="753"/>
      <c r="K2884" s="750"/>
      <c r="W2884" s="361"/>
    </row>
    <row r="2885" spans="6:23" ht="15.75">
      <c r="F2885" s="750">
        <v>2</v>
      </c>
      <c r="G2885" s="751" t="s">
        <v>31</v>
      </c>
      <c r="H2885" s="750" t="s">
        <v>2879</v>
      </c>
      <c r="I2885" s="826">
        <v>96.6</v>
      </c>
      <c r="J2885" s="753" t="s">
        <v>31</v>
      </c>
      <c r="K2885" s="750">
        <f>F2885*I2885</f>
        <v>193.2</v>
      </c>
      <c r="W2885" s="361"/>
    </row>
    <row r="2886" spans="6:23" ht="15.75">
      <c r="F2886" s="750">
        <v>1</v>
      </c>
      <c r="G2886" s="751" t="s">
        <v>482</v>
      </c>
      <c r="H2886" s="750" t="s">
        <v>2880</v>
      </c>
      <c r="I2886" s="801">
        <f>C627</f>
        <v>34.299999999999997</v>
      </c>
      <c r="J2886" s="753" t="s">
        <v>194</v>
      </c>
      <c r="K2886" s="750">
        <f>F2886*I2886</f>
        <v>34.299999999999997</v>
      </c>
      <c r="W2886" s="361"/>
    </row>
    <row r="2887" spans="6:23" ht="15.75">
      <c r="F2887" s="750"/>
      <c r="G2887" s="751"/>
      <c r="H2887" s="750" t="s">
        <v>2881</v>
      </c>
      <c r="I2887" s="750"/>
      <c r="J2887" s="753" t="s">
        <v>128</v>
      </c>
      <c r="K2887" s="750">
        <v>1.4</v>
      </c>
      <c r="W2887" s="361"/>
    </row>
    <row r="2888" spans="6:23" ht="15.75">
      <c r="F2888" s="750"/>
      <c r="G2888" s="751"/>
      <c r="H2888" s="754" t="s">
        <v>2882</v>
      </c>
      <c r="I2888" s="750"/>
      <c r="J2888" s="753"/>
      <c r="K2888" s="750">
        <f>SUM(K2885:K2887)</f>
        <v>228.9</v>
      </c>
      <c r="W2888" s="361"/>
    </row>
    <row r="2889" spans="6:23" ht="15.75">
      <c r="F2889" s="750"/>
      <c r="G2889" s="751"/>
      <c r="H2889" s="750"/>
      <c r="I2889" s="750"/>
      <c r="J2889" s="753"/>
      <c r="K2889" s="750"/>
      <c r="W2889" s="361"/>
    </row>
    <row r="2890" spans="6:23" ht="15.75">
      <c r="F2890" s="750"/>
      <c r="G2890" s="751"/>
      <c r="H2890" s="755" t="s">
        <v>2883</v>
      </c>
      <c r="I2890" s="756"/>
      <c r="J2890" s="760"/>
      <c r="K2890" s="756">
        <f>K2888/2</f>
        <v>114.45</v>
      </c>
      <c r="W2890" s="361"/>
    </row>
    <row r="2891" spans="6:23" ht="15.75">
      <c r="F2891" s="750"/>
      <c r="G2891" s="751"/>
      <c r="H2891" s="750"/>
      <c r="I2891" s="750"/>
      <c r="J2891" s="753"/>
      <c r="K2891" s="750"/>
      <c r="W2891" s="361"/>
    </row>
    <row r="2892" spans="6:23" ht="15.75">
      <c r="F2892" s="750"/>
      <c r="G2892" s="751"/>
      <c r="H2892" s="750"/>
      <c r="I2892" s="750"/>
      <c r="J2892" s="753"/>
      <c r="K2892" s="750"/>
      <c r="W2892" s="361"/>
    </row>
    <row r="2893" spans="6:23" ht="15.75">
      <c r="F2893" s="750"/>
      <c r="G2893" s="751"/>
      <c r="H2893" s="750"/>
      <c r="I2893" s="750"/>
      <c r="J2893" s="753"/>
      <c r="K2893" s="750"/>
      <c r="W2893" s="361"/>
    </row>
    <row r="2894" spans="6:23" ht="15.75">
      <c r="F2894" s="750"/>
      <c r="G2894" s="751"/>
      <c r="H2894" s="750"/>
      <c r="I2894" s="750"/>
      <c r="J2894" s="753"/>
      <c r="K2894" s="750"/>
      <c r="W2894" s="361"/>
    </row>
    <row r="2895" spans="6:23" ht="63">
      <c r="F2895" s="750"/>
      <c r="G2895" s="751"/>
      <c r="H2895" s="827" t="s">
        <v>2884</v>
      </c>
      <c r="I2895" s="750"/>
      <c r="J2895" s="753"/>
      <c r="K2895" s="750"/>
      <c r="W2895" s="361"/>
    </row>
    <row r="2896" spans="6:23" ht="15.75">
      <c r="F2896" s="577"/>
      <c r="G2896" s="757" t="s">
        <v>122</v>
      </c>
      <c r="H2896" s="576" t="s">
        <v>1303</v>
      </c>
      <c r="I2896" s="750"/>
      <c r="J2896" s="753"/>
      <c r="K2896" s="750"/>
      <c r="W2896" s="361"/>
    </row>
    <row r="2897" spans="6:23" ht="15.75">
      <c r="F2897" s="750"/>
      <c r="G2897" s="751"/>
      <c r="H2897" s="576" t="s">
        <v>1029</v>
      </c>
      <c r="I2897" s="750"/>
      <c r="J2897" s="753"/>
      <c r="K2897" s="750"/>
      <c r="W2897" s="361"/>
    </row>
    <row r="2898" spans="6:23" ht="15.75">
      <c r="F2898" s="750"/>
      <c r="G2898" s="751"/>
      <c r="H2898" s="758" t="s">
        <v>117</v>
      </c>
      <c r="I2898" s="750"/>
      <c r="J2898" s="753"/>
      <c r="K2898" s="750"/>
      <c r="W2898" s="361"/>
    </row>
    <row r="2899" spans="6:23" ht="15.75">
      <c r="F2899" s="574">
        <v>9</v>
      </c>
      <c r="G2899" s="757" t="s">
        <v>108</v>
      </c>
      <c r="H2899" s="576" t="s">
        <v>1308</v>
      </c>
      <c r="I2899" s="574">
        <f t="shared" ref="I2899:I2904" si="282">I505</f>
        <v>1163.9499999999998</v>
      </c>
      <c r="J2899" s="577" t="s">
        <v>108</v>
      </c>
      <c r="K2899" s="574">
        <f t="shared" ref="K2899:K2904" si="283">(F2899*I2899)</f>
        <v>10475.549999999999</v>
      </c>
      <c r="W2899" s="361"/>
    </row>
    <row r="2900" spans="6:23" ht="15.75">
      <c r="F2900" s="793">
        <v>3.2309999999999999</v>
      </c>
      <c r="G2900" s="757" t="s">
        <v>124</v>
      </c>
      <c r="H2900" s="576" t="s">
        <v>125</v>
      </c>
      <c r="I2900" s="574">
        <f t="shared" si="282"/>
        <v>6372.14</v>
      </c>
      <c r="J2900" s="577" t="s">
        <v>124</v>
      </c>
      <c r="K2900" s="574">
        <f t="shared" si="283"/>
        <v>20588.384340000001</v>
      </c>
      <c r="W2900" s="361"/>
    </row>
    <row r="2901" spans="6:23" ht="15.75">
      <c r="F2901" s="574">
        <v>4.5</v>
      </c>
      <c r="G2901" s="757" t="s">
        <v>108</v>
      </c>
      <c r="H2901" s="576" t="s">
        <v>126</v>
      </c>
      <c r="I2901" s="574">
        <f t="shared" si="282"/>
        <v>1779.13</v>
      </c>
      <c r="J2901" s="577" t="s">
        <v>108</v>
      </c>
      <c r="K2901" s="574">
        <f t="shared" si="283"/>
        <v>8006.0850000000009</v>
      </c>
      <c r="W2901" s="361"/>
    </row>
    <row r="2902" spans="6:23" ht="15.75">
      <c r="F2902" s="574">
        <v>3.5</v>
      </c>
      <c r="G2902" s="757" t="s">
        <v>151</v>
      </c>
      <c r="H2902" s="576" t="s">
        <v>152</v>
      </c>
      <c r="I2902" s="574">
        <f t="shared" si="282"/>
        <v>1118.3999999999999</v>
      </c>
      <c r="J2902" s="577" t="s">
        <v>151</v>
      </c>
      <c r="K2902" s="574">
        <f t="shared" si="283"/>
        <v>3914.3999999999996</v>
      </c>
      <c r="W2902" s="361"/>
    </row>
    <row r="2903" spans="6:23" ht="15.75">
      <c r="F2903" s="574">
        <v>21.2</v>
      </c>
      <c r="G2903" s="757" t="s">
        <v>151</v>
      </c>
      <c r="H2903" s="576" t="s">
        <v>153</v>
      </c>
      <c r="I2903" s="574">
        <f t="shared" si="282"/>
        <v>781.19999999999993</v>
      </c>
      <c r="J2903" s="577" t="s">
        <v>151</v>
      </c>
      <c r="K2903" s="574">
        <f t="shared" si="283"/>
        <v>16561.439999999999</v>
      </c>
      <c r="W2903" s="361"/>
    </row>
    <row r="2904" spans="6:23" ht="15.75">
      <c r="F2904" s="574">
        <v>35.299999999999997</v>
      </c>
      <c r="G2904" s="757" t="s">
        <v>151</v>
      </c>
      <c r="H2904" s="576" t="s">
        <v>154</v>
      </c>
      <c r="I2904" s="574">
        <f t="shared" si="282"/>
        <v>640.79999999999995</v>
      </c>
      <c r="J2904" s="577" t="s">
        <v>151</v>
      </c>
      <c r="K2904" s="574">
        <f t="shared" si="283"/>
        <v>22620.239999999998</v>
      </c>
      <c r="W2904" s="361"/>
    </row>
    <row r="2905" spans="6:23" ht="15.75">
      <c r="F2905" s="750"/>
      <c r="G2905" s="757" t="s">
        <v>128</v>
      </c>
      <c r="H2905" s="576" t="s">
        <v>129</v>
      </c>
      <c r="I2905" s="576" t="s">
        <v>114</v>
      </c>
      <c r="J2905" s="577" t="s">
        <v>128</v>
      </c>
      <c r="K2905" s="574">
        <v>0</v>
      </c>
      <c r="W2905" s="361"/>
    </row>
    <row r="2906" spans="6:23" ht="15.75">
      <c r="F2906" s="750"/>
      <c r="G2906" s="751"/>
      <c r="H2906" s="750"/>
      <c r="I2906" s="750"/>
      <c r="J2906" s="753"/>
      <c r="K2906" s="758" t="s">
        <v>117</v>
      </c>
      <c r="W2906" s="361"/>
    </row>
    <row r="2907" spans="6:23" ht="15.75">
      <c r="F2907" s="750"/>
      <c r="G2907" s="751"/>
      <c r="H2907" s="576" t="s">
        <v>1044</v>
      </c>
      <c r="I2907" s="750"/>
      <c r="J2907" s="753"/>
      <c r="K2907" s="574">
        <f>SUM(K2899:K2905)</f>
        <v>82166.099339999986</v>
      </c>
      <c r="W2907" s="361"/>
    </row>
    <row r="2908" spans="6:23" ht="15.75">
      <c r="F2908" s="750"/>
      <c r="G2908" s="751"/>
      <c r="H2908" s="750"/>
      <c r="I2908" s="750"/>
      <c r="J2908" s="753"/>
      <c r="K2908" s="758" t="s">
        <v>117</v>
      </c>
      <c r="W2908" s="361"/>
    </row>
    <row r="2909" spans="6:23" ht="15.75">
      <c r="F2909" s="750"/>
      <c r="G2909" s="751"/>
      <c r="H2909" s="576" t="s">
        <v>155</v>
      </c>
      <c r="I2909" s="750"/>
      <c r="J2909" s="753"/>
      <c r="K2909" s="574">
        <f>(K2907/10)</f>
        <v>8216.6099339999982</v>
      </c>
      <c r="W2909" s="361"/>
    </row>
    <row r="2910" spans="6:23" ht="15.75">
      <c r="F2910" s="750"/>
      <c r="G2910" s="751"/>
      <c r="H2910" s="750"/>
      <c r="I2910" s="750"/>
      <c r="J2910" s="753"/>
      <c r="K2910" s="750"/>
      <c r="W2910" s="361"/>
    </row>
    <row r="2911" spans="6:23" ht="15.75">
      <c r="F2911" s="574">
        <v>1</v>
      </c>
      <c r="G2911" s="757" t="s">
        <v>108</v>
      </c>
      <c r="H2911" s="576" t="s">
        <v>1052</v>
      </c>
      <c r="I2911" s="750"/>
      <c r="J2911" s="753"/>
      <c r="K2911" s="574"/>
      <c r="W2911" s="361"/>
    </row>
    <row r="2912" spans="6:23" ht="15.75">
      <c r="F2912" s="750"/>
      <c r="G2912" s="751"/>
      <c r="H2912" s="750"/>
      <c r="I2912" s="750"/>
      <c r="J2912" s="753"/>
      <c r="K2912" s="758" t="s">
        <v>117</v>
      </c>
      <c r="W2912" s="361"/>
    </row>
    <row r="2913" spans="6:23" ht="15.75">
      <c r="F2913" s="750"/>
      <c r="G2913" s="751"/>
      <c r="H2913" s="576" t="s">
        <v>2885</v>
      </c>
      <c r="I2913" s="750"/>
      <c r="J2913" s="753"/>
      <c r="K2913" s="574">
        <f>SUM(K2909:K2911)</f>
        <v>8216.6099339999982</v>
      </c>
      <c r="W2913" s="361"/>
    </row>
    <row r="2914" spans="6:23" ht="15.75">
      <c r="F2914" s="750"/>
      <c r="G2914" s="751"/>
      <c r="H2914" s="750"/>
      <c r="I2914" s="750"/>
      <c r="J2914" s="753"/>
      <c r="K2914" s="758" t="s">
        <v>117</v>
      </c>
      <c r="W2914" s="361"/>
    </row>
    <row r="2915" spans="6:23" ht="15.75">
      <c r="F2915" s="750"/>
      <c r="G2915" s="757" t="s">
        <v>1327</v>
      </c>
      <c r="H2915" s="576" t="s">
        <v>172</v>
      </c>
      <c r="I2915" s="750"/>
      <c r="J2915" s="753"/>
      <c r="K2915" s="574">
        <f>K2913+C22</f>
        <v>8360.429933999998</v>
      </c>
      <c r="W2915" s="361"/>
    </row>
    <row r="2916" spans="6:23" ht="15.75">
      <c r="F2916" s="750"/>
      <c r="G2916" s="757" t="s">
        <v>1329</v>
      </c>
      <c r="H2916" s="576" t="s">
        <v>873</v>
      </c>
      <c r="I2916" s="750"/>
      <c r="J2916" s="753"/>
      <c r="K2916" s="574">
        <f>K2915+C23</f>
        <v>8643.7499339999977</v>
      </c>
      <c r="W2916" s="361"/>
    </row>
    <row r="2917" spans="6:23" ht="15.75">
      <c r="F2917" s="750"/>
      <c r="G2917" s="757" t="s">
        <v>1331</v>
      </c>
      <c r="H2917" s="576" t="s">
        <v>876</v>
      </c>
      <c r="I2917" s="750"/>
      <c r="J2917" s="753"/>
      <c r="K2917" s="574">
        <f>K2916+C23</f>
        <v>8927.0699339999974</v>
      </c>
      <c r="W2917" s="361"/>
    </row>
    <row r="2918" spans="6:23" ht="15.75">
      <c r="F2918" s="750"/>
      <c r="G2918" s="757" t="s">
        <v>1333</v>
      </c>
      <c r="H2918" s="576" t="s">
        <v>878</v>
      </c>
      <c r="I2918" s="750"/>
      <c r="J2918" s="753"/>
      <c r="K2918" s="574">
        <f>K2917+C23</f>
        <v>9210.3899339999971</v>
      </c>
      <c r="W2918" s="361"/>
    </row>
    <row r="2919" spans="6:23" ht="15.75">
      <c r="F2919" s="750"/>
      <c r="G2919" s="751"/>
      <c r="H2919" s="750"/>
      <c r="I2919" s="750"/>
      <c r="J2919" s="753"/>
      <c r="K2919" s="750"/>
      <c r="W2919" s="361"/>
    </row>
    <row r="2920" spans="6:23" ht="15.75">
      <c r="F2920" s="750"/>
      <c r="G2920" s="755"/>
      <c r="H2920" s="827"/>
      <c r="I2920" s="750"/>
      <c r="J2920" s="816"/>
      <c r="K2920" s="750"/>
      <c r="W2920" s="361"/>
    </row>
    <row r="2921" spans="6:23" ht="15.75">
      <c r="F2921" s="750"/>
      <c r="G2921" s="751"/>
      <c r="H2921" s="756" t="s">
        <v>2886</v>
      </c>
      <c r="I2921" s="750"/>
      <c r="J2921" s="816"/>
      <c r="K2921" s="750"/>
      <c r="W2921" s="361"/>
    </row>
    <row r="2922" spans="6:23" ht="15.75">
      <c r="F2922" s="750"/>
      <c r="G2922" s="751"/>
      <c r="H2922" s="750"/>
      <c r="I2922" s="750"/>
      <c r="J2922" s="816"/>
      <c r="K2922" s="750"/>
      <c r="W2922" s="361"/>
    </row>
    <row r="2923" spans="6:23" ht="15.75">
      <c r="F2923" s="818"/>
      <c r="G2923" s="751"/>
      <c r="H2923" s="750" t="s">
        <v>2887</v>
      </c>
      <c r="I2923" s="750"/>
      <c r="J2923" s="751"/>
      <c r="K2923" s="750"/>
      <c r="W2923" s="361"/>
    </row>
    <row r="2924" spans="6:23" ht="15.75">
      <c r="F2924" s="769"/>
      <c r="G2924" s="751"/>
      <c r="H2924" s="750" t="s">
        <v>2888</v>
      </c>
      <c r="I2924" s="750"/>
      <c r="J2924" s="751"/>
      <c r="K2924" s="750"/>
      <c r="W2924" s="361"/>
    </row>
    <row r="2925" spans="6:23" ht="15.75">
      <c r="F2925" s="750"/>
      <c r="G2925" s="751"/>
      <c r="H2925" s="816" t="s">
        <v>2889</v>
      </c>
      <c r="I2925" s="750"/>
      <c r="J2925" s="754"/>
      <c r="K2925" s="750"/>
      <c r="P2925" s="35">
        <f>0.35*4</f>
        <v>1.4</v>
      </c>
      <c r="W2925" s="361"/>
    </row>
    <row r="2926" spans="6:23" ht="15.75">
      <c r="F2926" s="750"/>
      <c r="G2926" s="751"/>
      <c r="H2926" s="760" t="s">
        <v>2890</v>
      </c>
      <c r="I2926" s="756"/>
      <c r="J2926" s="755"/>
      <c r="K2926" s="756"/>
      <c r="P2926" s="35">
        <f>0.3*4</f>
        <v>1.2</v>
      </c>
      <c r="W2926" s="361"/>
    </row>
    <row r="2927" spans="6:23" ht="15.75">
      <c r="F2927" s="750"/>
      <c r="G2927" s="751"/>
      <c r="H2927" s="750" t="s">
        <v>2891</v>
      </c>
      <c r="I2927" s="750"/>
      <c r="J2927" s="816"/>
      <c r="K2927" s="750"/>
      <c r="P2927" s="35">
        <f>1.28*2</f>
        <v>2.56</v>
      </c>
      <c r="W2927" s="361"/>
    </row>
    <row r="2928" spans="6:23" ht="15.75">
      <c r="F2928" s="750"/>
      <c r="G2928" s="751"/>
      <c r="H2928" s="756" t="s">
        <v>2892</v>
      </c>
      <c r="I2928" s="750"/>
      <c r="J2928" s="816"/>
      <c r="K2928" s="750"/>
      <c r="P2928" s="35" t="s">
        <v>2893</v>
      </c>
      <c r="W2928" s="361"/>
    </row>
    <row r="2929" spans="6:23" ht="15.75">
      <c r="F2929" s="818">
        <v>3.5999999999999997E-2</v>
      </c>
      <c r="G2929" s="751" t="s">
        <v>793</v>
      </c>
      <c r="H2929" s="750" t="s">
        <v>2894</v>
      </c>
      <c r="I2929" s="750">
        <f>K2915</f>
        <v>8360.429933999998</v>
      </c>
      <c r="J2929" s="751" t="s">
        <v>793</v>
      </c>
      <c r="K2929" s="750">
        <f>F2929*I2929</f>
        <v>300.97547762399989</v>
      </c>
      <c r="W2929" s="361"/>
    </row>
    <row r="2930" spans="6:23" ht="15.75">
      <c r="F2930" s="769">
        <v>3.0649999999999999</v>
      </c>
      <c r="G2930" s="751" t="s">
        <v>480</v>
      </c>
      <c r="H2930" s="828" t="s">
        <v>2895</v>
      </c>
      <c r="I2930" s="750">
        <f>K1584/1000</f>
        <v>97.666477820000011</v>
      </c>
      <c r="J2930" s="751" t="s">
        <v>480</v>
      </c>
      <c r="K2930" s="750">
        <f>F2930*I2930</f>
        <v>299.34775451830001</v>
      </c>
      <c r="W2930" s="361"/>
    </row>
    <row r="2931" spans="6:23" ht="15.75">
      <c r="F2931" s="769">
        <v>0.79800000000000004</v>
      </c>
      <c r="G2931" s="751" t="s">
        <v>478</v>
      </c>
      <c r="H2931" s="750" t="s">
        <v>2896</v>
      </c>
      <c r="I2931" s="750">
        <f>I2360</f>
        <v>1329.8766599999999</v>
      </c>
      <c r="J2931" s="751" t="s">
        <v>478</v>
      </c>
      <c r="K2931" s="750">
        <f>F2931*I2931</f>
        <v>1061.24157468</v>
      </c>
      <c r="W2931" s="361"/>
    </row>
    <row r="2932" spans="6:23" ht="15.75">
      <c r="F2932" s="750"/>
      <c r="G2932" s="751"/>
      <c r="H2932" s="755" t="s">
        <v>2897</v>
      </c>
      <c r="I2932" s="756"/>
      <c r="J2932" s="755" t="s">
        <v>2807</v>
      </c>
      <c r="K2932" s="756">
        <f>SUM(K2929:K2931)</f>
        <v>1661.5648068222999</v>
      </c>
      <c r="W2932" s="361"/>
    </row>
    <row r="2933" spans="6:23" ht="15.75">
      <c r="F2933" s="818"/>
      <c r="G2933" s="751"/>
      <c r="H2933" s="755" t="s">
        <v>2576</v>
      </c>
      <c r="I2933" s="750"/>
      <c r="J2933" s="755" t="s">
        <v>2807</v>
      </c>
      <c r="K2933" s="756">
        <f>K2932/2.1</f>
        <v>791.22133658204757</v>
      </c>
      <c r="W2933" s="361"/>
    </row>
    <row r="2934" spans="6:23" ht="15.75">
      <c r="F2934" s="769"/>
      <c r="G2934" s="751"/>
      <c r="H2934" s="750"/>
      <c r="I2934" s="750"/>
      <c r="J2934" s="751"/>
      <c r="K2934" s="750"/>
      <c r="W2934" s="361"/>
    </row>
    <row r="2935" spans="6:23" ht="15.75">
      <c r="F2935" s="750"/>
      <c r="G2935" s="751"/>
      <c r="H2935" s="754"/>
      <c r="I2935" s="750"/>
      <c r="J2935" s="754"/>
      <c r="K2935" s="750"/>
      <c r="W2935" s="361"/>
    </row>
    <row r="2936" spans="6:23" ht="15.75">
      <c r="F2936" s="750"/>
      <c r="G2936" s="751"/>
      <c r="H2936" s="755"/>
      <c r="I2936" s="756"/>
      <c r="J2936" s="755"/>
      <c r="K2936" s="756"/>
      <c r="W2936" s="361"/>
    </row>
    <row r="2937" spans="6:23" ht="15.75">
      <c r="F2937" s="750"/>
      <c r="G2937" s="751"/>
      <c r="H2937" s="756" t="s">
        <v>2898</v>
      </c>
      <c r="I2937" s="750"/>
      <c r="J2937" s="816"/>
      <c r="K2937" s="750"/>
      <c r="W2937" s="361"/>
    </row>
    <row r="2938" spans="6:23" ht="15.75">
      <c r="F2938" s="818">
        <v>3.5999999999999997E-2</v>
      </c>
      <c r="G2938" s="751" t="s">
        <v>793</v>
      </c>
      <c r="H2938" s="750" t="s">
        <v>2894</v>
      </c>
      <c r="I2938" s="750">
        <f>K2916</f>
        <v>8643.7499339999977</v>
      </c>
      <c r="J2938" s="751" t="s">
        <v>793</v>
      </c>
      <c r="K2938" s="750">
        <f>F2938*I2938</f>
        <v>311.1749976239999</v>
      </c>
      <c r="W2938" s="361"/>
    </row>
    <row r="2939" spans="6:23" ht="15.75">
      <c r="F2939" s="769">
        <v>3.0649999999999999</v>
      </c>
      <c r="G2939" s="751" t="s">
        <v>480</v>
      </c>
      <c r="H2939" s="828" t="s">
        <v>2895</v>
      </c>
      <c r="I2939" s="750">
        <f>K1584/1000</f>
        <v>97.666477820000011</v>
      </c>
      <c r="J2939" s="751" t="s">
        <v>480</v>
      </c>
      <c r="K2939" s="750">
        <f>F2939*I2939</f>
        <v>299.34775451830001</v>
      </c>
      <c r="W2939" s="361"/>
    </row>
    <row r="2940" spans="6:23" ht="15.75">
      <c r="F2940" s="769">
        <v>0.79800000000000004</v>
      </c>
      <c r="G2940" s="751" t="s">
        <v>478</v>
      </c>
      <c r="H2940" s="750" t="s">
        <v>2896</v>
      </c>
      <c r="I2940" s="750">
        <f>I2360</f>
        <v>1329.8766599999999</v>
      </c>
      <c r="J2940" s="751" t="s">
        <v>478</v>
      </c>
      <c r="K2940" s="750">
        <f>F2940*I2940</f>
        <v>1061.24157468</v>
      </c>
      <c r="W2940" s="361"/>
    </row>
    <row r="2941" spans="6:23" ht="15.75">
      <c r="F2941" s="750"/>
      <c r="G2941" s="751"/>
      <c r="H2941" s="755" t="s">
        <v>2897</v>
      </c>
      <c r="I2941" s="756"/>
      <c r="J2941" s="755" t="s">
        <v>2807</v>
      </c>
      <c r="K2941" s="756">
        <f>SUM(K2938:K2940)</f>
        <v>1671.7643268222998</v>
      </c>
      <c r="W2941" s="361"/>
    </row>
    <row r="2942" spans="6:23" ht="15.75">
      <c r="F2942" s="818"/>
      <c r="G2942" s="751"/>
      <c r="H2942" s="755" t="s">
        <v>2576</v>
      </c>
      <c r="I2942" s="750"/>
      <c r="J2942" s="755" t="s">
        <v>2807</v>
      </c>
      <c r="K2942" s="756">
        <f>K2941/2.1</f>
        <v>796.07825086776177</v>
      </c>
      <c r="W2942" s="361"/>
    </row>
    <row r="2943" spans="6:23" ht="15.75">
      <c r="F2943" s="769"/>
      <c r="G2943" s="751"/>
      <c r="H2943" s="750"/>
      <c r="I2943" s="750"/>
      <c r="J2943" s="751"/>
      <c r="K2943" s="750"/>
      <c r="W2943" s="361"/>
    </row>
    <row r="2944" spans="6:23" ht="15.75">
      <c r="F2944" s="750"/>
      <c r="G2944" s="751"/>
      <c r="H2944" s="750"/>
      <c r="I2944" s="750"/>
      <c r="J2944" s="816"/>
      <c r="K2944" s="750"/>
      <c r="W2944" s="361"/>
    </row>
    <row r="2945" spans="6:23" ht="15.75">
      <c r="F2945" s="750"/>
      <c r="G2945" s="751"/>
      <c r="H2945" s="750"/>
      <c r="I2945" s="750"/>
      <c r="J2945" s="816"/>
      <c r="K2945" s="750"/>
      <c r="W2945" s="361"/>
    </row>
    <row r="2946" spans="6:23" ht="15.75">
      <c r="F2946" s="750"/>
      <c r="G2946" s="751"/>
      <c r="H2946" s="750"/>
      <c r="I2946" s="750"/>
      <c r="J2946" s="816"/>
      <c r="K2946" s="750"/>
      <c r="W2946" s="361"/>
    </row>
    <row r="2947" spans="6:23" ht="15.75">
      <c r="F2947" s="750"/>
      <c r="G2947" s="751"/>
      <c r="H2947" s="756" t="s">
        <v>2899</v>
      </c>
      <c r="I2947" s="750"/>
      <c r="J2947" s="816"/>
      <c r="K2947" s="750"/>
      <c r="W2947" s="361"/>
    </row>
    <row r="2948" spans="6:23" ht="15.75">
      <c r="F2948" s="818">
        <v>3.5999999999999997E-2</v>
      </c>
      <c r="G2948" s="751" t="s">
        <v>793</v>
      </c>
      <c r="H2948" s="750" t="s">
        <v>2894</v>
      </c>
      <c r="I2948" s="750">
        <f>K2917</f>
        <v>8927.0699339999974</v>
      </c>
      <c r="J2948" s="751" t="s">
        <v>793</v>
      </c>
      <c r="K2948" s="750">
        <f>F2948*I2948</f>
        <v>321.37451762399991</v>
      </c>
      <c r="W2948" s="361"/>
    </row>
    <row r="2949" spans="6:23" ht="15.75">
      <c r="F2949" s="769">
        <v>3.0649999999999999</v>
      </c>
      <c r="G2949" s="751" t="s">
        <v>480</v>
      </c>
      <c r="H2949" s="828" t="s">
        <v>2895</v>
      </c>
      <c r="I2949" s="750">
        <f>I2930</f>
        <v>97.666477820000011</v>
      </c>
      <c r="J2949" s="751" t="s">
        <v>480</v>
      </c>
      <c r="K2949" s="750">
        <f>F2949*I2949</f>
        <v>299.34775451830001</v>
      </c>
      <c r="W2949" s="361"/>
    </row>
    <row r="2950" spans="6:23" ht="15.75">
      <c r="F2950" s="769">
        <v>0.79800000000000004</v>
      </c>
      <c r="G2950" s="751" t="s">
        <v>478</v>
      </c>
      <c r="H2950" s="750" t="s">
        <v>2896</v>
      </c>
      <c r="I2950" s="750">
        <f>I2931</f>
        <v>1329.8766599999999</v>
      </c>
      <c r="J2950" s="751" t="s">
        <v>478</v>
      </c>
      <c r="K2950" s="750">
        <f>F2950*I2950</f>
        <v>1061.24157468</v>
      </c>
      <c r="W2950" s="361"/>
    </row>
    <row r="2951" spans="6:23" ht="15.75">
      <c r="F2951" s="750"/>
      <c r="G2951" s="751"/>
      <c r="H2951" s="755" t="s">
        <v>2897</v>
      </c>
      <c r="I2951" s="756"/>
      <c r="J2951" s="755" t="s">
        <v>2807</v>
      </c>
      <c r="K2951" s="756">
        <f>SUM(K2948:K2950)</f>
        <v>1681.9638468223</v>
      </c>
      <c r="W2951" s="361"/>
    </row>
    <row r="2952" spans="6:23" ht="15.75">
      <c r="F2952" s="818"/>
      <c r="G2952" s="751"/>
      <c r="H2952" s="755" t="s">
        <v>2576</v>
      </c>
      <c r="I2952" s="750"/>
      <c r="J2952" s="755" t="s">
        <v>2807</v>
      </c>
      <c r="K2952" s="756">
        <f>K2951/2.1</f>
        <v>800.93516515347619</v>
      </c>
      <c r="W2952" s="361"/>
    </row>
    <row r="2953" spans="6:23" ht="15.75">
      <c r="F2953" s="769"/>
      <c r="G2953" s="751"/>
      <c r="H2953" s="750"/>
      <c r="I2953" s="750"/>
      <c r="J2953" s="751"/>
      <c r="K2953" s="750"/>
      <c r="W2953" s="361"/>
    </row>
    <row r="2954" spans="6:23" ht="15.75">
      <c r="F2954" s="750"/>
      <c r="G2954" s="751"/>
      <c r="H2954" s="750"/>
      <c r="I2954" s="750"/>
      <c r="J2954" s="816"/>
      <c r="K2954" s="750"/>
      <c r="W2954" s="361"/>
    </row>
    <row r="2955" spans="6:23" ht="15.75">
      <c r="F2955" s="750"/>
      <c r="G2955" s="751"/>
      <c r="H2955" s="750"/>
      <c r="I2955" s="750"/>
      <c r="J2955" s="816"/>
      <c r="K2955" s="750"/>
      <c r="W2955" s="361"/>
    </row>
    <row r="2956" spans="6:23" ht="15.75">
      <c r="F2956" s="750"/>
      <c r="G2956" s="751"/>
      <c r="H2956" s="756" t="s">
        <v>2900</v>
      </c>
      <c r="I2956" s="750"/>
      <c r="J2956" s="816"/>
      <c r="K2956" s="750"/>
      <c r="W2956" s="361"/>
    </row>
    <row r="2957" spans="6:23" ht="15.75">
      <c r="F2957" s="818">
        <v>3.5999999999999997E-2</v>
      </c>
      <c r="G2957" s="751" t="s">
        <v>793</v>
      </c>
      <c r="H2957" s="750" t="s">
        <v>2894</v>
      </c>
      <c r="I2957" s="750">
        <f>K2918</f>
        <v>9210.3899339999971</v>
      </c>
      <c r="J2957" s="751" t="s">
        <v>793</v>
      </c>
      <c r="K2957" s="750">
        <f>F2957*I2957</f>
        <v>331.57403762399986</v>
      </c>
      <c r="W2957" s="361"/>
    </row>
    <row r="2958" spans="6:23" ht="15.75">
      <c r="F2958" s="769">
        <v>3.0649999999999999</v>
      </c>
      <c r="G2958" s="751" t="s">
        <v>480</v>
      </c>
      <c r="H2958" s="828" t="s">
        <v>2895</v>
      </c>
      <c r="I2958" s="750">
        <f>I2949</f>
        <v>97.666477820000011</v>
      </c>
      <c r="J2958" s="751" t="s">
        <v>480</v>
      </c>
      <c r="K2958" s="750">
        <f>F2958*I2958</f>
        <v>299.34775451830001</v>
      </c>
      <c r="W2958" s="361"/>
    </row>
    <row r="2959" spans="6:23" ht="15.75">
      <c r="F2959" s="769">
        <v>0.79800000000000004</v>
      </c>
      <c r="G2959" s="751" t="s">
        <v>478</v>
      </c>
      <c r="H2959" s="750" t="s">
        <v>2896</v>
      </c>
      <c r="I2959" s="750">
        <f>I2950</f>
        <v>1329.8766599999999</v>
      </c>
      <c r="J2959" s="751" t="s">
        <v>478</v>
      </c>
      <c r="K2959" s="750">
        <f>F2959*I2959</f>
        <v>1061.24157468</v>
      </c>
      <c r="W2959" s="361"/>
    </row>
    <row r="2960" spans="6:23" ht="15.75">
      <c r="F2960" s="750"/>
      <c r="G2960" s="751"/>
      <c r="H2960" s="755" t="s">
        <v>2897</v>
      </c>
      <c r="I2960" s="756"/>
      <c r="J2960" s="755" t="s">
        <v>2807</v>
      </c>
      <c r="K2960" s="756">
        <f>SUM(K2957:K2959)</f>
        <v>1692.1633668222998</v>
      </c>
      <c r="W2960" s="361"/>
    </row>
    <row r="2961" spans="6:23" ht="15.75">
      <c r="F2961" s="818"/>
      <c r="G2961" s="751"/>
      <c r="H2961" s="755" t="s">
        <v>2576</v>
      </c>
      <c r="I2961" s="750"/>
      <c r="J2961" s="755" t="s">
        <v>2807</v>
      </c>
      <c r="K2961" s="756">
        <f>K2960/2.1</f>
        <v>805.79207943919039</v>
      </c>
      <c r="W2961" s="361"/>
    </row>
    <row r="2962" spans="6:23" ht="15.75">
      <c r="F2962" s="769"/>
      <c r="G2962" s="751"/>
      <c r="H2962" s="750"/>
      <c r="I2962" s="750"/>
      <c r="J2962" s="751"/>
      <c r="K2962" s="750"/>
      <c r="W2962" s="361"/>
    </row>
    <row r="2963" spans="6:23" ht="15.75">
      <c r="F2963" s="750"/>
      <c r="G2963" s="751"/>
      <c r="H2963" s="750"/>
      <c r="I2963" s="750"/>
      <c r="J2963" s="753"/>
      <c r="K2963" s="750"/>
      <c r="W2963" s="361"/>
    </row>
    <row r="2964" spans="6:23" ht="15.75">
      <c r="F2964" s="750"/>
      <c r="G2964" s="751"/>
      <c r="H2964" s="750"/>
      <c r="I2964" s="750"/>
      <c r="J2964" s="753"/>
      <c r="K2964" s="750"/>
      <c r="W2964" s="361"/>
    </row>
    <row r="2965" spans="6:23" ht="15.75">
      <c r="F2965" s="750"/>
      <c r="G2965" s="751"/>
      <c r="H2965" s="750"/>
      <c r="I2965" s="750">
        <f>160*10.76</f>
        <v>1721.6</v>
      </c>
      <c r="J2965" s="753"/>
      <c r="K2965" s="750"/>
      <c r="W2965" s="361"/>
    </row>
    <row r="2966" spans="6:23" ht="15.75">
      <c r="F2966" s="577" t="s">
        <v>1865</v>
      </c>
      <c r="G2966" s="757" t="s">
        <v>122</v>
      </c>
      <c r="H2966" s="576" t="s">
        <v>2858</v>
      </c>
      <c r="I2966" s="750">
        <f>148*10.76</f>
        <v>1592.48</v>
      </c>
      <c r="J2966" s="753"/>
      <c r="K2966" s="750"/>
      <c r="W2966" s="361"/>
    </row>
    <row r="2967" spans="6:23" ht="15.75">
      <c r="F2967" s="750"/>
      <c r="G2967" s="751"/>
      <c r="H2967" s="576" t="s">
        <v>1867</v>
      </c>
      <c r="I2967" s="750"/>
      <c r="J2967" s="753"/>
      <c r="K2967" s="750"/>
      <c r="W2967" s="361"/>
    </row>
    <row r="2968" spans="6:23" ht="15.75">
      <c r="F2968" s="750"/>
      <c r="G2968" s="751"/>
      <c r="H2968" s="576" t="s">
        <v>1900</v>
      </c>
      <c r="I2968" s="750"/>
      <c r="J2968" s="753"/>
      <c r="K2968" s="750"/>
      <c r="W2968" s="361"/>
    </row>
    <row r="2969" spans="6:23" ht="15.75">
      <c r="F2969" s="750"/>
      <c r="G2969" s="751"/>
      <c r="H2969" s="758" t="s">
        <v>117</v>
      </c>
      <c r="I2969" s="818">
        <f>1.4*2.025</f>
        <v>2.8349999999999995</v>
      </c>
      <c r="J2969" s="753"/>
      <c r="K2969" s="750"/>
      <c r="W2969" s="361"/>
    </row>
    <row r="2970" spans="6:23" ht="15.75">
      <c r="F2970" s="750"/>
      <c r="G2970" s="751"/>
      <c r="H2970" s="576" t="s">
        <v>2901</v>
      </c>
      <c r="I2970" s="750"/>
      <c r="J2970" s="753"/>
      <c r="K2970" s="750"/>
      <c r="W2970" s="361"/>
    </row>
    <row r="2971" spans="6:23" ht="15.75">
      <c r="F2971" s="750"/>
      <c r="G2971" s="751"/>
      <c r="H2971" s="750"/>
      <c r="I2971" s="750"/>
      <c r="J2971" s="753"/>
      <c r="K2971" s="750"/>
      <c r="W2971" s="361"/>
    </row>
    <row r="2972" spans="6:23" ht="45.75">
      <c r="F2972" s="769">
        <v>1.64</v>
      </c>
      <c r="G2972" s="757" t="s">
        <v>107</v>
      </c>
      <c r="H2972" s="767" t="s">
        <v>2902</v>
      </c>
      <c r="I2972" s="829">
        <f>I2836</f>
        <v>2180</v>
      </c>
      <c r="J2972" s="577" t="s">
        <v>107</v>
      </c>
      <c r="K2972" s="750">
        <f>F2973*I2972</f>
        <v>3575.2</v>
      </c>
      <c r="W2972" s="361"/>
    </row>
    <row r="2973" spans="6:23" ht="15.75">
      <c r="F2973" s="793">
        <v>1.64</v>
      </c>
      <c r="G2973" s="757" t="s">
        <v>107</v>
      </c>
      <c r="H2973" s="576" t="s">
        <v>1880</v>
      </c>
      <c r="I2973" s="750">
        <f t="shared" ref="I2973:I2979" si="284">I2837</f>
        <v>256.91999999999996</v>
      </c>
      <c r="J2973" s="577" t="s">
        <v>107</v>
      </c>
      <c r="K2973" s="574">
        <f t="shared" ref="K2973:K2979" si="285">(F2973*I2973)</f>
        <v>421.34879999999993</v>
      </c>
      <c r="O2973" s="576" t="s">
        <v>2858</v>
      </c>
      <c r="W2973" s="361"/>
    </row>
    <row r="2974" spans="6:23" ht="15.75">
      <c r="F2974" s="574">
        <v>2</v>
      </c>
      <c r="G2974" s="757" t="s">
        <v>223</v>
      </c>
      <c r="H2974" s="576" t="s">
        <v>1881</v>
      </c>
      <c r="I2974" s="750">
        <f t="shared" si="284"/>
        <v>57.65</v>
      </c>
      <c r="J2974" s="577" t="s">
        <v>151</v>
      </c>
      <c r="K2974" s="574">
        <f t="shared" si="285"/>
        <v>115.3</v>
      </c>
      <c r="O2974" s="576" t="s">
        <v>1867</v>
      </c>
      <c r="W2974" s="361"/>
    </row>
    <row r="2975" spans="6:23" ht="15.75">
      <c r="F2975" s="574">
        <v>3</v>
      </c>
      <c r="G2975" s="757" t="s">
        <v>151</v>
      </c>
      <c r="H2975" s="576" t="s">
        <v>1882</v>
      </c>
      <c r="I2975" s="750">
        <f t="shared" si="284"/>
        <v>89.6</v>
      </c>
      <c r="J2975" s="577" t="s">
        <v>151</v>
      </c>
      <c r="K2975" s="574">
        <f t="shared" si="285"/>
        <v>268.79999999999995</v>
      </c>
      <c r="O2975" s="576" t="s">
        <v>2903</v>
      </c>
      <c r="W2975" s="361"/>
    </row>
    <row r="2976" spans="6:23" ht="15.75">
      <c r="F2976" s="574">
        <v>2</v>
      </c>
      <c r="G2976" s="757" t="s">
        <v>151</v>
      </c>
      <c r="H2976" s="576" t="s">
        <v>1884</v>
      </c>
      <c r="I2976" s="750">
        <f t="shared" si="284"/>
        <v>64.8</v>
      </c>
      <c r="J2976" s="577" t="s">
        <v>151</v>
      </c>
      <c r="K2976" s="574">
        <f t="shared" si="285"/>
        <v>129.6</v>
      </c>
      <c r="O2976" s="758" t="s">
        <v>117</v>
      </c>
      <c r="W2976" s="361"/>
    </row>
    <row r="2977" spans="6:23" ht="15.75">
      <c r="F2977" s="574">
        <v>1</v>
      </c>
      <c r="G2977" s="757" t="s">
        <v>151</v>
      </c>
      <c r="H2977" s="576" t="s">
        <v>1886</v>
      </c>
      <c r="I2977" s="750">
        <f t="shared" si="284"/>
        <v>181</v>
      </c>
      <c r="J2977" s="577" t="s">
        <v>151</v>
      </c>
      <c r="K2977" s="574">
        <f t="shared" si="285"/>
        <v>181</v>
      </c>
      <c r="L2977" s="35" t="s">
        <v>114</v>
      </c>
      <c r="O2977" s="576" t="s">
        <v>2904</v>
      </c>
      <c r="W2977" s="361"/>
    </row>
    <row r="2978" spans="6:23" ht="15.75">
      <c r="F2978" s="574">
        <v>1</v>
      </c>
      <c r="G2978" s="757" t="s">
        <v>151</v>
      </c>
      <c r="H2978" s="576" t="s">
        <v>1888</v>
      </c>
      <c r="I2978" s="750">
        <f t="shared" si="284"/>
        <v>7.3</v>
      </c>
      <c r="J2978" s="577" t="s">
        <v>151</v>
      </c>
      <c r="K2978" s="574">
        <f t="shared" si="285"/>
        <v>7.3</v>
      </c>
      <c r="W2978" s="361"/>
    </row>
    <row r="2979" spans="6:23" ht="45.75">
      <c r="F2979" s="574">
        <v>1</v>
      </c>
      <c r="G2979" s="757" t="s">
        <v>151</v>
      </c>
      <c r="H2979" s="576" t="s">
        <v>995</v>
      </c>
      <c r="I2979" s="750">
        <f t="shared" si="284"/>
        <v>49.55</v>
      </c>
      <c r="J2979" s="577" t="s">
        <v>151</v>
      </c>
      <c r="K2979" s="574">
        <f t="shared" si="285"/>
        <v>49.55</v>
      </c>
      <c r="M2979" s="769">
        <v>2.2549999999999999</v>
      </c>
      <c r="N2979" s="757" t="s">
        <v>107</v>
      </c>
      <c r="O2979" s="767" t="s">
        <v>2902</v>
      </c>
      <c r="P2979" s="750">
        <f>I2972</f>
        <v>2180</v>
      </c>
      <c r="Q2979" s="577" t="s">
        <v>107</v>
      </c>
      <c r="R2979" s="750">
        <f>M2980*P2979</f>
        <v>4915.8999999999996</v>
      </c>
      <c r="W2979" s="361"/>
    </row>
    <row r="2980" spans="6:23" ht="15.75">
      <c r="F2980" s="750"/>
      <c r="G2980" s="751"/>
      <c r="H2980" s="750"/>
      <c r="I2980" s="750"/>
      <c r="J2980" s="753"/>
      <c r="K2980" s="762">
        <v>0.63</v>
      </c>
      <c r="M2980" s="793">
        <v>2.2549999999999999</v>
      </c>
      <c r="N2980" s="757" t="s">
        <v>107</v>
      </c>
      <c r="O2980" s="576" t="s">
        <v>1880</v>
      </c>
      <c r="P2980" s="750">
        <f t="shared" ref="P2980:P2986" si="286">I2973</f>
        <v>256.91999999999996</v>
      </c>
      <c r="Q2980" s="577" t="s">
        <v>107</v>
      </c>
      <c r="R2980" s="574">
        <f t="shared" ref="R2980:R2986" si="287">(M2980*P2980)</f>
        <v>579.35459999999989</v>
      </c>
      <c r="W2980" s="361"/>
    </row>
    <row r="2981" spans="6:23" ht="15.75">
      <c r="F2981" s="750"/>
      <c r="G2981" s="751"/>
      <c r="H2981" s="576" t="s">
        <v>2905</v>
      </c>
      <c r="I2981" s="750"/>
      <c r="J2981" s="753"/>
      <c r="K2981" s="574">
        <f>SUM(K2972:K2980)</f>
        <v>4748.7288000000008</v>
      </c>
      <c r="M2981" s="574">
        <v>2</v>
      </c>
      <c r="N2981" s="757" t="s">
        <v>223</v>
      </c>
      <c r="O2981" s="576" t="s">
        <v>1881</v>
      </c>
      <c r="P2981" s="750">
        <f t="shared" si="286"/>
        <v>57.65</v>
      </c>
      <c r="Q2981" s="577" t="s">
        <v>151</v>
      </c>
      <c r="R2981" s="574">
        <f t="shared" si="287"/>
        <v>115.3</v>
      </c>
      <c r="W2981" s="361"/>
    </row>
    <row r="2982" spans="6:23" ht="15.75">
      <c r="F2982" s="750"/>
      <c r="G2982" s="751"/>
      <c r="H2982" s="750"/>
      <c r="I2982" s="750"/>
      <c r="J2982" s="753"/>
      <c r="K2982" s="758" t="s">
        <v>117</v>
      </c>
      <c r="M2982" s="574">
        <v>3</v>
      </c>
      <c r="N2982" s="757" t="s">
        <v>151</v>
      </c>
      <c r="O2982" s="576" t="s">
        <v>1882</v>
      </c>
      <c r="P2982" s="750">
        <f t="shared" si="286"/>
        <v>89.6</v>
      </c>
      <c r="Q2982" s="577" t="s">
        <v>151</v>
      </c>
      <c r="R2982" s="574">
        <f t="shared" si="287"/>
        <v>268.79999999999995</v>
      </c>
      <c r="W2982" s="361"/>
    </row>
    <row r="2983" spans="6:23" ht="15.75">
      <c r="F2983" s="750"/>
      <c r="G2983" s="751"/>
      <c r="H2983" s="576" t="s">
        <v>177</v>
      </c>
      <c r="I2983" s="750"/>
      <c r="J2983" s="753"/>
      <c r="K2983" s="574">
        <f>K2981/F2973</f>
        <v>2895.5663414634155</v>
      </c>
      <c r="M2983" s="574">
        <v>2</v>
      </c>
      <c r="N2983" s="757" t="s">
        <v>151</v>
      </c>
      <c r="O2983" s="576" t="s">
        <v>1884</v>
      </c>
      <c r="P2983" s="750">
        <f t="shared" si="286"/>
        <v>64.8</v>
      </c>
      <c r="Q2983" s="577" t="s">
        <v>151</v>
      </c>
      <c r="R2983" s="574">
        <f t="shared" si="287"/>
        <v>129.6</v>
      </c>
      <c r="W2983" s="361"/>
    </row>
    <row r="2984" spans="6:23" ht="15.75">
      <c r="F2984" s="576" t="s">
        <v>114</v>
      </c>
      <c r="G2984" s="751"/>
      <c r="H2984" s="750"/>
      <c r="I2984" s="750"/>
      <c r="J2984" s="753"/>
      <c r="K2984" s="750"/>
      <c r="M2984" s="574">
        <v>1</v>
      </c>
      <c r="N2984" s="757" t="s">
        <v>151</v>
      </c>
      <c r="O2984" s="576" t="s">
        <v>1886</v>
      </c>
      <c r="P2984" s="750">
        <f t="shared" si="286"/>
        <v>181</v>
      </c>
      <c r="Q2984" s="577" t="s">
        <v>151</v>
      </c>
      <c r="R2984" s="574">
        <f t="shared" si="287"/>
        <v>181</v>
      </c>
      <c r="W2984" s="361"/>
    </row>
    <row r="2985" spans="6:23" ht="15.75">
      <c r="F2985" s="750"/>
      <c r="G2985" s="751"/>
      <c r="H2985" s="750"/>
      <c r="I2985" s="750"/>
      <c r="J2985" s="753"/>
      <c r="K2985" s="750"/>
      <c r="M2985" s="574">
        <v>1</v>
      </c>
      <c r="N2985" s="757" t="s">
        <v>151</v>
      </c>
      <c r="O2985" s="576" t="s">
        <v>1888</v>
      </c>
      <c r="P2985" s="750">
        <f t="shared" si="286"/>
        <v>7.3</v>
      </c>
      <c r="Q2985" s="577" t="s">
        <v>151</v>
      </c>
      <c r="R2985" s="574">
        <f t="shared" si="287"/>
        <v>7.3</v>
      </c>
      <c r="W2985" s="361"/>
    </row>
    <row r="2986" spans="6:23" ht="15.75">
      <c r="F2986" s="775" t="s">
        <v>2906</v>
      </c>
      <c r="G2986" s="778"/>
      <c r="H2986" s="775"/>
      <c r="I2986" s="775"/>
      <c r="J2986" s="776"/>
      <c r="K2986" s="775"/>
      <c r="M2986" s="574">
        <v>1</v>
      </c>
      <c r="N2986" s="757" t="s">
        <v>151</v>
      </c>
      <c r="O2986" s="576" t="s">
        <v>995</v>
      </c>
      <c r="P2986" s="750">
        <f t="shared" si="286"/>
        <v>49.55</v>
      </c>
      <c r="Q2986" s="577" t="s">
        <v>151</v>
      </c>
      <c r="R2986" s="574">
        <f t="shared" si="287"/>
        <v>49.55</v>
      </c>
      <c r="W2986" s="361"/>
    </row>
    <row r="2987" spans="6:23" ht="15.75">
      <c r="F2987" s="775"/>
      <c r="G2987" s="778"/>
      <c r="H2987" s="775"/>
      <c r="I2987" s="775"/>
      <c r="J2987" s="776"/>
      <c r="K2987" s="775"/>
      <c r="M2987" s="750"/>
      <c r="N2987" s="751"/>
      <c r="O2987" s="750"/>
      <c r="P2987" s="750"/>
      <c r="Q2987" s="753"/>
      <c r="R2987" s="758" t="s">
        <v>117</v>
      </c>
      <c r="W2987" s="361"/>
    </row>
    <row r="2988" spans="6:23" ht="15.75">
      <c r="F2988" s="775" t="s">
        <v>2907</v>
      </c>
      <c r="G2988" s="778"/>
      <c r="H2988" s="775"/>
      <c r="I2988" s="775"/>
      <c r="J2988" s="776"/>
      <c r="K2988" s="775"/>
      <c r="M2988" s="750"/>
      <c r="N2988" s="751"/>
      <c r="O2988" s="576" t="s">
        <v>2908</v>
      </c>
      <c r="P2988" s="750"/>
      <c r="Q2988" s="753"/>
      <c r="R2988" s="574">
        <f>SUM(R2979:R2986)+0.17</f>
        <v>6246.9746000000005</v>
      </c>
      <c r="W2988" s="361"/>
    </row>
    <row r="2989" spans="6:23" ht="15.75">
      <c r="F2989" s="775"/>
      <c r="G2989" s="778"/>
      <c r="H2989" s="775"/>
      <c r="I2989" s="775"/>
      <c r="J2989" s="776"/>
      <c r="K2989" s="775"/>
      <c r="M2989" s="750"/>
      <c r="N2989" s="751"/>
      <c r="O2989" s="750"/>
      <c r="P2989" s="750"/>
      <c r="Q2989" s="753"/>
      <c r="R2989" s="758" t="s">
        <v>117</v>
      </c>
      <c r="W2989" s="361"/>
    </row>
    <row r="2990" spans="6:23" ht="15.75">
      <c r="F2990" s="775"/>
      <c r="G2990" s="830">
        <v>0.99350000000000005</v>
      </c>
      <c r="H2990" s="775" t="s">
        <v>793</v>
      </c>
      <c r="I2990" s="775"/>
      <c r="J2990" s="776"/>
      <c r="K2990" s="775"/>
      <c r="M2990" s="750"/>
      <c r="N2990" s="751"/>
      <c r="O2990" s="576" t="s">
        <v>177</v>
      </c>
      <c r="P2990" s="750"/>
      <c r="Q2990" s="753"/>
      <c r="R2990" s="574">
        <f>R2988/M2980</f>
        <v>2770.2769844789359</v>
      </c>
      <c r="W2990" s="361"/>
    </row>
    <row r="2991" spans="6:23" ht="15.75">
      <c r="F2991" s="775"/>
      <c r="G2991" s="778"/>
      <c r="H2991" s="775"/>
      <c r="I2991" s="775"/>
      <c r="J2991" s="776"/>
      <c r="K2991" s="775"/>
      <c r="W2991" s="361"/>
    </row>
    <row r="2992" spans="6:23" ht="15.75">
      <c r="F2992" s="786" t="s">
        <v>202</v>
      </c>
      <c r="G2992" s="778"/>
      <c r="H2992" s="775"/>
      <c r="I2992" s="775"/>
      <c r="J2992" s="776"/>
      <c r="K2992" s="775"/>
      <c r="W2992" s="361"/>
    </row>
    <row r="2993" spans="6:23" ht="15.75">
      <c r="F2993" s="775"/>
      <c r="G2993" s="778"/>
      <c r="H2993" s="775"/>
      <c r="I2993" s="775"/>
      <c r="J2993" s="776"/>
      <c r="K2993" s="775"/>
      <c r="W2993" s="361"/>
    </row>
    <row r="2994" spans="6:23" ht="15.75">
      <c r="F2994" s="831">
        <v>0.42</v>
      </c>
      <c r="G2994" s="778" t="s">
        <v>793</v>
      </c>
      <c r="H2994" s="775" t="s">
        <v>2909</v>
      </c>
      <c r="I2994" s="775">
        <f>K819</f>
        <v>9546.6864120000009</v>
      </c>
      <c r="J2994" s="782" t="s">
        <v>793</v>
      </c>
      <c r="K2994" s="775">
        <f>F2994*I2994</f>
        <v>4009.6082930400003</v>
      </c>
      <c r="W2994" s="361"/>
    </row>
    <row r="2995" spans="6:23" ht="15.75">
      <c r="F2995" s="775">
        <v>0.25</v>
      </c>
      <c r="G2995" s="778" t="s">
        <v>292</v>
      </c>
      <c r="H2995" s="775" t="s">
        <v>1551</v>
      </c>
      <c r="I2995" s="775">
        <f>C11</f>
        <v>1118.3999999999999</v>
      </c>
      <c r="J2995" s="782" t="s">
        <v>194</v>
      </c>
      <c r="K2995" s="775">
        <f>F2995*I2995</f>
        <v>279.59999999999997</v>
      </c>
      <c r="W2995" s="361"/>
    </row>
    <row r="2996" spans="6:23" ht="15.75">
      <c r="F2996" s="775">
        <v>3.5</v>
      </c>
      <c r="G2996" s="778" t="s">
        <v>192</v>
      </c>
      <c r="H2996" s="775" t="s">
        <v>196</v>
      </c>
      <c r="I2996" s="775">
        <f>C12</f>
        <v>781.19999999999993</v>
      </c>
      <c r="J2996" s="782" t="s">
        <v>194</v>
      </c>
      <c r="K2996" s="775">
        <f>F2996*I2996</f>
        <v>2734.2</v>
      </c>
      <c r="W2996" s="361"/>
    </row>
    <row r="2997" spans="6:23" ht="15.75">
      <c r="F2997" s="832">
        <v>32.1</v>
      </c>
      <c r="G2997" s="833" t="s">
        <v>213</v>
      </c>
      <c r="H2997" s="832" t="s">
        <v>2910</v>
      </c>
      <c r="I2997" s="775"/>
      <c r="J2997" s="782"/>
      <c r="K2997" s="775">
        <f>(F2997*I2997)/1000</f>
        <v>0</v>
      </c>
      <c r="W2997" s="361"/>
    </row>
    <row r="2998" spans="6:23" ht="15.75">
      <c r="F2998" s="775"/>
      <c r="G2998" s="775" t="s">
        <v>2837</v>
      </c>
      <c r="H2998" s="775" t="s">
        <v>2838</v>
      </c>
      <c r="I2998" s="775"/>
      <c r="J2998" s="782" t="s">
        <v>2667</v>
      </c>
      <c r="K2998" s="775">
        <f>(K2995+K2996)*10%</f>
        <v>301.38</v>
      </c>
      <c r="W2998" s="361"/>
    </row>
    <row r="2999" spans="6:23" ht="15.75">
      <c r="F2999" s="775"/>
      <c r="G2999" s="778"/>
      <c r="H2999" s="775"/>
      <c r="I2999" s="775"/>
      <c r="J2999" s="776"/>
      <c r="K2999" s="775" t="s">
        <v>2840</v>
      </c>
      <c r="W2999" s="361"/>
    </row>
    <row r="3000" spans="6:23" ht="15.75">
      <c r="F3000" s="775"/>
      <c r="G3000" s="778"/>
      <c r="H3000" s="775"/>
      <c r="I3000" s="775"/>
      <c r="J3000" s="776"/>
      <c r="K3000" s="775"/>
      <c r="W3000" s="361"/>
    </row>
    <row r="3001" spans="6:23" ht="15.75">
      <c r="F3001" s="775"/>
      <c r="G3001" s="778"/>
      <c r="H3001" s="775"/>
      <c r="I3001" s="775" t="s">
        <v>2911</v>
      </c>
      <c r="J3001" s="776"/>
      <c r="K3001" s="775">
        <f>SUM(K2994:K2998)</f>
        <v>7324.7882930400001</v>
      </c>
      <c r="W3001" s="361"/>
    </row>
    <row r="3002" spans="6:23" ht="15.75">
      <c r="F3002" s="775"/>
      <c r="G3002" s="778"/>
      <c r="H3002" s="775"/>
      <c r="I3002" s="775"/>
      <c r="J3002" s="776"/>
      <c r="K3002" s="775"/>
      <c r="W3002" s="361"/>
    </row>
    <row r="3003" spans="6:23" ht="15.75">
      <c r="F3003" s="775"/>
      <c r="G3003" s="778"/>
      <c r="H3003" s="775"/>
      <c r="I3003" s="775" t="s">
        <v>2842</v>
      </c>
      <c r="J3003" s="776"/>
      <c r="K3003" s="775">
        <f>K3001/3.5</f>
        <v>2092.7966551542859</v>
      </c>
      <c r="W3003" s="361"/>
    </row>
    <row r="3004" spans="6:23" ht="15.75">
      <c r="F3004" s="775"/>
      <c r="G3004" s="774" t="s">
        <v>2912</v>
      </c>
      <c r="H3004" s="775"/>
      <c r="I3004" s="775"/>
      <c r="J3004" s="776"/>
      <c r="K3004" s="775"/>
      <c r="W3004" s="361"/>
    </row>
    <row r="3005" spans="6:23" ht="15.75">
      <c r="F3005" s="750"/>
      <c r="G3005" s="751"/>
      <c r="H3005" s="750"/>
      <c r="I3005" s="750"/>
      <c r="J3005" s="753"/>
      <c r="K3005" s="750"/>
      <c r="W3005" s="361"/>
    </row>
    <row r="3006" spans="6:23" ht="15.75">
      <c r="F3006" s="750">
        <v>1</v>
      </c>
      <c r="G3006" s="778" t="s">
        <v>793</v>
      </c>
      <c r="H3006" s="750" t="s">
        <v>605</v>
      </c>
      <c r="I3006" s="750">
        <f>AE38</f>
        <v>778.59</v>
      </c>
      <c r="J3006" s="782" t="s">
        <v>793</v>
      </c>
      <c r="K3006" s="775">
        <f>F3006*I3006</f>
        <v>778.59</v>
      </c>
      <c r="W3006" s="361"/>
    </row>
    <row r="3007" spans="6:23" ht="15.75">
      <c r="F3007" s="750">
        <v>1</v>
      </c>
      <c r="G3007" s="778" t="s">
        <v>793</v>
      </c>
      <c r="H3007" s="750" t="s">
        <v>2913</v>
      </c>
      <c r="I3007" s="750">
        <f>AG28</f>
        <v>46.74</v>
      </c>
      <c r="J3007" s="782" t="s">
        <v>793</v>
      </c>
      <c r="K3007" s="775">
        <f>F3007*I3007</f>
        <v>46.74</v>
      </c>
      <c r="W3007" s="361"/>
    </row>
    <row r="3008" spans="6:23" ht="15.75">
      <c r="F3008" s="750"/>
      <c r="G3008" s="751"/>
      <c r="H3008" s="750"/>
      <c r="I3008" s="750"/>
      <c r="J3008" s="753"/>
      <c r="K3008" s="756">
        <f>SUM(K3006:K3007)</f>
        <v>825.33</v>
      </c>
      <c r="W3008" s="361"/>
    </row>
    <row r="3009" spans="8:23" ht="15">
      <c r="W3009" s="361"/>
    </row>
    <row r="3010" spans="8:23" ht="15">
      <c r="H3010" s="358" t="s">
        <v>2914</v>
      </c>
      <c r="I3010" s="40"/>
      <c r="J3010" s="361"/>
      <c r="W3010" s="361"/>
    </row>
    <row r="3011" spans="8:23" ht="30">
      <c r="H3011" s="40" t="s">
        <v>2915</v>
      </c>
      <c r="I3011" s="750">
        <v>1020</v>
      </c>
      <c r="J3011" s="361" t="s">
        <v>32</v>
      </c>
      <c r="K3011" s="448">
        <f>I3011</f>
        <v>1020</v>
      </c>
      <c r="W3011" s="361"/>
    </row>
    <row r="3012" spans="8:23" ht="15.75">
      <c r="J3012" s="361"/>
      <c r="K3012" s="497"/>
      <c r="W3012" s="361"/>
    </row>
    <row r="3013" spans="8:23" ht="15.75">
      <c r="J3013" s="361"/>
      <c r="K3013" s="497"/>
      <c r="W3013" s="361"/>
    </row>
    <row r="3014" spans="8:23" ht="15.75">
      <c r="H3014" s="35" t="s">
        <v>2916</v>
      </c>
      <c r="I3014" s="687">
        <v>494.7</v>
      </c>
      <c r="J3014" s="361" t="s">
        <v>32</v>
      </c>
      <c r="K3014" s="448">
        <f>I3014</f>
        <v>494.7</v>
      </c>
      <c r="W3014" s="361"/>
    </row>
    <row r="3015" spans="8:23" ht="15.75">
      <c r="I3015" s="448"/>
      <c r="J3015" s="361"/>
      <c r="K3015" s="448"/>
      <c r="W3015" s="361"/>
    </row>
    <row r="3016" spans="8:23" ht="15.75">
      <c r="H3016" s="35" t="s">
        <v>2917</v>
      </c>
      <c r="I3016" s="687">
        <v>398.3</v>
      </c>
      <c r="J3016" s="361" t="s">
        <v>32</v>
      </c>
      <c r="K3016" s="448">
        <f>I3016</f>
        <v>398.3</v>
      </c>
      <c r="W3016" s="361"/>
    </row>
    <row r="3017" spans="8:23" ht="15.75">
      <c r="J3017" s="361"/>
      <c r="K3017" s="448"/>
      <c r="W3017" s="361"/>
    </row>
    <row r="3018" spans="8:23" ht="15.75">
      <c r="H3018" s="35" t="s">
        <v>2918</v>
      </c>
      <c r="J3018" s="361"/>
      <c r="K3018" s="497"/>
      <c r="W3018" s="361"/>
    </row>
    <row r="3019" spans="8:23" ht="15.75">
      <c r="H3019" s="35" t="s">
        <v>2919</v>
      </c>
      <c r="I3019" s="687">
        <v>995</v>
      </c>
      <c r="J3019" s="361" t="s">
        <v>32</v>
      </c>
      <c r="K3019" s="448">
        <f>I3019</f>
        <v>995</v>
      </c>
      <c r="W3019" s="361"/>
    </row>
    <row r="3020" spans="8:23" ht="15.75">
      <c r="H3020" s="356" t="s">
        <v>2920</v>
      </c>
      <c r="I3020" s="688">
        <f>K2293</f>
        <v>2176.4</v>
      </c>
      <c r="J3020" s="361"/>
      <c r="K3020" s="688">
        <f>I3020</f>
        <v>2176.4</v>
      </c>
      <c r="W3020" s="361"/>
    </row>
    <row r="3021" spans="8:23" ht="15">
      <c r="J3021" s="361"/>
      <c r="W3021" s="361"/>
    </row>
    <row r="3022" spans="8:23" ht="15">
      <c r="J3022" s="361"/>
      <c r="W3022" s="361"/>
    </row>
    <row r="3023" spans="8:23" ht="15">
      <c r="J3023" s="361"/>
      <c r="W3023" s="361"/>
    </row>
    <row r="3024" spans="8:23" ht="15">
      <c r="J3024" s="361"/>
      <c r="W3024" s="361"/>
    </row>
    <row r="3025" spans="8:23" ht="15.75">
      <c r="I3025" s="497"/>
      <c r="J3025" s="361"/>
      <c r="W3025" s="361"/>
    </row>
    <row r="3026" spans="8:23" ht="15">
      <c r="J3026" s="361"/>
      <c r="W3026" s="361"/>
    </row>
    <row r="3027" spans="8:23" ht="15">
      <c r="H3027" s="471"/>
      <c r="J3027" s="361"/>
      <c r="W3027" s="361"/>
    </row>
    <row r="3028" spans="8:23" ht="15">
      <c r="J3028" s="361"/>
      <c r="W3028" s="361"/>
    </row>
    <row r="3029" spans="8:23" ht="15.75">
      <c r="H3029" s="580"/>
      <c r="I3029" s="411"/>
      <c r="J3029" s="437"/>
      <c r="K3029" s="411"/>
      <c r="W3029" s="361"/>
    </row>
    <row r="3030" spans="8:23" ht="15">
      <c r="W3030" s="361"/>
    </row>
    <row r="3031" spans="8:23" ht="15">
      <c r="W3031" s="361"/>
    </row>
    <row r="3032" spans="8:23" ht="15">
      <c r="H3032" s="35" t="s">
        <v>2921</v>
      </c>
      <c r="W3032" s="361"/>
    </row>
    <row r="3033" spans="8:23" ht="15">
      <c r="H3033" s="35" t="s">
        <v>2922</v>
      </c>
      <c r="J3033" s="360" t="s">
        <v>194</v>
      </c>
      <c r="K3033" s="834">
        <v>130</v>
      </c>
      <c r="W3033" s="361"/>
    </row>
    <row r="3034" spans="8:23" ht="15">
      <c r="K3034" s="404"/>
      <c r="W3034" s="361"/>
    </row>
    <row r="3035" spans="8:23" ht="15">
      <c r="H3035" s="35" t="s">
        <v>2923</v>
      </c>
      <c r="J3035" s="360" t="s">
        <v>194</v>
      </c>
      <c r="K3035" s="834">
        <v>170</v>
      </c>
      <c r="W3035" s="361"/>
    </row>
    <row r="3036" spans="8:23" ht="15">
      <c r="K3036" s="404"/>
      <c r="W3036" s="361"/>
    </row>
    <row r="3037" spans="8:23" ht="15">
      <c r="K3037" s="404"/>
      <c r="W3037" s="361"/>
    </row>
    <row r="3038" spans="8:23" ht="15">
      <c r="H3038" s="356" t="s">
        <v>2924</v>
      </c>
      <c r="J3038" s="360" t="s">
        <v>194</v>
      </c>
      <c r="K3038" s="570">
        <v>443</v>
      </c>
      <c r="W3038" s="361"/>
    </row>
    <row r="3039" spans="8:23" ht="15">
      <c r="K3039" s="404"/>
      <c r="W3039" s="361"/>
    </row>
    <row r="3040" spans="8:23" ht="30">
      <c r="H3040" s="440" t="s">
        <v>364</v>
      </c>
      <c r="J3040" s="360" t="s">
        <v>194</v>
      </c>
      <c r="K3040" s="381">
        <f>[7]Elec.Data!K936</f>
        <v>1552.7</v>
      </c>
      <c r="W3040" s="361"/>
    </row>
    <row r="3041" spans="6:23" ht="15">
      <c r="W3041" s="361"/>
    </row>
    <row r="3042" spans="6:23" ht="15">
      <c r="W3042" s="361"/>
    </row>
    <row r="3043" spans="6:23" ht="15.75">
      <c r="H3043" s="35" t="s">
        <v>2918</v>
      </c>
      <c r="J3043" s="360" t="s">
        <v>194</v>
      </c>
      <c r="K3043" s="497">
        <f>K3019</f>
        <v>995</v>
      </c>
      <c r="W3043" s="361"/>
    </row>
    <row r="3044" spans="6:23" ht="15">
      <c r="H3044" s="35" t="s">
        <v>2925</v>
      </c>
      <c r="W3044" s="361"/>
    </row>
    <row r="3045" spans="6:23" ht="15">
      <c r="W3045" s="361"/>
    </row>
    <row r="3046" spans="6:23" ht="15">
      <c r="F3046" s="35">
        <v>0.5</v>
      </c>
      <c r="H3046" s="35" t="s">
        <v>2926</v>
      </c>
      <c r="J3046" s="360">
        <f>C15</f>
        <v>1039.2</v>
      </c>
      <c r="K3046" s="35">
        <f>J3046*F3046</f>
        <v>519.6</v>
      </c>
      <c r="W3046" s="361"/>
    </row>
    <row r="3047" spans="6:23" ht="15">
      <c r="F3047" s="35">
        <v>0.5</v>
      </c>
      <c r="H3047" s="35" t="s">
        <v>196</v>
      </c>
      <c r="J3047" s="360">
        <f>C12</f>
        <v>781.19999999999993</v>
      </c>
      <c r="K3047" s="35">
        <f>J3047*F3047</f>
        <v>390.59999999999997</v>
      </c>
      <c r="W3047" s="361"/>
    </row>
    <row r="3048" spans="6:23" ht="15.75">
      <c r="I3048" s="835" t="s">
        <v>537</v>
      </c>
      <c r="J3048" s="835"/>
      <c r="K3048" s="411">
        <f>SUM(K3043:K3047)</f>
        <v>1905.1999999999998</v>
      </c>
      <c r="W3048" s="361"/>
    </row>
    <row r="3049" spans="6:23" ht="15">
      <c r="W3049" s="361"/>
    </row>
    <row r="3050" spans="6:23" ht="15">
      <c r="W3050" s="361"/>
    </row>
    <row r="3051" spans="6:23" ht="15.75">
      <c r="F3051" s="577" t="s">
        <v>1865</v>
      </c>
      <c r="G3051" s="757" t="s">
        <v>122</v>
      </c>
      <c r="H3051" s="576" t="s">
        <v>2858</v>
      </c>
      <c r="I3051" s="750"/>
      <c r="J3051" s="753"/>
      <c r="K3051" s="750"/>
      <c r="W3051" s="361"/>
    </row>
    <row r="3052" spans="6:23" ht="15.75">
      <c r="F3052" s="750"/>
      <c r="G3052" s="751"/>
      <c r="H3052" s="576" t="s">
        <v>1867</v>
      </c>
      <c r="I3052" s="750"/>
      <c r="J3052" s="753"/>
      <c r="K3052" s="750"/>
      <c r="W3052" s="361"/>
    </row>
    <row r="3053" spans="6:23" ht="15.75">
      <c r="F3053" s="750"/>
      <c r="G3053" s="751"/>
      <c r="H3053" s="576" t="s">
        <v>2927</v>
      </c>
      <c r="I3053" s="750"/>
      <c r="J3053" s="753"/>
      <c r="K3053" s="750"/>
      <c r="W3053" s="361"/>
    </row>
    <row r="3054" spans="6:23" ht="15.75">
      <c r="F3054" s="750"/>
      <c r="G3054" s="751"/>
      <c r="H3054" s="758" t="s">
        <v>117</v>
      </c>
      <c r="I3054" s="750"/>
      <c r="J3054" s="753"/>
      <c r="K3054" s="750"/>
      <c r="W3054" s="361"/>
    </row>
    <row r="3055" spans="6:23" ht="15.75">
      <c r="F3055" s="750"/>
      <c r="G3055" s="751"/>
      <c r="H3055" s="576" t="s">
        <v>2928</v>
      </c>
      <c r="I3055" s="750"/>
      <c r="J3055" s="753"/>
      <c r="K3055" s="750"/>
      <c r="W3055" s="361"/>
    </row>
    <row r="3056" spans="6:23" ht="15.75">
      <c r="F3056" s="750"/>
      <c r="G3056" s="751"/>
      <c r="H3056" s="750"/>
      <c r="I3056" s="750"/>
      <c r="J3056" s="753"/>
      <c r="K3056" s="750"/>
      <c r="W3056" s="361"/>
    </row>
    <row r="3057" spans="6:23" ht="45.75">
      <c r="F3057" s="818">
        <v>2.2275</v>
      </c>
      <c r="G3057" s="757" t="s">
        <v>107</v>
      </c>
      <c r="H3057" s="767" t="s">
        <v>2902</v>
      </c>
      <c r="I3057" s="750">
        <f>I2836</f>
        <v>2180</v>
      </c>
      <c r="J3057" s="577" t="s">
        <v>107</v>
      </c>
      <c r="K3057" s="750">
        <f>F3058*I3057</f>
        <v>4855.95</v>
      </c>
      <c r="W3057" s="361"/>
    </row>
    <row r="3058" spans="6:23" ht="15.75">
      <c r="F3058" s="813">
        <f>F3057</f>
        <v>2.2275</v>
      </c>
      <c r="G3058" s="757" t="s">
        <v>107</v>
      </c>
      <c r="H3058" s="759" t="s">
        <v>1880</v>
      </c>
      <c r="I3058" s="762">
        <f>I2869</f>
        <v>396.23999999999995</v>
      </c>
      <c r="J3058" s="577" t="s">
        <v>107</v>
      </c>
      <c r="K3058" s="574">
        <f t="shared" ref="K3058:K3064" si="288">(F3058*I3058)</f>
        <v>882.62459999999987</v>
      </c>
      <c r="M3058" s="577" t="s">
        <v>1865</v>
      </c>
      <c r="N3058" s="757" t="s">
        <v>122</v>
      </c>
      <c r="O3058" s="576" t="s">
        <v>2858</v>
      </c>
      <c r="P3058" s="750"/>
      <c r="Q3058" s="753"/>
      <c r="R3058" s="750"/>
      <c r="W3058" s="361"/>
    </row>
    <row r="3059" spans="6:23" ht="15.75">
      <c r="F3059" s="574">
        <v>4</v>
      </c>
      <c r="G3059" s="757" t="s">
        <v>223</v>
      </c>
      <c r="H3059" s="576" t="s">
        <v>1881</v>
      </c>
      <c r="I3059" s="836">
        <f t="shared" ref="I3059:I3064" si="289">I2974</f>
        <v>57.65</v>
      </c>
      <c r="J3059" s="577" t="s">
        <v>151</v>
      </c>
      <c r="K3059" s="574">
        <f t="shared" si="288"/>
        <v>230.6</v>
      </c>
      <c r="M3059" s="750"/>
      <c r="N3059" s="751"/>
      <c r="O3059" s="576" t="s">
        <v>1867</v>
      </c>
      <c r="P3059" s="750"/>
      <c r="Q3059" s="753"/>
      <c r="R3059" s="750"/>
      <c r="W3059" s="361"/>
    </row>
    <row r="3060" spans="6:23" ht="15.75">
      <c r="F3060" s="574">
        <v>6</v>
      </c>
      <c r="G3060" s="757" t="s">
        <v>151</v>
      </c>
      <c r="H3060" s="576" t="s">
        <v>1882</v>
      </c>
      <c r="I3060" s="836">
        <f t="shared" si="289"/>
        <v>89.6</v>
      </c>
      <c r="J3060" s="577" t="s">
        <v>151</v>
      </c>
      <c r="K3060" s="574">
        <f t="shared" si="288"/>
        <v>537.59999999999991</v>
      </c>
      <c r="M3060" s="750"/>
      <c r="N3060" s="751"/>
      <c r="O3060" s="576" t="s">
        <v>2929</v>
      </c>
      <c r="P3060" s="750"/>
      <c r="Q3060" s="753"/>
      <c r="R3060" s="750"/>
      <c r="W3060" s="361"/>
    </row>
    <row r="3061" spans="6:23" ht="15.75">
      <c r="F3061" s="574">
        <v>4</v>
      </c>
      <c r="G3061" s="757" t="s">
        <v>151</v>
      </c>
      <c r="H3061" s="576" t="s">
        <v>1884</v>
      </c>
      <c r="I3061" s="836">
        <f t="shared" si="289"/>
        <v>64.8</v>
      </c>
      <c r="J3061" s="577" t="s">
        <v>151</v>
      </c>
      <c r="K3061" s="574">
        <f t="shared" si="288"/>
        <v>259.2</v>
      </c>
      <c r="M3061" s="750"/>
      <c r="N3061" s="751"/>
      <c r="O3061" s="758" t="s">
        <v>117</v>
      </c>
      <c r="P3061" s="750"/>
      <c r="Q3061" s="753"/>
      <c r="R3061" s="750"/>
      <c r="W3061" s="361"/>
    </row>
    <row r="3062" spans="6:23" ht="15.75">
      <c r="F3062" s="574">
        <v>1</v>
      </c>
      <c r="G3062" s="757" t="s">
        <v>151</v>
      </c>
      <c r="H3062" s="576" t="s">
        <v>1886</v>
      </c>
      <c r="I3062" s="836">
        <f t="shared" si="289"/>
        <v>181</v>
      </c>
      <c r="J3062" s="577" t="s">
        <v>151</v>
      </c>
      <c r="K3062" s="574">
        <f t="shared" si="288"/>
        <v>181</v>
      </c>
      <c r="M3062" s="750"/>
      <c r="N3062" s="751"/>
      <c r="O3062" s="576" t="s">
        <v>2930</v>
      </c>
      <c r="P3062" s="750"/>
      <c r="Q3062" s="753"/>
      <c r="R3062" s="750"/>
      <c r="W3062" s="361"/>
    </row>
    <row r="3063" spans="6:23" ht="15.75">
      <c r="F3063" s="574">
        <v>2</v>
      </c>
      <c r="G3063" s="757" t="s">
        <v>151</v>
      </c>
      <c r="H3063" s="576" t="s">
        <v>1888</v>
      </c>
      <c r="I3063" s="836">
        <f t="shared" si="289"/>
        <v>7.3</v>
      </c>
      <c r="J3063" s="577" t="s">
        <v>151</v>
      </c>
      <c r="K3063" s="574">
        <f t="shared" si="288"/>
        <v>14.6</v>
      </c>
      <c r="M3063" s="750"/>
      <c r="N3063" s="751"/>
      <c r="O3063" s="750"/>
      <c r="P3063" s="750"/>
      <c r="Q3063" s="753"/>
      <c r="R3063" s="750"/>
      <c r="W3063" s="361"/>
    </row>
    <row r="3064" spans="6:23" ht="45.75">
      <c r="F3064" s="574">
        <v>2</v>
      </c>
      <c r="G3064" s="757" t="s">
        <v>151</v>
      </c>
      <c r="H3064" s="576" t="s">
        <v>995</v>
      </c>
      <c r="I3064" s="836">
        <f t="shared" si="289"/>
        <v>49.55</v>
      </c>
      <c r="J3064" s="577" t="s">
        <v>151</v>
      </c>
      <c r="K3064" s="574">
        <f t="shared" si="288"/>
        <v>99.1</v>
      </c>
      <c r="M3064" s="769">
        <v>3.29</v>
      </c>
      <c r="N3064" s="757" t="s">
        <v>107</v>
      </c>
      <c r="O3064" s="767" t="s">
        <v>2902</v>
      </c>
      <c r="P3064" s="750">
        <f>I3057</f>
        <v>2180</v>
      </c>
      <c r="Q3064" s="577" t="s">
        <v>107</v>
      </c>
      <c r="R3064" s="750">
        <f>M3065*P3064</f>
        <v>7172.2</v>
      </c>
      <c r="W3064" s="361"/>
    </row>
    <row r="3065" spans="6:23" ht="15.75">
      <c r="F3065" s="750"/>
      <c r="G3065" s="751"/>
      <c r="H3065" s="750"/>
      <c r="I3065" s="750"/>
      <c r="J3065" s="753"/>
      <c r="K3065" s="762">
        <v>0.2</v>
      </c>
      <c r="M3065" s="793">
        <v>3.29</v>
      </c>
      <c r="N3065" s="757" t="s">
        <v>107</v>
      </c>
      <c r="O3065" s="576" t="s">
        <v>1880</v>
      </c>
      <c r="P3065" s="750">
        <f t="shared" ref="P3065:P3071" si="290">I3058</f>
        <v>396.23999999999995</v>
      </c>
      <c r="Q3065" s="577" t="s">
        <v>107</v>
      </c>
      <c r="R3065" s="574">
        <f t="shared" ref="R3065:R3071" si="291">(M3065*P3065)</f>
        <v>1303.6295999999998</v>
      </c>
      <c r="W3065" s="361"/>
    </row>
    <row r="3066" spans="6:23" ht="15.75">
      <c r="F3066" s="750"/>
      <c r="G3066" s="751"/>
      <c r="H3066" s="576" t="s">
        <v>2931</v>
      </c>
      <c r="I3066" s="750"/>
      <c r="J3066" s="753"/>
      <c r="K3066" s="574">
        <f>SUM(K3057:K3065)</f>
        <v>7060.874600000001</v>
      </c>
      <c r="M3066" s="574">
        <v>4</v>
      </c>
      <c r="N3066" s="757" t="s">
        <v>223</v>
      </c>
      <c r="O3066" s="576" t="s">
        <v>1881</v>
      </c>
      <c r="P3066" s="750">
        <f t="shared" si="290"/>
        <v>57.65</v>
      </c>
      <c r="Q3066" s="577" t="s">
        <v>151</v>
      </c>
      <c r="R3066" s="574">
        <f t="shared" si="291"/>
        <v>230.6</v>
      </c>
      <c r="W3066" s="361"/>
    </row>
    <row r="3067" spans="6:23" ht="15.75">
      <c r="F3067" s="750"/>
      <c r="G3067" s="751"/>
      <c r="H3067" s="750"/>
      <c r="I3067" s="750"/>
      <c r="J3067" s="753"/>
      <c r="K3067" s="758" t="s">
        <v>117</v>
      </c>
      <c r="M3067" s="574">
        <v>6</v>
      </c>
      <c r="N3067" s="757" t="s">
        <v>151</v>
      </c>
      <c r="O3067" s="576" t="s">
        <v>1882</v>
      </c>
      <c r="P3067" s="750">
        <f t="shared" si="290"/>
        <v>89.6</v>
      </c>
      <c r="Q3067" s="577" t="s">
        <v>151</v>
      </c>
      <c r="R3067" s="574">
        <f t="shared" si="291"/>
        <v>537.59999999999991</v>
      </c>
      <c r="W3067" s="361"/>
    </row>
    <row r="3068" spans="6:23" ht="15.75">
      <c r="F3068" s="750"/>
      <c r="G3068" s="751"/>
      <c r="H3068" s="576" t="s">
        <v>177</v>
      </c>
      <c r="I3068" s="750"/>
      <c r="J3068" s="753"/>
      <c r="K3068" s="574">
        <f>K3066/F3058</f>
        <v>3169.8651402918072</v>
      </c>
      <c r="M3068" s="574">
        <v>4</v>
      </c>
      <c r="N3068" s="757" t="s">
        <v>151</v>
      </c>
      <c r="O3068" s="576" t="s">
        <v>1884</v>
      </c>
      <c r="P3068" s="750">
        <f t="shared" si="290"/>
        <v>64.8</v>
      </c>
      <c r="Q3068" s="577" t="s">
        <v>151</v>
      </c>
      <c r="R3068" s="574">
        <f t="shared" si="291"/>
        <v>259.2</v>
      </c>
      <c r="W3068" s="361"/>
    </row>
    <row r="3069" spans="6:23" ht="15.75">
      <c r="M3069" s="574">
        <v>1</v>
      </c>
      <c r="N3069" s="757" t="s">
        <v>151</v>
      </c>
      <c r="O3069" s="576" t="s">
        <v>1886</v>
      </c>
      <c r="P3069" s="750">
        <f t="shared" si="290"/>
        <v>181</v>
      </c>
      <c r="Q3069" s="577" t="s">
        <v>151</v>
      </c>
      <c r="R3069" s="574">
        <f t="shared" si="291"/>
        <v>181</v>
      </c>
      <c r="W3069" s="361"/>
    </row>
    <row r="3070" spans="6:23" ht="15.75">
      <c r="F3070" s="577" t="s">
        <v>1865</v>
      </c>
      <c r="G3070" s="757" t="s">
        <v>122</v>
      </c>
      <c r="H3070" s="576" t="s">
        <v>2858</v>
      </c>
      <c r="I3070" s="750"/>
      <c r="J3070" s="753"/>
      <c r="K3070" s="750"/>
      <c r="M3070" s="574">
        <v>2</v>
      </c>
      <c r="N3070" s="757" t="s">
        <v>151</v>
      </c>
      <c r="O3070" s="576" t="s">
        <v>1888</v>
      </c>
      <c r="P3070" s="750">
        <f t="shared" si="290"/>
        <v>7.3</v>
      </c>
      <c r="Q3070" s="577" t="s">
        <v>151</v>
      </c>
      <c r="R3070" s="574">
        <f t="shared" si="291"/>
        <v>14.6</v>
      </c>
      <c r="W3070" s="361"/>
    </row>
    <row r="3071" spans="6:23" ht="15.75">
      <c r="F3071" s="750"/>
      <c r="G3071" s="751"/>
      <c r="H3071" s="576" t="s">
        <v>1867</v>
      </c>
      <c r="I3071" s="750"/>
      <c r="J3071" s="753"/>
      <c r="K3071" s="750"/>
      <c r="M3071" s="574">
        <v>2</v>
      </c>
      <c r="N3071" s="757" t="s">
        <v>151</v>
      </c>
      <c r="O3071" s="576" t="s">
        <v>995</v>
      </c>
      <c r="P3071" s="750">
        <f t="shared" si="290"/>
        <v>49.55</v>
      </c>
      <c r="Q3071" s="577" t="s">
        <v>151</v>
      </c>
      <c r="R3071" s="574">
        <f t="shared" si="291"/>
        <v>99.1</v>
      </c>
      <c r="W3071" s="361"/>
    </row>
    <row r="3072" spans="6:23" ht="15.75">
      <c r="F3072" s="750"/>
      <c r="G3072" s="751"/>
      <c r="H3072" s="576" t="s">
        <v>2932</v>
      </c>
      <c r="I3072" s="750"/>
      <c r="J3072" s="753"/>
      <c r="K3072" s="750"/>
      <c r="M3072" s="750"/>
      <c r="N3072" s="751"/>
      <c r="O3072" s="750"/>
      <c r="P3072" s="750"/>
      <c r="Q3072" s="753"/>
      <c r="R3072" s="758" t="s">
        <v>117</v>
      </c>
      <c r="W3072" s="361"/>
    </row>
    <row r="3073" spans="6:23" ht="15.75">
      <c r="F3073" s="750"/>
      <c r="G3073" s="751"/>
      <c r="H3073" s="758" t="s">
        <v>117</v>
      </c>
      <c r="I3073" s="750"/>
      <c r="J3073" s="753"/>
      <c r="K3073" s="750"/>
      <c r="M3073" s="750"/>
      <c r="N3073" s="751"/>
      <c r="O3073" s="576" t="s">
        <v>2933</v>
      </c>
      <c r="P3073" s="750"/>
      <c r="Q3073" s="753"/>
      <c r="R3073" s="574">
        <f>SUM(R3064:R3072)+0.5</f>
        <v>9798.4296000000013</v>
      </c>
      <c r="W3073" s="361"/>
    </row>
    <row r="3074" spans="6:23" ht="15.75">
      <c r="F3074" s="750"/>
      <c r="G3074" s="751"/>
      <c r="H3074" s="576" t="s">
        <v>2934</v>
      </c>
      <c r="I3074" s="750"/>
      <c r="J3074" s="753"/>
      <c r="K3074" s="750"/>
      <c r="M3074" s="750"/>
      <c r="N3074" s="751"/>
      <c r="O3074" s="750"/>
      <c r="P3074" s="750"/>
      <c r="Q3074" s="753"/>
      <c r="R3074" s="758" t="s">
        <v>117</v>
      </c>
      <c r="W3074" s="361"/>
    </row>
    <row r="3075" spans="6:23" ht="15.75">
      <c r="F3075" s="750"/>
      <c r="G3075" s="751"/>
      <c r="H3075" s="750"/>
      <c r="I3075" s="750"/>
      <c r="J3075" s="753"/>
      <c r="K3075" s="750"/>
      <c r="M3075" s="750"/>
      <c r="N3075" s="751"/>
      <c r="O3075" s="576" t="s">
        <v>177</v>
      </c>
      <c r="P3075" s="750"/>
      <c r="Q3075" s="753"/>
      <c r="R3075" s="574">
        <f>R3073/M3064</f>
        <v>2978.2460790273558</v>
      </c>
      <c r="W3075" s="361"/>
    </row>
    <row r="3076" spans="6:23" ht="45.75">
      <c r="F3076" s="769">
        <v>2.87</v>
      </c>
      <c r="G3076" s="757" t="s">
        <v>107</v>
      </c>
      <c r="H3076" s="767" t="s">
        <v>2902</v>
      </c>
      <c r="I3076" s="836">
        <f>I3057</f>
        <v>2180</v>
      </c>
      <c r="J3076" s="577" t="s">
        <v>107</v>
      </c>
      <c r="K3076" s="750">
        <f>F3077*I3076</f>
        <v>6256.6</v>
      </c>
      <c r="N3076" s="358"/>
      <c r="Q3076" s="360"/>
      <c r="W3076" s="361"/>
    </row>
    <row r="3077" spans="6:23" ht="15.75">
      <c r="F3077" s="793">
        <f>F3076</f>
        <v>2.87</v>
      </c>
      <c r="G3077" s="757" t="s">
        <v>107</v>
      </c>
      <c r="H3077" s="759" t="s">
        <v>1880</v>
      </c>
      <c r="I3077" s="762">
        <f t="shared" ref="I3077:I3083" si="292">I3058</f>
        <v>396.23999999999995</v>
      </c>
      <c r="J3077" s="577" t="s">
        <v>107</v>
      </c>
      <c r="K3077" s="574">
        <f t="shared" ref="K3077:K3083" si="293">(F3077*I3077)</f>
        <v>1137.2087999999999</v>
      </c>
      <c r="W3077" s="361"/>
    </row>
    <row r="3078" spans="6:23" ht="15.75">
      <c r="F3078" s="574">
        <v>4</v>
      </c>
      <c r="G3078" s="757" t="s">
        <v>223</v>
      </c>
      <c r="H3078" s="576" t="s">
        <v>1881</v>
      </c>
      <c r="I3078" s="836">
        <f t="shared" si="292"/>
        <v>57.65</v>
      </c>
      <c r="J3078" s="577" t="s">
        <v>151</v>
      </c>
      <c r="K3078" s="574">
        <f t="shared" si="293"/>
        <v>230.6</v>
      </c>
      <c r="W3078" s="361"/>
    </row>
    <row r="3079" spans="6:23" ht="15.75">
      <c r="F3079" s="574">
        <v>6</v>
      </c>
      <c r="G3079" s="757" t="s">
        <v>151</v>
      </c>
      <c r="H3079" s="576" t="s">
        <v>1882</v>
      </c>
      <c r="I3079" s="836">
        <f t="shared" si="292"/>
        <v>89.6</v>
      </c>
      <c r="J3079" s="577" t="s">
        <v>151</v>
      </c>
      <c r="K3079" s="574">
        <f t="shared" si="293"/>
        <v>537.59999999999991</v>
      </c>
      <c r="W3079" s="361"/>
    </row>
    <row r="3080" spans="6:23" ht="15.75">
      <c r="F3080" s="574">
        <v>4</v>
      </c>
      <c r="G3080" s="757" t="s">
        <v>151</v>
      </c>
      <c r="H3080" s="576" t="s">
        <v>1884</v>
      </c>
      <c r="I3080" s="836">
        <f t="shared" si="292"/>
        <v>64.8</v>
      </c>
      <c r="J3080" s="577" t="s">
        <v>151</v>
      </c>
      <c r="K3080" s="574">
        <f t="shared" si="293"/>
        <v>259.2</v>
      </c>
      <c r="W3080" s="361"/>
    </row>
    <row r="3081" spans="6:23" ht="15.75">
      <c r="F3081" s="574">
        <v>1</v>
      </c>
      <c r="G3081" s="757" t="s">
        <v>151</v>
      </c>
      <c r="H3081" s="576" t="s">
        <v>1886</v>
      </c>
      <c r="I3081" s="836">
        <f t="shared" si="292"/>
        <v>181</v>
      </c>
      <c r="J3081" s="577" t="s">
        <v>151</v>
      </c>
      <c r="K3081" s="574">
        <f t="shared" si="293"/>
        <v>181</v>
      </c>
      <c r="W3081" s="361"/>
    </row>
    <row r="3082" spans="6:23" ht="15.75">
      <c r="F3082" s="574">
        <v>2</v>
      </c>
      <c r="G3082" s="757" t="s">
        <v>151</v>
      </c>
      <c r="H3082" s="576" t="s">
        <v>1888</v>
      </c>
      <c r="I3082" s="836">
        <f t="shared" si="292"/>
        <v>7.3</v>
      </c>
      <c r="J3082" s="577" t="s">
        <v>151</v>
      </c>
      <c r="K3082" s="574">
        <f t="shared" si="293"/>
        <v>14.6</v>
      </c>
      <c r="W3082" s="361"/>
    </row>
    <row r="3083" spans="6:23" ht="15.75">
      <c r="F3083" s="574">
        <v>2</v>
      </c>
      <c r="G3083" s="757" t="s">
        <v>151</v>
      </c>
      <c r="H3083" s="576" t="s">
        <v>995</v>
      </c>
      <c r="I3083" s="836">
        <f t="shared" si="292"/>
        <v>49.55</v>
      </c>
      <c r="J3083" s="577" t="s">
        <v>151</v>
      </c>
      <c r="K3083" s="574">
        <f t="shared" si="293"/>
        <v>99.1</v>
      </c>
      <c r="W3083" s="361"/>
    </row>
    <row r="3084" spans="6:23" ht="15.75">
      <c r="F3084" s="750"/>
      <c r="G3084" s="751"/>
      <c r="H3084" s="750"/>
      <c r="I3084" s="750"/>
      <c r="J3084" s="753"/>
      <c r="K3084" s="762">
        <f>1.19+0.16</f>
        <v>1.3499999999999999</v>
      </c>
      <c r="W3084" s="361"/>
    </row>
    <row r="3085" spans="6:23" ht="15.75">
      <c r="F3085" s="750"/>
      <c r="G3085" s="751"/>
      <c r="H3085" s="576" t="s">
        <v>2935</v>
      </c>
      <c r="I3085" s="750"/>
      <c r="J3085" s="753"/>
      <c r="K3085" s="574">
        <f>SUM(K3076:K3084)</f>
        <v>8717.2588000000032</v>
      </c>
      <c r="W3085" s="361"/>
    </row>
    <row r="3086" spans="6:23" ht="15.75">
      <c r="F3086" s="750"/>
      <c r="G3086" s="751"/>
      <c r="H3086" s="750"/>
      <c r="I3086" s="750"/>
      <c r="J3086" s="753"/>
      <c r="K3086" s="758" t="s">
        <v>117</v>
      </c>
      <c r="W3086" s="361"/>
    </row>
    <row r="3087" spans="6:23" ht="15.75">
      <c r="F3087" s="750"/>
      <c r="G3087" s="751"/>
      <c r="H3087" s="576" t="s">
        <v>177</v>
      </c>
      <c r="I3087" s="750"/>
      <c r="J3087" s="753"/>
      <c r="K3087" s="574">
        <f>K3085/F3077</f>
        <v>3037.3724041811856</v>
      </c>
      <c r="W3087" s="361"/>
    </row>
    <row r="3088" spans="6:23" ht="15">
      <c r="W3088" s="361"/>
    </row>
    <row r="3089" spans="6:44" ht="15">
      <c r="F3089" s="727" t="s">
        <v>2780</v>
      </c>
      <c r="G3089" s="728"/>
      <c r="H3089" s="389" t="s">
        <v>2936</v>
      </c>
      <c r="I3089" s="729"/>
      <c r="J3089" s="730"/>
      <c r="K3089" s="729"/>
      <c r="W3089" s="361"/>
    </row>
    <row r="3090" spans="6:44" ht="15">
      <c r="F3090" s="729"/>
      <c r="G3090" s="728"/>
      <c r="H3090" s="731" t="s">
        <v>117</v>
      </c>
      <c r="I3090" s="731" t="s">
        <v>117</v>
      </c>
      <c r="J3090" s="389" t="s">
        <v>117</v>
      </c>
      <c r="K3090" s="729"/>
      <c r="W3090" s="361"/>
    </row>
    <row r="3091" spans="6:44" ht="15">
      <c r="F3091" s="729"/>
      <c r="G3091" s="728"/>
      <c r="H3091" s="729"/>
      <c r="I3091" s="729"/>
      <c r="J3091" s="730"/>
      <c r="K3091" s="729"/>
      <c r="W3091" s="361"/>
    </row>
    <row r="3092" spans="6:44" ht="15">
      <c r="F3092" s="729"/>
      <c r="G3092" s="728"/>
      <c r="H3092" s="389" t="s">
        <v>1986</v>
      </c>
      <c r="I3092" s="729"/>
      <c r="J3092" s="730"/>
      <c r="K3092" s="729"/>
      <c r="W3092" s="361"/>
    </row>
    <row r="3093" spans="6:44" ht="15">
      <c r="F3093" s="729"/>
      <c r="G3093" s="728"/>
      <c r="H3093" s="389"/>
      <c r="I3093" s="729"/>
      <c r="J3093" s="730"/>
      <c r="K3093" s="729"/>
      <c r="W3093" s="361"/>
    </row>
    <row r="3094" spans="6:44" ht="15">
      <c r="F3094" s="729"/>
      <c r="G3094" s="728"/>
      <c r="H3094" s="389" t="s">
        <v>1988</v>
      </c>
      <c r="I3094" s="729"/>
      <c r="J3094" s="730"/>
      <c r="K3094" s="729"/>
      <c r="W3094" s="361"/>
    </row>
    <row r="3095" spans="6:44" ht="15">
      <c r="F3095" s="729"/>
      <c r="G3095" s="728"/>
      <c r="H3095" s="389" t="s">
        <v>1989</v>
      </c>
      <c r="I3095" s="729"/>
      <c r="J3095" s="730"/>
      <c r="K3095" s="729"/>
      <c r="W3095" s="361"/>
    </row>
    <row r="3096" spans="6:44" ht="15">
      <c r="F3096" s="729"/>
      <c r="G3096" s="728"/>
      <c r="H3096" s="389" t="s">
        <v>1990</v>
      </c>
      <c r="I3096" s="729"/>
      <c r="J3096" s="730"/>
      <c r="K3096" s="729"/>
      <c r="S3096" s="357"/>
      <c r="T3096" s="368"/>
      <c r="U3096" s="356"/>
      <c r="W3096" s="361"/>
    </row>
    <row r="3097" spans="6:44" ht="15">
      <c r="F3097" s="729"/>
      <c r="G3097" s="728"/>
      <c r="H3097" s="389" t="s">
        <v>1991</v>
      </c>
      <c r="I3097" s="729"/>
      <c r="J3097" s="730"/>
      <c r="K3097" s="729"/>
      <c r="S3097" s="35"/>
      <c r="U3097" s="356"/>
      <c r="W3097" s="361"/>
    </row>
    <row r="3098" spans="6:44" ht="15">
      <c r="F3098" s="729"/>
      <c r="G3098" s="728"/>
      <c r="H3098" s="389" t="s">
        <v>2783</v>
      </c>
      <c r="I3098" s="729"/>
      <c r="J3098" s="389" t="s">
        <v>114</v>
      </c>
      <c r="K3098" s="734">
        <v>3.7699999999999997E-2</v>
      </c>
      <c r="S3098" s="35"/>
      <c r="T3098" s="358"/>
      <c r="U3098" s="356"/>
      <c r="W3098" s="361"/>
    </row>
    <row r="3099" spans="6:44" ht="15">
      <c r="F3099" s="729"/>
      <c r="G3099" s="728"/>
      <c r="H3099" s="837" t="s">
        <v>2937</v>
      </c>
      <c r="I3099" s="729"/>
      <c r="J3099" s="735" t="s">
        <v>114</v>
      </c>
      <c r="K3099" s="735" t="s">
        <v>114</v>
      </c>
      <c r="S3099" s="35"/>
      <c r="T3099" s="358"/>
      <c r="U3099" s="356"/>
      <c r="W3099" s="361"/>
    </row>
    <row r="3100" spans="6:44" ht="15">
      <c r="F3100" s="729"/>
      <c r="G3100" s="728"/>
      <c r="H3100" s="389" t="s">
        <v>1996</v>
      </c>
      <c r="I3100" s="729"/>
      <c r="J3100" s="730"/>
      <c r="K3100" s="735" t="s">
        <v>114</v>
      </c>
      <c r="S3100" s="35"/>
      <c r="T3100" s="358"/>
      <c r="U3100" s="356"/>
      <c r="W3100" s="361"/>
    </row>
    <row r="3101" spans="6:44" ht="15">
      <c r="F3101" s="729"/>
      <c r="G3101" s="728"/>
      <c r="H3101" s="729"/>
      <c r="I3101" s="729"/>
      <c r="J3101" s="730"/>
      <c r="K3101" s="729"/>
      <c r="S3101" s="35"/>
      <c r="T3101" s="358"/>
      <c r="U3101" s="358" t="s">
        <v>2938</v>
      </c>
      <c r="W3101" s="361"/>
    </row>
    <row r="3102" spans="6:44" ht="15.75">
      <c r="F3102" s="736">
        <v>1.18E-2</v>
      </c>
      <c r="G3102" s="737" t="s">
        <v>108</v>
      </c>
      <c r="H3102" s="389" t="s">
        <v>986</v>
      </c>
      <c r="I3102" s="738">
        <f>I2664</f>
        <v>111965.44</v>
      </c>
      <c r="J3102" s="389" t="s">
        <v>108</v>
      </c>
      <c r="K3102" s="738">
        <f t="shared" ref="K3102:K3110" si="294">(F3102*I3102)</f>
        <v>1321.192192</v>
      </c>
      <c r="S3102" s="35"/>
      <c r="T3102" s="358"/>
      <c r="U3102" s="367"/>
      <c r="W3102" s="361"/>
    </row>
    <row r="3103" spans="6:44" ht="15">
      <c r="F3103" s="736">
        <v>3.7699999999999997E-2</v>
      </c>
      <c r="G3103" s="737" t="s">
        <v>108</v>
      </c>
      <c r="H3103" s="389" t="s">
        <v>987</v>
      </c>
      <c r="I3103" s="738">
        <f t="shared" ref="I3103:I3110" si="295">I2665</f>
        <v>99765.440000000002</v>
      </c>
      <c r="J3103" s="389" t="s">
        <v>108</v>
      </c>
      <c r="K3103" s="738">
        <f t="shared" si="294"/>
        <v>3761.1570879999999</v>
      </c>
      <c r="S3103" s="35"/>
      <c r="T3103" s="358"/>
      <c r="U3103" s="356" t="s">
        <v>2939</v>
      </c>
      <c r="V3103" s="487">
        <f xml:space="preserve"> 3.08*2.1</f>
        <v>6.4680000000000009</v>
      </c>
      <c r="W3103" s="361" t="s">
        <v>478</v>
      </c>
      <c r="X3103" s="35" t="s">
        <v>478</v>
      </c>
    </row>
    <row r="3104" spans="6:44" ht="15.75">
      <c r="F3104" s="736">
        <v>1.8550000000000001E-2</v>
      </c>
      <c r="G3104" s="737" t="s">
        <v>108</v>
      </c>
      <c r="H3104" s="389" t="s">
        <v>1997</v>
      </c>
      <c r="I3104" s="738">
        <f t="shared" si="295"/>
        <v>16428</v>
      </c>
      <c r="J3104" s="389" t="s">
        <v>108</v>
      </c>
      <c r="K3104" s="738">
        <f t="shared" si="294"/>
        <v>304.73939999999999</v>
      </c>
      <c r="S3104" s="35"/>
      <c r="T3104" s="838"/>
      <c r="U3104" s="839" t="s">
        <v>2940</v>
      </c>
      <c r="V3104" s="840">
        <f>4*2.05*0.075*0.0375</f>
        <v>2.3062499999999996E-2</v>
      </c>
      <c r="W3104" s="841" t="s">
        <v>405</v>
      </c>
      <c r="X3104" s="842"/>
      <c r="Y3104" s="842"/>
      <c r="AG3104" s="411" t="s">
        <v>189</v>
      </c>
      <c r="AR3104" s="411" t="s">
        <v>2941</v>
      </c>
    </row>
    <row r="3105" spans="6:49" ht="15.75">
      <c r="F3105" s="736">
        <v>1.36</v>
      </c>
      <c r="G3105" s="737" t="s">
        <v>107</v>
      </c>
      <c r="H3105" s="389" t="s">
        <v>2942</v>
      </c>
      <c r="I3105" s="738">
        <f>I1057</f>
        <v>387.4</v>
      </c>
      <c r="J3105" s="389" t="s">
        <v>107</v>
      </c>
      <c r="K3105" s="738">
        <f t="shared" si="294"/>
        <v>526.86400000000003</v>
      </c>
      <c r="S3105" s="35"/>
      <c r="T3105" s="838"/>
      <c r="U3105" s="842"/>
      <c r="V3105" s="842"/>
      <c r="W3105" s="843" t="s">
        <v>117</v>
      </c>
      <c r="X3105" s="842"/>
      <c r="Y3105" s="842"/>
      <c r="AG3105" s="35" t="s">
        <v>190</v>
      </c>
      <c r="AR3105" s="35" t="s">
        <v>190</v>
      </c>
    </row>
    <row r="3106" spans="6:49" ht="15.75">
      <c r="F3106" s="736">
        <v>2.0499999999999998</v>
      </c>
      <c r="G3106" s="737" t="s">
        <v>107</v>
      </c>
      <c r="H3106" s="389" t="s">
        <v>1999</v>
      </c>
      <c r="I3106" s="738">
        <f t="shared" si="295"/>
        <v>1537.2</v>
      </c>
      <c r="J3106" s="389" t="s">
        <v>107</v>
      </c>
      <c r="K3106" s="738">
        <f t="shared" si="294"/>
        <v>3151.2599999999998</v>
      </c>
      <c r="S3106" s="35"/>
      <c r="T3106" s="838"/>
      <c r="U3106" s="839" t="s">
        <v>2943</v>
      </c>
      <c r="V3106" s="840">
        <f>2*3*0.55*0.15*0.0375</f>
        <v>1.8562499999999999E-2</v>
      </c>
      <c r="W3106" s="841" t="s">
        <v>405</v>
      </c>
      <c r="X3106" s="842"/>
      <c r="Y3106" s="842"/>
      <c r="AG3106" s="35" t="s">
        <v>191</v>
      </c>
      <c r="AR3106" s="35" t="s">
        <v>191</v>
      </c>
    </row>
    <row r="3107" spans="6:49" ht="15.75">
      <c r="F3107" s="738">
        <v>2</v>
      </c>
      <c r="G3107" s="737" t="s">
        <v>151</v>
      </c>
      <c r="H3107" s="389" t="s">
        <v>2944</v>
      </c>
      <c r="I3107" s="844">
        <v>57</v>
      </c>
      <c r="J3107" s="389" t="s">
        <v>151</v>
      </c>
      <c r="K3107" s="738">
        <f t="shared" si="294"/>
        <v>114</v>
      </c>
      <c r="S3107" s="35"/>
      <c r="T3107" s="838"/>
      <c r="U3107" s="839" t="s">
        <v>114</v>
      </c>
      <c r="V3107" s="839" t="s">
        <v>114</v>
      </c>
      <c r="W3107" s="841"/>
      <c r="X3107" s="845" t="s">
        <v>114</v>
      </c>
      <c r="Y3107" s="845"/>
      <c r="AE3107" s="35">
        <v>0.1</v>
      </c>
      <c r="AF3107" s="35" t="s">
        <v>192</v>
      </c>
      <c r="AG3107" s="35" t="s">
        <v>193</v>
      </c>
      <c r="AH3107" s="35">
        <f>AG17</f>
        <v>1057.2</v>
      </c>
      <c r="AI3107" s="35" t="s">
        <v>194</v>
      </c>
      <c r="AJ3107" s="35">
        <f>AE3107*AH3107</f>
        <v>105.72000000000001</v>
      </c>
      <c r="AO3107" s="35">
        <v>0.1</v>
      </c>
      <c r="AP3107" s="35" t="s">
        <v>192</v>
      </c>
      <c r="AR3107" s="35" t="s">
        <v>193</v>
      </c>
      <c r="AS3107" s="35">
        <f>AH3107</f>
        <v>1057.2</v>
      </c>
      <c r="AT3107" s="35" t="s">
        <v>194</v>
      </c>
      <c r="AU3107" s="35">
        <f>AS3107*AO3107</f>
        <v>105.72000000000001</v>
      </c>
    </row>
    <row r="3108" spans="6:49" ht="15.75">
      <c r="F3108" s="738">
        <v>6</v>
      </c>
      <c r="G3108" s="737" t="s">
        <v>151</v>
      </c>
      <c r="H3108" s="389" t="s">
        <v>1958</v>
      </c>
      <c r="I3108" s="738">
        <f t="shared" si="295"/>
        <v>49.35</v>
      </c>
      <c r="J3108" s="389" t="s">
        <v>151</v>
      </c>
      <c r="K3108" s="738">
        <f t="shared" si="294"/>
        <v>296.10000000000002</v>
      </c>
      <c r="S3108" s="35"/>
      <c r="T3108" s="838"/>
      <c r="U3108" s="842"/>
      <c r="V3108" s="842"/>
      <c r="W3108" s="843" t="s">
        <v>114</v>
      </c>
      <c r="X3108" s="839" t="s">
        <v>114</v>
      </c>
      <c r="Y3108" s="839"/>
      <c r="AE3108" s="35">
        <v>0.1</v>
      </c>
      <c r="AF3108" s="35" t="s">
        <v>195</v>
      </c>
      <c r="AG3108" s="35" t="s">
        <v>196</v>
      </c>
      <c r="AH3108" s="35">
        <f>AG11</f>
        <v>781.19999999999993</v>
      </c>
      <c r="AI3108" s="35" t="s">
        <v>194</v>
      </c>
      <c r="AJ3108" s="35">
        <f>AE3108*AH3108</f>
        <v>78.12</v>
      </c>
      <c r="AO3108" s="35">
        <v>0.1</v>
      </c>
      <c r="AP3108" s="35" t="s">
        <v>195</v>
      </c>
      <c r="AR3108" s="35" t="s">
        <v>196</v>
      </c>
      <c r="AS3108" s="35">
        <f>AH3108</f>
        <v>781.19999999999993</v>
      </c>
      <c r="AT3108" s="35" t="s">
        <v>194</v>
      </c>
      <c r="AU3108" s="35">
        <f>AS3108*AO3108</f>
        <v>78.12</v>
      </c>
    </row>
    <row r="3109" spans="6:49" ht="15.75">
      <c r="F3109" s="738">
        <v>2</v>
      </c>
      <c r="G3109" s="737" t="s">
        <v>151</v>
      </c>
      <c r="H3109" s="389" t="s">
        <v>2788</v>
      </c>
      <c r="I3109" s="738">
        <f t="shared" si="295"/>
        <v>60.9</v>
      </c>
      <c r="J3109" s="389" t="s">
        <v>151</v>
      </c>
      <c r="K3109" s="738">
        <f t="shared" si="294"/>
        <v>121.8</v>
      </c>
      <c r="S3109" s="35"/>
      <c r="T3109" s="838"/>
      <c r="U3109" s="839" t="s">
        <v>2945</v>
      </c>
      <c r="V3109" s="842">
        <f>2*0.625*0.425</f>
        <v>0.53125</v>
      </c>
      <c r="W3109" s="846" t="s">
        <v>114</v>
      </c>
      <c r="X3109" s="845" t="s">
        <v>114</v>
      </c>
      <c r="Y3109" s="845"/>
      <c r="AE3109" s="35">
        <v>10</v>
      </c>
      <c r="AF3109" s="35" t="s">
        <v>197</v>
      </c>
      <c r="AG3109" s="35" t="s">
        <v>198</v>
      </c>
      <c r="AH3109" s="448">
        <v>18.45</v>
      </c>
      <c r="AI3109" s="35" t="s">
        <v>199</v>
      </c>
      <c r="AJ3109" s="35">
        <f>(AE3109*AH3109)/100</f>
        <v>1.845</v>
      </c>
      <c r="AO3109" s="35">
        <v>10</v>
      </c>
      <c r="AP3109" s="35" t="s">
        <v>197</v>
      </c>
      <c r="AR3109" s="35" t="s">
        <v>2946</v>
      </c>
      <c r="AS3109" s="404">
        <f>AH3109</f>
        <v>18.45</v>
      </c>
      <c r="AT3109" s="35" t="s">
        <v>199</v>
      </c>
      <c r="AU3109" s="35">
        <f>(AS3109*AO3109)/100</f>
        <v>1.845</v>
      </c>
    </row>
    <row r="3110" spans="6:49" ht="15.75">
      <c r="F3110" s="738">
        <v>1</v>
      </c>
      <c r="G3110" s="737" t="s">
        <v>151</v>
      </c>
      <c r="H3110" s="389" t="s">
        <v>2787</v>
      </c>
      <c r="I3110" s="847">
        <f t="shared" si="295"/>
        <v>63.2</v>
      </c>
      <c r="J3110" s="389" t="s">
        <v>151</v>
      </c>
      <c r="K3110" s="738">
        <f t="shared" si="294"/>
        <v>63.2</v>
      </c>
      <c r="S3110" s="35"/>
      <c r="T3110" s="838"/>
      <c r="U3110" s="839" t="s">
        <v>2947</v>
      </c>
      <c r="V3110" s="842">
        <f>2*0.425*1.025</f>
        <v>0.87124999999999986</v>
      </c>
      <c r="W3110" s="841"/>
      <c r="X3110" s="845">
        <v>1.26</v>
      </c>
      <c r="Y3110" s="845"/>
      <c r="AE3110" s="35">
        <v>0.25</v>
      </c>
      <c r="AF3110" s="35" t="s">
        <v>192</v>
      </c>
      <c r="AG3110" s="35" t="s">
        <v>200</v>
      </c>
      <c r="AH3110" s="448">
        <v>3.6</v>
      </c>
      <c r="AI3110" s="35" t="s">
        <v>194</v>
      </c>
      <c r="AJ3110" s="35">
        <v>1</v>
      </c>
      <c r="AO3110" s="35">
        <v>0.25</v>
      </c>
      <c r="AP3110" s="35" t="s">
        <v>192</v>
      </c>
      <c r="AR3110" s="35" t="s">
        <v>2948</v>
      </c>
      <c r="AS3110" s="404">
        <f>AH3110</f>
        <v>3.6</v>
      </c>
      <c r="AT3110" s="35" t="s">
        <v>194</v>
      </c>
      <c r="AU3110" s="35">
        <f>AS3110*AO3110</f>
        <v>0.9</v>
      </c>
      <c r="AW3110" s="35">
        <f>3.09/0.25</f>
        <v>12.36</v>
      </c>
    </row>
    <row r="3111" spans="6:49" ht="15.75">
      <c r="F3111" s="738">
        <v>6.55</v>
      </c>
      <c r="G3111" s="737" t="s">
        <v>107</v>
      </c>
      <c r="H3111" s="389" t="s">
        <v>2949</v>
      </c>
      <c r="I3111" s="738">
        <f>K1542</f>
        <v>264.02549999999997</v>
      </c>
      <c r="J3111" s="389" t="s">
        <v>107</v>
      </c>
      <c r="K3111" s="738">
        <f>(F3111*I3111)</f>
        <v>1729.3670249999998</v>
      </c>
      <c r="S3111" s="35"/>
      <c r="T3111" s="838"/>
      <c r="U3111" s="842"/>
      <c r="V3111" s="848">
        <f>SUM(V3109:V3110)</f>
        <v>1.4024999999999999</v>
      </c>
      <c r="W3111" s="841" t="s">
        <v>478</v>
      </c>
      <c r="X3111" s="839" t="s">
        <v>114</v>
      </c>
      <c r="Y3111" s="839"/>
      <c r="AH3111" s="35" t="s">
        <v>201</v>
      </c>
      <c r="AJ3111" s="35">
        <f>SUM(AJ3107:AJ3110)</f>
        <v>186.68500000000003</v>
      </c>
      <c r="AS3111" s="35" t="s">
        <v>201</v>
      </c>
      <c r="AU3111" s="35">
        <f>SUM(AU3107:AU3110)</f>
        <v>186.58500000000004</v>
      </c>
    </row>
    <row r="3112" spans="6:49" ht="15">
      <c r="F3112" s="729">
        <v>50</v>
      </c>
      <c r="G3112" s="728" t="s">
        <v>192</v>
      </c>
      <c r="H3112" s="389" t="s">
        <v>2950</v>
      </c>
      <c r="I3112" s="849">
        <f>I963</f>
        <v>2.41</v>
      </c>
      <c r="J3112" s="730"/>
      <c r="K3112" s="738">
        <f>(F3112*I3112)</f>
        <v>120.5</v>
      </c>
      <c r="S3112" s="35"/>
      <c r="T3112" s="358"/>
      <c r="W3112" s="361"/>
      <c r="X3112" s="518" t="s">
        <v>114</v>
      </c>
      <c r="Y3112" s="518"/>
    </row>
    <row r="3113" spans="6:49" ht="15.75">
      <c r="F3113" s="729"/>
      <c r="G3113" s="728"/>
      <c r="H3113" s="743"/>
      <c r="I3113" s="743"/>
      <c r="J3113" s="744"/>
      <c r="K3113" s="745" t="s">
        <v>117</v>
      </c>
      <c r="S3113" s="35"/>
      <c r="T3113" s="358"/>
      <c r="W3113" s="361"/>
      <c r="X3113" s="356" t="s">
        <v>114</v>
      </c>
      <c r="Y3113" s="356"/>
      <c r="AG3113" s="850" t="s">
        <v>202</v>
      </c>
      <c r="AH3113" s="35" t="s">
        <v>203</v>
      </c>
      <c r="AI3113" s="850" t="s">
        <v>203</v>
      </c>
      <c r="AJ3113" s="850" t="s">
        <v>204</v>
      </c>
      <c r="AR3113" s="850" t="s">
        <v>202</v>
      </c>
      <c r="AS3113" s="411" t="s">
        <v>203</v>
      </c>
      <c r="AT3113" s="851" t="s">
        <v>204</v>
      </c>
    </row>
    <row r="3114" spans="6:49" ht="15.75">
      <c r="F3114" s="729"/>
      <c r="G3114" s="728"/>
      <c r="H3114" s="746" t="s">
        <v>2005</v>
      </c>
      <c r="I3114" s="743"/>
      <c r="J3114" s="744"/>
      <c r="K3114" s="747">
        <f>SUM(K3102:K3112)</f>
        <v>11510.179705</v>
      </c>
      <c r="S3114" s="357" t="s">
        <v>1908</v>
      </c>
      <c r="T3114" s="368"/>
      <c r="U3114" s="359" t="s">
        <v>2951</v>
      </c>
      <c r="W3114" s="361"/>
      <c r="X3114" s="356" t="s">
        <v>114</v>
      </c>
      <c r="Y3114" s="356"/>
      <c r="AG3114" s="850"/>
      <c r="AH3114" s="465">
        <v>331</v>
      </c>
      <c r="AI3114" s="465">
        <v>331</v>
      </c>
      <c r="AJ3114" s="465">
        <v>283</v>
      </c>
      <c r="AR3114" s="850"/>
      <c r="AT3114" s="850"/>
      <c r="AU3114" s="850"/>
    </row>
    <row r="3115" spans="6:49" ht="15.75">
      <c r="F3115" s="729"/>
      <c r="G3115" s="737" t="s">
        <v>114</v>
      </c>
      <c r="H3115" s="743"/>
      <c r="I3115" s="743"/>
      <c r="J3115" s="744"/>
      <c r="K3115" s="745" t="s">
        <v>117</v>
      </c>
      <c r="S3115" s="35"/>
      <c r="T3115" s="358"/>
      <c r="U3115" s="363" t="s">
        <v>117</v>
      </c>
      <c r="W3115" s="361"/>
      <c r="AG3115" s="850" t="s">
        <v>205</v>
      </c>
      <c r="AH3115" s="35">
        <f>AJ3111</f>
        <v>186.68500000000003</v>
      </c>
      <c r="AI3115" s="850">
        <f>AJ3111</f>
        <v>186.68500000000003</v>
      </c>
      <c r="AJ3115" s="850">
        <f>AJ3111</f>
        <v>186.68500000000003</v>
      </c>
      <c r="AR3115" s="850" t="s">
        <v>205</v>
      </c>
      <c r="AS3115" s="540">
        <v>96</v>
      </c>
      <c r="AT3115" s="540">
        <v>85</v>
      </c>
      <c r="AU3115" s="540">
        <v>85</v>
      </c>
    </row>
    <row r="3116" spans="6:49" ht="15.75">
      <c r="F3116" s="729"/>
      <c r="G3116" s="728"/>
      <c r="H3116" s="746" t="s">
        <v>177</v>
      </c>
      <c r="I3116" s="743"/>
      <c r="J3116" s="744"/>
      <c r="K3116" s="747">
        <f>K3114/2.52</f>
        <v>4567.5316289682542</v>
      </c>
      <c r="S3116" s="460">
        <v>7.0699999999999999E-2</v>
      </c>
      <c r="T3116" s="368" t="s">
        <v>108</v>
      </c>
      <c r="U3116" s="356" t="s">
        <v>2952</v>
      </c>
      <c r="V3116" s="370">
        <f>P3156</f>
        <v>99765.440000000002</v>
      </c>
      <c r="W3116" s="357" t="s">
        <v>108</v>
      </c>
      <c r="X3116" s="370">
        <f>V3116*S3116</f>
        <v>7053.4166080000005</v>
      </c>
      <c r="Y3116" s="370"/>
      <c r="AG3116" s="850" t="s">
        <v>206</v>
      </c>
      <c r="AH3116" s="35">
        <f>SUM(AH3114:AH3115)</f>
        <v>517.68500000000006</v>
      </c>
      <c r="AI3116" s="850">
        <f>SUM(AI3114:AI3115)</f>
        <v>517.68500000000006</v>
      </c>
      <c r="AJ3116" s="850">
        <f>SUM(AJ3114:AJ3115)</f>
        <v>469.68500000000006</v>
      </c>
      <c r="AR3116" s="850" t="s">
        <v>206</v>
      </c>
      <c r="AS3116" s="35">
        <f>AU3111</f>
        <v>186.58500000000004</v>
      </c>
      <c r="AT3116" s="850">
        <f>AU3111</f>
        <v>186.58500000000004</v>
      </c>
      <c r="AU3116" s="850"/>
    </row>
    <row r="3117" spans="6:49" ht="15.75">
      <c r="F3117" s="729"/>
      <c r="G3117" s="728"/>
      <c r="H3117" s="743"/>
      <c r="I3117" s="743"/>
      <c r="J3117" s="744"/>
      <c r="K3117" s="745" t="s">
        <v>156</v>
      </c>
      <c r="S3117" s="460">
        <v>3.6659999999999999</v>
      </c>
      <c r="T3117" s="368" t="s">
        <v>107</v>
      </c>
      <c r="U3117" s="356" t="s">
        <v>2953</v>
      </c>
      <c r="V3117" s="370">
        <f>I1178</f>
        <v>306.89999999999998</v>
      </c>
      <c r="W3117" s="357" t="s">
        <v>108</v>
      </c>
      <c r="X3117" s="370">
        <f t="shared" ref="X3117:X3124" si="296">V3117*S3117</f>
        <v>1125.0953999999999</v>
      </c>
      <c r="Y3117" s="370"/>
      <c r="AG3117" s="850"/>
      <c r="AH3117" s="35">
        <f>ROUNDUP(AH3116,0)</f>
        <v>518</v>
      </c>
      <c r="AI3117" s="35">
        <f>ROUNDUP(AI3116,0)</f>
        <v>518</v>
      </c>
      <c r="AJ3117" s="35">
        <f>ROUNDUP(AJ3116,0)</f>
        <v>470</v>
      </c>
      <c r="AR3117" s="850"/>
      <c r="AS3117" s="411">
        <f>SUM(AS3114:AS3116)</f>
        <v>282.58500000000004</v>
      </c>
      <c r="AT3117" s="411">
        <f>SUM(AT3114:AT3116)</f>
        <v>271.58500000000004</v>
      </c>
    </row>
    <row r="3118" spans="6:49" ht="15.75">
      <c r="S3118" s="461">
        <v>5.16</v>
      </c>
      <c r="T3118" s="368" t="s">
        <v>107</v>
      </c>
      <c r="U3118" s="356" t="s">
        <v>989</v>
      </c>
      <c r="V3118" s="370">
        <f>AG32</f>
        <v>1723.2</v>
      </c>
      <c r="W3118" s="357" t="s">
        <v>107</v>
      </c>
      <c r="X3118" s="370">
        <f t="shared" si="296"/>
        <v>8891.7120000000014</v>
      </c>
      <c r="Y3118" s="370"/>
      <c r="AG3118" s="850"/>
      <c r="AH3118" s="850"/>
      <c r="AI3118" s="850"/>
      <c r="AJ3118" s="850"/>
      <c r="AS3118" s="35">
        <f>ROUNDUP(AS3117,0)</f>
        <v>283</v>
      </c>
      <c r="AT3118" s="35">
        <f>ROUNDUP(AT3117,0)</f>
        <v>272</v>
      </c>
    </row>
    <row r="3119" spans="6:49" ht="15.75">
      <c r="S3119" s="461">
        <v>22.66</v>
      </c>
      <c r="T3119" s="368" t="s">
        <v>2954</v>
      </c>
      <c r="U3119" s="356" t="s">
        <v>2955</v>
      </c>
      <c r="V3119" s="394">
        <v>15.45</v>
      </c>
      <c r="W3119" s="357" t="s">
        <v>2956</v>
      </c>
      <c r="X3119" s="370">
        <f t="shared" si="296"/>
        <v>350.09699999999998</v>
      </c>
      <c r="Y3119" s="370"/>
    </row>
    <row r="3120" spans="6:49" ht="15.75">
      <c r="H3120" s="411" t="s">
        <v>2957</v>
      </c>
      <c r="N3120" s="358"/>
      <c r="O3120" s="411" t="s">
        <v>2958</v>
      </c>
      <c r="Q3120" s="360"/>
      <c r="S3120" s="370">
        <v>15</v>
      </c>
      <c r="T3120" s="368" t="s">
        <v>151</v>
      </c>
      <c r="U3120" s="356" t="s">
        <v>1912</v>
      </c>
      <c r="V3120" s="370">
        <f>C281</f>
        <v>89.6</v>
      </c>
      <c r="W3120" s="357" t="s">
        <v>151</v>
      </c>
      <c r="X3120" s="370">
        <f t="shared" si="296"/>
        <v>1344</v>
      </c>
      <c r="Y3120" s="370"/>
    </row>
    <row r="3121" spans="6:25" ht="15.75">
      <c r="F3121" s="35">
        <v>1</v>
      </c>
      <c r="H3121" s="35" t="s">
        <v>2959</v>
      </c>
      <c r="I3121" s="852">
        <v>143.97999999999999</v>
      </c>
      <c r="J3121" s="360" t="s">
        <v>194</v>
      </c>
      <c r="K3121" s="35">
        <f>I3121</f>
        <v>143.97999999999999</v>
      </c>
      <c r="M3121" s="35">
        <v>1</v>
      </c>
      <c r="N3121" s="358"/>
      <c r="O3121" s="35" t="s">
        <v>2960</v>
      </c>
      <c r="P3121" s="448">
        <v>17.2</v>
      </c>
      <c r="Q3121" s="360" t="s">
        <v>194</v>
      </c>
      <c r="R3121" s="35">
        <f>P3121</f>
        <v>17.2</v>
      </c>
      <c r="S3121" s="370">
        <v>10</v>
      </c>
      <c r="T3121" s="368" t="s">
        <v>151</v>
      </c>
      <c r="U3121" s="356" t="s">
        <v>2961</v>
      </c>
      <c r="V3121" s="394">
        <v>82.25</v>
      </c>
      <c r="W3121" s="357" t="s">
        <v>151</v>
      </c>
      <c r="X3121" s="370">
        <f t="shared" si="296"/>
        <v>822.5</v>
      </c>
      <c r="Y3121" s="370"/>
    </row>
    <row r="3122" spans="6:25" ht="15.75">
      <c r="F3122" s="35">
        <v>1</v>
      </c>
      <c r="H3122" s="534" t="s">
        <v>2962</v>
      </c>
      <c r="I3122" s="852">
        <v>49.2</v>
      </c>
      <c r="J3122" s="360" t="s">
        <v>194</v>
      </c>
      <c r="K3122" s="35">
        <f>I3122</f>
        <v>49.2</v>
      </c>
      <c r="M3122" s="35">
        <v>1</v>
      </c>
      <c r="N3122" s="358"/>
      <c r="O3122" s="35" t="s">
        <v>2963</v>
      </c>
      <c r="P3122" s="448">
        <v>8.5</v>
      </c>
      <c r="Q3122" s="360" t="s">
        <v>194</v>
      </c>
      <c r="R3122" s="35">
        <f>P3122</f>
        <v>8.5</v>
      </c>
      <c r="S3122" s="370">
        <v>5</v>
      </c>
      <c r="T3122" s="368" t="s">
        <v>151</v>
      </c>
      <c r="U3122" s="356" t="s">
        <v>2964</v>
      </c>
      <c r="V3122" s="370">
        <f>P3163</f>
        <v>57.65</v>
      </c>
      <c r="W3122" s="357" t="s">
        <v>151</v>
      </c>
      <c r="X3122" s="370">
        <f t="shared" si="296"/>
        <v>288.25</v>
      </c>
      <c r="Y3122" s="370"/>
    </row>
    <row r="3123" spans="6:25" ht="15.75">
      <c r="F3123" s="36">
        <v>0.125</v>
      </c>
      <c r="H3123" s="534" t="s">
        <v>2965</v>
      </c>
      <c r="I3123" s="35">
        <f>C15</f>
        <v>1039.2</v>
      </c>
      <c r="J3123" s="360" t="s">
        <v>194</v>
      </c>
      <c r="K3123" s="35">
        <f>F3123*I3123</f>
        <v>129.9</v>
      </c>
      <c r="M3123" s="36">
        <v>0.125</v>
      </c>
      <c r="N3123" s="358"/>
      <c r="O3123" s="534" t="s">
        <v>2965</v>
      </c>
      <c r="P3123" s="404">
        <f>I3123</f>
        <v>1039.2</v>
      </c>
      <c r="Q3123" s="360" t="s">
        <v>194</v>
      </c>
      <c r="R3123" s="35">
        <f>M3123*P3123</f>
        <v>129.9</v>
      </c>
      <c r="S3123" s="370">
        <v>5</v>
      </c>
      <c r="T3123" s="368" t="s">
        <v>151</v>
      </c>
      <c r="U3123" s="356" t="s">
        <v>993</v>
      </c>
      <c r="V3123" s="370">
        <f>P3162</f>
        <v>7.3</v>
      </c>
      <c r="W3123" s="357" t="s">
        <v>151</v>
      </c>
      <c r="X3123" s="370">
        <f t="shared" si="296"/>
        <v>36.5</v>
      </c>
      <c r="Y3123" s="370"/>
    </row>
    <row r="3124" spans="6:25" ht="15.75">
      <c r="F3124" s="36"/>
      <c r="H3124" s="534" t="s">
        <v>331</v>
      </c>
      <c r="K3124" s="35">
        <v>2.11</v>
      </c>
      <c r="M3124" s="36"/>
      <c r="N3124" s="358"/>
      <c r="O3124" s="534" t="s">
        <v>331</v>
      </c>
      <c r="Q3124" s="360"/>
      <c r="R3124" s="35">
        <v>4.37</v>
      </c>
      <c r="S3124" s="370">
        <v>10</v>
      </c>
      <c r="T3124" s="368" t="s">
        <v>151</v>
      </c>
      <c r="U3124" s="356" t="s">
        <v>2966</v>
      </c>
      <c r="V3124" s="370">
        <f>I3112</f>
        <v>2.41</v>
      </c>
      <c r="W3124" s="357" t="s">
        <v>151</v>
      </c>
      <c r="X3124" s="370">
        <f t="shared" si="296"/>
        <v>24.1</v>
      </c>
      <c r="Y3124" s="370"/>
    </row>
    <row r="3125" spans="6:25" ht="15.75">
      <c r="H3125" s="580" t="s">
        <v>2693</v>
      </c>
      <c r="I3125" s="411"/>
      <c r="J3125" s="436"/>
      <c r="K3125" s="411">
        <f>SUM(K3121:K3124)</f>
        <v>325.19000000000005</v>
      </c>
      <c r="N3125" s="358"/>
      <c r="O3125" s="534" t="s">
        <v>331</v>
      </c>
      <c r="P3125" s="411"/>
      <c r="Q3125" s="436"/>
      <c r="R3125" s="411">
        <f>SUM(R3121:R3124)</f>
        <v>159.97</v>
      </c>
      <c r="S3125" s="370"/>
      <c r="T3125" s="368">
        <f>R3125-90</f>
        <v>69.97</v>
      </c>
      <c r="U3125" s="356"/>
      <c r="V3125" s="370"/>
      <c r="W3125" s="357" t="s">
        <v>151</v>
      </c>
      <c r="X3125" s="363" t="s">
        <v>117</v>
      </c>
      <c r="Y3125" s="363"/>
    </row>
    <row r="3126" spans="6:25" ht="15">
      <c r="R3126" s="35">
        <f>R3125-87</f>
        <v>72.97</v>
      </c>
      <c r="S3126" s="370"/>
      <c r="T3126" s="358"/>
      <c r="U3126" s="357" t="s">
        <v>2967</v>
      </c>
      <c r="W3126" s="361"/>
      <c r="X3126" s="370">
        <f>SUM(X3116:X3124)</f>
        <v>19935.671008000001</v>
      </c>
      <c r="Y3126" s="370"/>
    </row>
    <row r="3127" spans="6:25" ht="15">
      <c r="S3127" s="35"/>
      <c r="T3127" s="358"/>
      <c r="W3127" s="361"/>
      <c r="X3127" s="363" t="s">
        <v>117</v>
      </c>
      <c r="Y3127" s="363"/>
    </row>
    <row r="3128" spans="6:25" ht="15.75">
      <c r="F3128" s="357" t="s">
        <v>1923</v>
      </c>
      <c r="G3128" s="368" t="s">
        <v>122</v>
      </c>
      <c r="H3128" s="356" t="s">
        <v>1924</v>
      </c>
      <c r="S3128" s="35"/>
      <c r="T3128" s="368" t="s">
        <v>114</v>
      </c>
      <c r="U3128" s="372" t="s">
        <v>177</v>
      </c>
      <c r="W3128" s="361"/>
      <c r="X3128" s="369">
        <f>X3126/S3118</f>
        <v>3863.5021333333334</v>
      </c>
      <c r="Y3128" s="369"/>
    </row>
    <row r="3129" spans="6:25" ht="15">
      <c r="H3129" s="356" t="s">
        <v>1925</v>
      </c>
      <c r="S3129" s="35"/>
      <c r="T3129" s="358"/>
      <c r="W3129" s="361"/>
      <c r="X3129" s="363" t="s">
        <v>156</v>
      </c>
      <c r="Y3129" s="363"/>
    </row>
    <row r="3130" spans="6:25" ht="15">
      <c r="H3130" s="356" t="s">
        <v>1927</v>
      </c>
      <c r="S3130" s="35"/>
      <c r="T3130" s="358"/>
      <c r="W3130" s="361"/>
    </row>
    <row r="3131" spans="6:25" ht="15">
      <c r="H3131" s="356" t="s">
        <v>1928</v>
      </c>
      <c r="S3131" s="357"/>
      <c r="T3131" s="368"/>
      <c r="U3131" s="356" t="s">
        <v>2968</v>
      </c>
      <c r="W3131" s="361"/>
      <c r="X3131" s="356" t="s">
        <v>114</v>
      </c>
      <c r="Y3131" s="356"/>
    </row>
    <row r="3132" spans="6:25" ht="15">
      <c r="H3132" s="356" t="s">
        <v>1929</v>
      </c>
      <c r="S3132" s="35"/>
      <c r="T3132" s="358"/>
      <c r="U3132" s="363" t="s">
        <v>117</v>
      </c>
      <c r="W3132" s="361"/>
    </row>
    <row r="3133" spans="6:25" ht="15">
      <c r="H3133" s="356" t="s">
        <v>1930</v>
      </c>
      <c r="S3133" s="460">
        <v>2.7400000000000001E-2</v>
      </c>
      <c r="T3133" s="368" t="s">
        <v>108</v>
      </c>
      <c r="U3133" s="356" t="s">
        <v>2952</v>
      </c>
      <c r="V3133" s="370">
        <f>V3116</f>
        <v>99765.440000000002</v>
      </c>
      <c r="W3133" s="357" t="s">
        <v>108</v>
      </c>
      <c r="X3133" s="370">
        <f>V3133*S3133</f>
        <v>2733.5730560000002</v>
      </c>
      <c r="Y3133" s="370"/>
    </row>
    <row r="3134" spans="6:25" ht="15">
      <c r="H3134" s="363" t="s">
        <v>117</v>
      </c>
      <c r="S3134" s="460">
        <v>1.1599999999999999</v>
      </c>
      <c r="T3134" s="368" t="s">
        <v>107</v>
      </c>
      <c r="U3134" s="356" t="s">
        <v>2953</v>
      </c>
      <c r="V3134" s="370">
        <f t="shared" ref="V3134:V3141" si="297">V3117</f>
        <v>306.89999999999998</v>
      </c>
      <c r="W3134" s="357" t="s">
        <v>108</v>
      </c>
      <c r="X3134" s="370">
        <f t="shared" ref="X3134:X3141" si="298">V3134*S3134</f>
        <v>356.00399999999996</v>
      </c>
      <c r="Y3134" s="370"/>
    </row>
    <row r="3135" spans="6:25" ht="15">
      <c r="H3135" s="356" t="s">
        <v>2969</v>
      </c>
      <c r="M3135" s="357" t="s">
        <v>1923</v>
      </c>
      <c r="N3135" s="368" t="s">
        <v>122</v>
      </c>
      <c r="O3135" s="356" t="s">
        <v>1924</v>
      </c>
      <c r="Q3135" s="360"/>
      <c r="S3135" s="461">
        <v>1.74</v>
      </c>
      <c r="T3135" s="368" t="s">
        <v>107</v>
      </c>
      <c r="U3135" s="356" t="s">
        <v>989</v>
      </c>
      <c r="V3135" s="370">
        <f t="shared" si="297"/>
        <v>1723.2</v>
      </c>
      <c r="W3135" s="357" t="s">
        <v>107</v>
      </c>
      <c r="X3135" s="370">
        <f t="shared" si="298"/>
        <v>2998.3679999999999</v>
      </c>
      <c r="Y3135" s="370"/>
    </row>
    <row r="3136" spans="6:25" ht="15">
      <c r="H3136" s="356" t="s">
        <v>1932</v>
      </c>
      <c r="N3136" s="358"/>
      <c r="O3136" s="356" t="s">
        <v>1925</v>
      </c>
      <c r="Q3136" s="360"/>
      <c r="S3136" s="461">
        <v>8.74</v>
      </c>
      <c r="T3136" s="368" t="s">
        <v>2954</v>
      </c>
      <c r="U3136" s="356" t="s">
        <v>2955</v>
      </c>
      <c r="V3136" s="370">
        <f t="shared" si="297"/>
        <v>15.45</v>
      </c>
      <c r="W3136" s="357" t="s">
        <v>107</v>
      </c>
      <c r="X3136" s="370">
        <f t="shared" si="298"/>
        <v>135.03299999999999</v>
      </c>
      <c r="Y3136" s="370"/>
    </row>
    <row r="3137" spans="6:25" ht="15">
      <c r="J3137" s="356" t="s">
        <v>117</v>
      </c>
      <c r="N3137" s="358"/>
      <c r="O3137" s="356" t="s">
        <v>1927</v>
      </c>
      <c r="Q3137" s="360"/>
      <c r="S3137" s="370">
        <v>6</v>
      </c>
      <c r="T3137" s="368" t="s">
        <v>151</v>
      </c>
      <c r="U3137" s="356" t="s">
        <v>1912</v>
      </c>
      <c r="V3137" s="370">
        <f t="shared" si="297"/>
        <v>89.6</v>
      </c>
      <c r="W3137" s="357" t="s">
        <v>151</v>
      </c>
      <c r="X3137" s="370">
        <f t="shared" si="298"/>
        <v>537.59999999999991</v>
      </c>
      <c r="Y3137" s="370"/>
    </row>
    <row r="3138" spans="6:25" ht="15">
      <c r="H3138" s="356" t="s">
        <v>2970</v>
      </c>
      <c r="N3138" s="358"/>
      <c r="O3138" s="356" t="s">
        <v>1928</v>
      </c>
      <c r="Q3138" s="360"/>
      <c r="S3138" s="370">
        <v>4</v>
      </c>
      <c r="T3138" s="368" t="s">
        <v>151</v>
      </c>
      <c r="U3138" s="356" t="s">
        <v>2961</v>
      </c>
      <c r="V3138" s="370">
        <f t="shared" si="297"/>
        <v>82.25</v>
      </c>
      <c r="W3138" s="357" t="s">
        <v>151</v>
      </c>
      <c r="X3138" s="370">
        <f t="shared" si="298"/>
        <v>329</v>
      </c>
      <c r="Y3138" s="370"/>
    </row>
    <row r="3139" spans="6:25" ht="15">
      <c r="H3139" s="356" t="s">
        <v>114</v>
      </c>
      <c r="I3139" s="356" t="s">
        <v>114</v>
      </c>
      <c r="K3139" s="518" t="s">
        <v>114</v>
      </c>
      <c r="N3139" s="358"/>
      <c r="O3139" s="356" t="s">
        <v>1929</v>
      </c>
      <c r="Q3139" s="360"/>
      <c r="S3139" s="370">
        <v>2</v>
      </c>
      <c r="T3139" s="368" t="s">
        <v>151</v>
      </c>
      <c r="U3139" s="356" t="s">
        <v>2964</v>
      </c>
      <c r="V3139" s="370">
        <f t="shared" si="297"/>
        <v>57.65</v>
      </c>
      <c r="W3139" s="357" t="s">
        <v>151</v>
      </c>
      <c r="X3139" s="370">
        <f t="shared" si="298"/>
        <v>115.3</v>
      </c>
      <c r="Y3139" s="370"/>
    </row>
    <row r="3140" spans="6:25" ht="15">
      <c r="J3140" s="356" t="s">
        <v>114</v>
      </c>
      <c r="K3140" s="356" t="s">
        <v>114</v>
      </c>
      <c r="N3140" s="358"/>
      <c r="O3140" s="356" t="s">
        <v>1930</v>
      </c>
      <c r="Q3140" s="360"/>
      <c r="S3140" s="370">
        <v>2</v>
      </c>
      <c r="T3140" s="368" t="s">
        <v>151</v>
      </c>
      <c r="U3140" s="356" t="s">
        <v>993</v>
      </c>
      <c r="V3140" s="370">
        <f t="shared" si="297"/>
        <v>7.3</v>
      </c>
      <c r="W3140" s="357" t="s">
        <v>151</v>
      </c>
      <c r="X3140" s="370">
        <f t="shared" si="298"/>
        <v>14.6</v>
      </c>
      <c r="Y3140" s="370"/>
    </row>
    <row r="3141" spans="6:25" ht="15.75">
      <c r="H3141" s="356" t="s">
        <v>2971</v>
      </c>
      <c r="J3141" s="518" t="s">
        <v>114</v>
      </c>
      <c r="K3141" s="518" t="s">
        <v>114</v>
      </c>
      <c r="N3141" s="358"/>
      <c r="O3141" s="367" t="s">
        <v>2972</v>
      </c>
      <c r="Q3141" s="360"/>
      <c r="S3141" s="370">
        <v>10</v>
      </c>
      <c r="T3141" s="368" t="s">
        <v>151</v>
      </c>
      <c r="U3141" s="356" t="s">
        <v>2966</v>
      </c>
      <c r="V3141" s="370">
        <f t="shared" si="297"/>
        <v>2.41</v>
      </c>
      <c r="W3141" s="357" t="s">
        <v>151</v>
      </c>
      <c r="X3141" s="370">
        <f t="shared" si="298"/>
        <v>24.1</v>
      </c>
      <c r="Y3141" s="370"/>
    </row>
    <row r="3142" spans="6:25" ht="15">
      <c r="H3142" s="356" t="s">
        <v>2973</v>
      </c>
      <c r="K3142" s="518">
        <v>1.26</v>
      </c>
      <c r="N3142" s="358"/>
      <c r="O3142" s="356" t="s">
        <v>2974</v>
      </c>
      <c r="P3142" s="487">
        <f>1.1*2.05</f>
        <v>2.2549999999999999</v>
      </c>
      <c r="Q3142" s="360" t="s">
        <v>478</v>
      </c>
      <c r="S3142" s="370"/>
      <c r="T3142" s="368"/>
      <c r="U3142" s="356"/>
      <c r="V3142" s="370"/>
      <c r="W3142" s="357" t="s">
        <v>151</v>
      </c>
      <c r="X3142" s="363" t="s">
        <v>117</v>
      </c>
      <c r="Y3142" s="363"/>
    </row>
    <row r="3143" spans="6:25" ht="15">
      <c r="K3143" s="356" t="s">
        <v>114</v>
      </c>
      <c r="N3143" s="358"/>
      <c r="O3143" s="356" t="s">
        <v>2975</v>
      </c>
      <c r="P3143" s="785">
        <f>2*2.05*0.075*0.0375</f>
        <v>1.1531249999999998E-2</v>
      </c>
      <c r="Q3143" s="360" t="s">
        <v>405</v>
      </c>
      <c r="S3143" s="370"/>
      <c r="T3143" s="358"/>
      <c r="U3143" s="357" t="s">
        <v>2976</v>
      </c>
      <c r="W3143" s="361"/>
      <c r="X3143" s="370">
        <f>SUM(X3133:X3141)</f>
        <v>7243.5780560000012</v>
      </c>
      <c r="Y3143" s="370"/>
    </row>
    <row r="3144" spans="6:25" ht="15">
      <c r="K3144" s="518" t="s">
        <v>114</v>
      </c>
      <c r="N3144" s="358"/>
      <c r="Q3144" s="356" t="s">
        <v>117</v>
      </c>
      <c r="S3144" s="35"/>
      <c r="T3144" s="358"/>
      <c r="W3144" s="361"/>
      <c r="X3144" s="363" t="s">
        <v>117</v>
      </c>
      <c r="Y3144" s="363"/>
    </row>
    <row r="3145" spans="6:25" ht="15.75">
      <c r="K3145" s="356" t="s">
        <v>114</v>
      </c>
      <c r="N3145" s="358"/>
      <c r="O3145" s="356" t="s">
        <v>2977</v>
      </c>
      <c r="P3145" s="785">
        <f>1*3*1.1*0.15*0.0375</f>
        <v>1.8562499999999999E-2</v>
      </c>
      <c r="Q3145" s="360" t="s">
        <v>405</v>
      </c>
      <c r="S3145" s="35"/>
      <c r="T3145" s="368" t="s">
        <v>114</v>
      </c>
      <c r="U3145" s="372" t="s">
        <v>177</v>
      </c>
      <c r="W3145" s="361"/>
      <c r="X3145" s="369">
        <f>X3143/S3135</f>
        <v>4162.9758942528742</v>
      </c>
      <c r="Y3145" s="369"/>
    </row>
    <row r="3146" spans="6:25" ht="15">
      <c r="F3146" s="357" t="s">
        <v>1908</v>
      </c>
      <c r="G3146" s="368"/>
      <c r="H3146" s="356" t="s">
        <v>1950</v>
      </c>
      <c r="K3146" s="356" t="s">
        <v>114</v>
      </c>
      <c r="N3146" s="358"/>
      <c r="O3146" s="356" t="s">
        <v>114</v>
      </c>
      <c r="P3146" s="356" t="s">
        <v>114</v>
      </c>
      <c r="Q3146" s="360"/>
      <c r="R3146" s="518" t="s">
        <v>114</v>
      </c>
      <c r="S3146" s="35"/>
      <c r="T3146" s="358"/>
      <c r="W3146" s="361"/>
      <c r="X3146" s="363" t="s">
        <v>156</v>
      </c>
      <c r="Y3146" s="363"/>
    </row>
    <row r="3147" spans="6:25" ht="15">
      <c r="H3147" s="363" t="s">
        <v>117</v>
      </c>
      <c r="N3147" s="358"/>
      <c r="Q3147" s="356" t="s">
        <v>114</v>
      </c>
      <c r="R3147" s="356" t="s">
        <v>114</v>
      </c>
      <c r="W3147" s="361"/>
    </row>
    <row r="3148" spans="6:25" ht="15">
      <c r="F3148" s="460">
        <v>1.153E-2</v>
      </c>
      <c r="G3148" s="368" t="s">
        <v>108</v>
      </c>
      <c r="H3148" s="356" t="s">
        <v>986</v>
      </c>
      <c r="I3148" s="370">
        <f>AE26</f>
        <v>111965.44</v>
      </c>
      <c r="J3148" s="356" t="s">
        <v>108</v>
      </c>
      <c r="K3148" s="370">
        <f>I3148*F3148</f>
        <v>1290.9615232000001</v>
      </c>
      <c r="N3148" s="358"/>
      <c r="O3148" s="356" t="s">
        <v>2978</v>
      </c>
      <c r="P3148" s="35">
        <f>1*0.625*0.975</f>
        <v>0.609375</v>
      </c>
      <c r="Q3148" s="518" t="s">
        <v>114</v>
      </c>
      <c r="R3148" s="518" t="s">
        <v>114</v>
      </c>
      <c r="W3148" s="361"/>
    </row>
    <row r="3149" spans="6:25" ht="15.75">
      <c r="F3149" s="461">
        <v>1.52E-2</v>
      </c>
      <c r="G3149" s="368" t="s">
        <v>108</v>
      </c>
      <c r="H3149" s="356" t="s">
        <v>987</v>
      </c>
      <c r="I3149" s="370">
        <f>AE27</f>
        <v>99765.440000000002</v>
      </c>
      <c r="J3149" s="356" t="s">
        <v>108</v>
      </c>
      <c r="K3149" s="370">
        <f t="shared" ref="K3149:K3157" si="299">I3149*F3149</f>
        <v>1516.4346880000001</v>
      </c>
      <c r="N3149" s="358"/>
      <c r="O3149" s="356" t="s">
        <v>2947</v>
      </c>
      <c r="P3149" s="35">
        <f>1*0.975*1.025</f>
        <v>0.9993749999999999</v>
      </c>
      <c r="Q3149" s="360"/>
      <c r="R3149" s="518">
        <v>1.26</v>
      </c>
      <c r="U3149" s="359" t="s">
        <v>2979</v>
      </c>
      <c r="W3149" s="361"/>
    </row>
    <row r="3150" spans="6:25" ht="15.75">
      <c r="F3150" s="461">
        <f>K3142</f>
        <v>1.26</v>
      </c>
      <c r="G3150" s="368" t="s">
        <v>107</v>
      </c>
      <c r="H3150" s="356" t="s">
        <v>988</v>
      </c>
      <c r="I3150" s="370">
        <f>C785</f>
        <v>387.4</v>
      </c>
      <c r="J3150" s="356" t="s">
        <v>107</v>
      </c>
      <c r="K3150" s="370">
        <f t="shared" si="299"/>
        <v>488.12399999999997</v>
      </c>
      <c r="N3150" s="358"/>
      <c r="P3150" s="411">
        <f>SUM(P3148:P3149)</f>
        <v>1.6087499999999999</v>
      </c>
      <c r="Q3150" s="360" t="s">
        <v>478</v>
      </c>
      <c r="R3150" s="356" t="s">
        <v>114</v>
      </c>
      <c r="S3150" s="853" t="s">
        <v>2980</v>
      </c>
      <c r="T3150" s="853"/>
      <c r="U3150" s="36">
        <f>2*2*0.075*0.0375*1.95</f>
        <v>2.1937499999999999E-2</v>
      </c>
      <c r="W3150" s="361"/>
    </row>
    <row r="3151" spans="6:25" ht="15">
      <c r="F3151" s="461">
        <v>1.845</v>
      </c>
      <c r="G3151" s="368" t="s">
        <v>107</v>
      </c>
      <c r="H3151" s="356" t="s">
        <v>989</v>
      </c>
      <c r="I3151" s="370">
        <f>D30</f>
        <v>1537.2</v>
      </c>
      <c r="J3151" s="356" t="s">
        <v>107</v>
      </c>
      <c r="K3151" s="370">
        <f t="shared" si="299"/>
        <v>2836.134</v>
      </c>
      <c r="N3151" s="358"/>
      <c r="Q3151" s="360"/>
      <c r="R3151" s="518" t="s">
        <v>114</v>
      </c>
      <c r="S3151" s="854" t="s">
        <v>2981</v>
      </c>
      <c r="T3151" s="358"/>
      <c r="U3151" s="785">
        <f>2*2*0.065*0.075*0.375</f>
        <v>7.3124999999999996E-3</v>
      </c>
      <c r="W3151" s="361"/>
    </row>
    <row r="3152" spans="6:25" ht="15.75">
      <c r="F3152" s="370">
        <v>2</v>
      </c>
      <c r="G3152" s="368" t="s">
        <v>151</v>
      </c>
      <c r="H3152" s="356" t="s">
        <v>990</v>
      </c>
      <c r="I3152" s="370">
        <f>C286</f>
        <v>64.8</v>
      </c>
      <c r="J3152" s="356" t="s">
        <v>151</v>
      </c>
      <c r="K3152" s="370">
        <f t="shared" si="299"/>
        <v>129.6</v>
      </c>
      <c r="N3152" s="358"/>
      <c r="Q3152" s="360"/>
      <c r="R3152" s="356" t="s">
        <v>114</v>
      </c>
      <c r="S3152" s="854"/>
      <c r="T3152" s="358"/>
      <c r="U3152" s="723">
        <f>SUM(U3150:U3151)</f>
        <v>2.9249999999999998E-2</v>
      </c>
      <c r="V3152" s="35" t="s">
        <v>2982</v>
      </c>
      <c r="W3152" s="361"/>
    </row>
    <row r="3153" spans="6:25" ht="15">
      <c r="F3153" s="370">
        <v>3</v>
      </c>
      <c r="G3153" s="368" t="s">
        <v>151</v>
      </c>
      <c r="H3153" s="356" t="s">
        <v>1912</v>
      </c>
      <c r="I3153" s="370">
        <f>C281</f>
        <v>89.6</v>
      </c>
      <c r="J3153" s="356" t="s">
        <v>151</v>
      </c>
      <c r="K3153" s="370">
        <f t="shared" si="299"/>
        <v>268.79999999999995</v>
      </c>
      <c r="M3153" s="357" t="s">
        <v>1908</v>
      </c>
      <c r="N3153" s="368"/>
      <c r="O3153" s="356" t="s">
        <v>2983</v>
      </c>
      <c r="Q3153" s="360"/>
      <c r="R3153" s="356" t="s">
        <v>114</v>
      </c>
      <c r="S3153" s="854" t="s">
        <v>2984</v>
      </c>
      <c r="T3153" s="358"/>
      <c r="U3153" s="36">
        <f>2*0.65*1.95</f>
        <v>2.5350000000000001</v>
      </c>
      <c r="V3153" s="35" t="s">
        <v>315</v>
      </c>
      <c r="W3153" s="361"/>
    </row>
    <row r="3154" spans="6:25" ht="15">
      <c r="F3154" s="370">
        <v>1</v>
      </c>
      <c r="G3154" s="368" t="s">
        <v>151</v>
      </c>
      <c r="H3154" s="356" t="s">
        <v>992</v>
      </c>
      <c r="I3154" s="370">
        <f>C288</f>
        <v>181</v>
      </c>
      <c r="J3154" s="356" t="s">
        <v>151</v>
      </c>
      <c r="K3154" s="370">
        <f t="shared" si="299"/>
        <v>181</v>
      </c>
      <c r="N3154" s="358"/>
      <c r="O3154" s="363" t="s">
        <v>117</v>
      </c>
      <c r="Q3154" s="360"/>
      <c r="S3154" s="854" t="s">
        <v>2985</v>
      </c>
      <c r="T3154" s="358"/>
      <c r="U3154" s="36">
        <f>1*2*0.525*1.825</f>
        <v>1.91625</v>
      </c>
      <c r="V3154" s="35" t="s">
        <v>2986</v>
      </c>
      <c r="W3154" s="361"/>
    </row>
    <row r="3155" spans="6:25" ht="15">
      <c r="F3155" s="370">
        <v>1</v>
      </c>
      <c r="G3155" s="368" t="s">
        <v>151</v>
      </c>
      <c r="H3155" s="356" t="s">
        <v>993</v>
      </c>
      <c r="I3155" s="370">
        <f>C290</f>
        <v>7.3</v>
      </c>
      <c r="J3155" s="356" t="s">
        <v>151</v>
      </c>
      <c r="K3155" s="370">
        <f t="shared" si="299"/>
        <v>7.3</v>
      </c>
      <c r="M3155" s="460">
        <f>P3143</f>
        <v>1.1531249999999998E-2</v>
      </c>
      <c r="N3155" s="368" t="s">
        <v>108</v>
      </c>
      <c r="O3155" s="356" t="s">
        <v>986</v>
      </c>
      <c r="P3155" s="370">
        <f>I3148</f>
        <v>111965.44</v>
      </c>
      <c r="Q3155" s="356" t="s">
        <v>108</v>
      </c>
      <c r="R3155" s="370">
        <f>P3155*M3155</f>
        <v>1291.1014799999998</v>
      </c>
      <c r="S3155" s="854" t="s">
        <v>2987</v>
      </c>
      <c r="T3155" s="358"/>
      <c r="U3155" s="36">
        <f>2*2*(0.525+1.825)</f>
        <v>9.4</v>
      </c>
      <c r="V3155" s="35" t="s">
        <v>2988</v>
      </c>
      <c r="W3155" s="361"/>
    </row>
    <row r="3156" spans="6:25" ht="15">
      <c r="F3156" s="370">
        <v>1</v>
      </c>
      <c r="G3156" s="368" t="s">
        <v>151</v>
      </c>
      <c r="H3156" s="356" t="s">
        <v>1944</v>
      </c>
      <c r="I3156" s="370">
        <f>C600</f>
        <v>57.65</v>
      </c>
      <c r="J3156" s="356" t="s">
        <v>151</v>
      </c>
      <c r="K3156" s="370">
        <f t="shared" si="299"/>
        <v>57.65</v>
      </c>
      <c r="M3156" s="460">
        <f>P3145</f>
        <v>1.8562499999999999E-2</v>
      </c>
      <c r="N3156" s="368" t="s">
        <v>108</v>
      </c>
      <c r="O3156" s="356" t="s">
        <v>987</v>
      </c>
      <c r="P3156" s="370">
        <f t="shared" ref="P3156:P3164" si="300">I3149</f>
        <v>99765.440000000002</v>
      </c>
      <c r="Q3156" s="356" t="s">
        <v>108</v>
      </c>
      <c r="R3156" s="370">
        <f t="shared" ref="R3156:R3165" si="301">P3156*M3156</f>
        <v>1851.89598</v>
      </c>
      <c r="S3156" s="357"/>
      <c r="T3156" s="368"/>
      <c r="W3156" s="361"/>
      <c r="X3156" s="356" t="s">
        <v>114</v>
      </c>
      <c r="Y3156" s="356"/>
    </row>
    <row r="3157" spans="6:25" ht="15">
      <c r="F3157" s="370">
        <v>1</v>
      </c>
      <c r="G3157" s="368" t="s">
        <v>151</v>
      </c>
      <c r="H3157" s="356" t="s">
        <v>995</v>
      </c>
      <c r="I3157" s="370">
        <f>D600</f>
        <v>49.55</v>
      </c>
      <c r="J3157" s="356" t="s">
        <v>151</v>
      </c>
      <c r="K3157" s="370">
        <f t="shared" si="299"/>
        <v>49.55</v>
      </c>
      <c r="M3157" s="461">
        <f>P3150</f>
        <v>1.6087499999999999</v>
      </c>
      <c r="N3157" s="368" t="s">
        <v>107</v>
      </c>
      <c r="O3157" s="356" t="s">
        <v>988</v>
      </c>
      <c r="P3157" s="370">
        <f t="shared" si="300"/>
        <v>387.4</v>
      </c>
      <c r="Q3157" s="356" t="s">
        <v>107</v>
      </c>
      <c r="R3157" s="370">
        <f t="shared" si="301"/>
        <v>623.22974999999997</v>
      </c>
      <c r="S3157" s="35"/>
      <c r="T3157" s="358"/>
      <c r="U3157" s="363" t="s">
        <v>117</v>
      </c>
      <c r="W3157" s="361"/>
    </row>
    <row r="3158" spans="6:25" ht="15.75">
      <c r="H3158" s="750" t="s">
        <v>2966</v>
      </c>
      <c r="K3158" s="498">
        <f>10*2.18</f>
        <v>21.8</v>
      </c>
      <c r="M3158" s="461">
        <f>P3142</f>
        <v>2.2549999999999999</v>
      </c>
      <c r="N3158" s="368" t="s">
        <v>107</v>
      </c>
      <c r="O3158" s="356" t="s">
        <v>989</v>
      </c>
      <c r="P3158" s="370">
        <f t="shared" si="300"/>
        <v>1537.2</v>
      </c>
      <c r="Q3158" s="356" t="s">
        <v>107</v>
      </c>
      <c r="R3158" s="370">
        <f t="shared" si="301"/>
        <v>3466.386</v>
      </c>
      <c r="S3158" s="460">
        <v>9.2099999999999994E-3</v>
      </c>
      <c r="T3158" s="368" t="s">
        <v>108</v>
      </c>
      <c r="U3158" s="356" t="s">
        <v>2952</v>
      </c>
      <c r="V3158" s="370">
        <f>V3133</f>
        <v>99765.440000000002</v>
      </c>
      <c r="W3158" s="357" t="s">
        <v>108</v>
      </c>
      <c r="X3158" s="370">
        <f>V3158*S3158</f>
        <v>918.83970239999996</v>
      </c>
      <c r="Y3158" s="370"/>
    </row>
    <row r="3159" spans="6:25" ht="15">
      <c r="H3159" s="357" t="s">
        <v>2989</v>
      </c>
      <c r="K3159" s="370">
        <f>SUM(K3148:K3158)</f>
        <v>6847.3542112000005</v>
      </c>
      <c r="M3159" s="370">
        <v>2</v>
      </c>
      <c r="N3159" s="368" t="s">
        <v>151</v>
      </c>
      <c r="O3159" s="356" t="s">
        <v>990</v>
      </c>
      <c r="P3159" s="370">
        <f t="shared" si="300"/>
        <v>64.8</v>
      </c>
      <c r="Q3159" s="356" t="s">
        <v>151</v>
      </c>
      <c r="R3159" s="370">
        <f t="shared" si="301"/>
        <v>129.6</v>
      </c>
      <c r="S3159" s="460">
        <v>0.65249999999999997</v>
      </c>
      <c r="T3159" s="368" t="s">
        <v>107</v>
      </c>
      <c r="U3159" s="356" t="s">
        <v>2953</v>
      </c>
      <c r="V3159" s="370">
        <f>V3134</f>
        <v>306.89999999999998</v>
      </c>
      <c r="W3159" s="357" t="s">
        <v>108</v>
      </c>
      <c r="X3159" s="370">
        <f t="shared" ref="X3159:X3166" si="302">V3159*S3159</f>
        <v>200.25224999999998</v>
      </c>
      <c r="Y3159" s="370"/>
    </row>
    <row r="3160" spans="6:25" ht="15">
      <c r="G3160" s="368" t="s">
        <v>114</v>
      </c>
      <c r="K3160" s="363" t="s">
        <v>117</v>
      </c>
      <c r="M3160" s="370">
        <v>3</v>
      </c>
      <c r="N3160" s="368" t="s">
        <v>151</v>
      </c>
      <c r="O3160" s="356" t="s">
        <v>1912</v>
      </c>
      <c r="P3160" s="370">
        <f t="shared" si="300"/>
        <v>89.6</v>
      </c>
      <c r="Q3160" s="356" t="s">
        <v>151</v>
      </c>
      <c r="R3160" s="370">
        <f t="shared" si="301"/>
        <v>268.79999999999995</v>
      </c>
      <c r="S3160" s="461">
        <v>0.879</v>
      </c>
      <c r="T3160" s="368" t="s">
        <v>107</v>
      </c>
      <c r="U3160" s="356" t="s">
        <v>989</v>
      </c>
      <c r="V3160" s="370">
        <f t="shared" ref="V3160:V3165" si="303">V3135</f>
        <v>1723.2</v>
      </c>
      <c r="W3160" s="357" t="s">
        <v>107</v>
      </c>
      <c r="X3160" s="370">
        <f t="shared" si="302"/>
        <v>1514.6928</v>
      </c>
      <c r="Y3160" s="370"/>
    </row>
    <row r="3161" spans="6:25" ht="15.75">
      <c r="H3161" s="372" t="s">
        <v>177</v>
      </c>
      <c r="K3161" s="369">
        <f>K3159/F3151</f>
        <v>3711.3030955013555</v>
      </c>
      <c r="M3161" s="370">
        <v>1</v>
      </c>
      <c r="N3161" s="368" t="s">
        <v>151</v>
      </c>
      <c r="O3161" s="356" t="s">
        <v>992</v>
      </c>
      <c r="P3161" s="370">
        <f t="shared" si="300"/>
        <v>181</v>
      </c>
      <c r="Q3161" s="356" t="s">
        <v>151</v>
      </c>
      <c r="R3161" s="370">
        <f t="shared" si="301"/>
        <v>181</v>
      </c>
      <c r="S3161" s="461">
        <v>4.3250000000000002</v>
      </c>
      <c r="T3161" s="368" t="s">
        <v>2954</v>
      </c>
      <c r="U3161" s="356" t="s">
        <v>2955</v>
      </c>
      <c r="V3161" s="370">
        <f t="shared" si="303"/>
        <v>15.45</v>
      </c>
      <c r="W3161" s="357" t="s">
        <v>107</v>
      </c>
      <c r="X3161" s="370">
        <f t="shared" si="302"/>
        <v>66.821250000000006</v>
      </c>
      <c r="Y3161" s="370"/>
    </row>
    <row r="3162" spans="6:25" ht="15">
      <c r="K3162" s="363" t="s">
        <v>156</v>
      </c>
      <c r="M3162" s="370">
        <v>1</v>
      </c>
      <c r="N3162" s="368" t="s">
        <v>151</v>
      </c>
      <c r="O3162" s="356" t="s">
        <v>993</v>
      </c>
      <c r="P3162" s="370">
        <f t="shared" si="300"/>
        <v>7.3</v>
      </c>
      <c r="Q3162" s="356" t="s">
        <v>151</v>
      </c>
      <c r="R3162" s="370">
        <f t="shared" si="301"/>
        <v>7.3</v>
      </c>
      <c r="S3162" s="370">
        <v>3</v>
      </c>
      <c r="T3162" s="368" t="s">
        <v>151</v>
      </c>
      <c r="U3162" s="356" t="s">
        <v>1912</v>
      </c>
      <c r="V3162" s="370">
        <f t="shared" si="303"/>
        <v>89.6</v>
      </c>
      <c r="W3162" s="357" t="s">
        <v>151</v>
      </c>
      <c r="X3162" s="370">
        <f t="shared" si="302"/>
        <v>268.79999999999995</v>
      </c>
      <c r="Y3162" s="370"/>
    </row>
    <row r="3163" spans="6:25" ht="15">
      <c r="M3163" s="370">
        <v>1</v>
      </c>
      <c r="N3163" s="368" t="s">
        <v>151</v>
      </c>
      <c r="O3163" s="356" t="s">
        <v>1944</v>
      </c>
      <c r="P3163" s="370">
        <f t="shared" si="300"/>
        <v>57.65</v>
      </c>
      <c r="Q3163" s="356" t="s">
        <v>151</v>
      </c>
      <c r="R3163" s="370">
        <f t="shared" si="301"/>
        <v>57.65</v>
      </c>
      <c r="S3163" s="370">
        <v>2</v>
      </c>
      <c r="T3163" s="368" t="s">
        <v>151</v>
      </c>
      <c r="U3163" s="356" t="s">
        <v>2961</v>
      </c>
      <c r="V3163" s="370">
        <f t="shared" si="303"/>
        <v>82.25</v>
      </c>
      <c r="W3163" s="357" t="s">
        <v>151</v>
      </c>
      <c r="X3163" s="370">
        <f t="shared" si="302"/>
        <v>164.5</v>
      </c>
      <c r="Y3163" s="370"/>
    </row>
    <row r="3164" spans="6:25" ht="15">
      <c r="M3164" s="370">
        <v>1</v>
      </c>
      <c r="N3164" s="368" t="s">
        <v>151</v>
      </c>
      <c r="O3164" s="356" t="s">
        <v>995</v>
      </c>
      <c r="P3164" s="370">
        <f t="shared" si="300"/>
        <v>49.55</v>
      </c>
      <c r="Q3164" s="356" t="s">
        <v>151</v>
      </c>
      <c r="R3164" s="370">
        <f t="shared" si="301"/>
        <v>49.55</v>
      </c>
      <c r="S3164" s="370">
        <v>1</v>
      </c>
      <c r="T3164" s="368" t="s">
        <v>151</v>
      </c>
      <c r="U3164" s="356" t="s">
        <v>2964</v>
      </c>
      <c r="V3164" s="370">
        <f t="shared" si="303"/>
        <v>57.65</v>
      </c>
      <c r="W3164" s="357" t="s">
        <v>151</v>
      </c>
      <c r="X3164" s="370">
        <f t="shared" si="302"/>
        <v>57.65</v>
      </c>
      <c r="Y3164" s="370"/>
    </row>
    <row r="3165" spans="6:25" ht="15.75">
      <c r="M3165" s="370">
        <v>58</v>
      </c>
      <c r="N3165" s="358"/>
      <c r="O3165" s="750" t="s">
        <v>2966</v>
      </c>
      <c r="P3165" s="35">
        <f>P2866</f>
        <v>2.41</v>
      </c>
      <c r="Q3165" s="360"/>
      <c r="R3165" s="370">
        <f t="shared" si="301"/>
        <v>139.78</v>
      </c>
      <c r="S3165" s="370">
        <v>1</v>
      </c>
      <c r="T3165" s="368" t="s">
        <v>151</v>
      </c>
      <c r="U3165" s="356" t="s">
        <v>993</v>
      </c>
      <c r="V3165" s="370">
        <f t="shared" si="303"/>
        <v>7.3</v>
      </c>
      <c r="W3165" s="357" t="s">
        <v>151</v>
      </c>
      <c r="X3165" s="370">
        <f t="shared" si="302"/>
        <v>7.3</v>
      </c>
      <c r="Y3165" s="370"/>
    </row>
    <row r="3166" spans="6:25" ht="15">
      <c r="N3166" s="358"/>
      <c r="O3166" s="357" t="s">
        <v>2873</v>
      </c>
      <c r="Q3166" s="360"/>
      <c r="R3166" s="370">
        <f>SUM(R3155:R3165)</f>
        <v>8066.2932099999998</v>
      </c>
      <c r="S3166" s="370">
        <v>36</v>
      </c>
      <c r="T3166" s="368" t="s">
        <v>151</v>
      </c>
      <c r="U3166" s="356" t="s">
        <v>2966</v>
      </c>
      <c r="V3166" s="370">
        <f>V3141</f>
        <v>2.41</v>
      </c>
      <c r="W3166" s="357" t="s">
        <v>151</v>
      </c>
      <c r="X3166" s="370">
        <f t="shared" si="302"/>
        <v>86.76</v>
      </c>
      <c r="Y3166" s="370"/>
    </row>
    <row r="3167" spans="6:25" ht="15">
      <c r="N3167" s="368" t="s">
        <v>114</v>
      </c>
      <c r="Q3167" s="360"/>
      <c r="R3167" s="363" t="s">
        <v>117</v>
      </c>
      <c r="S3167" s="370"/>
      <c r="T3167" s="368"/>
      <c r="U3167" s="356"/>
      <c r="V3167" s="370"/>
      <c r="W3167" s="357" t="s">
        <v>151</v>
      </c>
      <c r="X3167" s="363" t="s">
        <v>117</v>
      </c>
      <c r="Y3167" s="363"/>
    </row>
    <row r="3168" spans="6:25" ht="15.75">
      <c r="H3168" s="35" t="s">
        <v>2990</v>
      </c>
      <c r="J3168" s="35"/>
      <c r="N3168" s="358"/>
      <c r="O3168" s="372" t="s">
        <v>177</v>
      </c>
      <c r="Q3168" s="360"/>
      <c r="R3168" s="369">
        <f>R3166/M3158</f>
        <v>3577.0701596452327</v>
      </c>
      <c r="S3168" s="370"/>
      <c r="T3168" s="358"/>
      <c r="U3168" s="372" t="s">
        <v>2991</v>
      </c>
      <c r="W3168" s="361"/>
      <c r="X3168" s="370">
        <f>SUM(X3158:X3166)</f>
        <v>3285.6160024000005</v>
      </c>
      <c r="Y3168" s="370"/>
    </row>
    <row r="3169" spans="6:25" ht="15">
      <c r="J3169" s="35"/>
      <c r="N3169" s="358"/>
      <c r="Q3169" s="360"/>
      <c r="R3169" s="363" t="s">
        <v>156</v>
      </c>
      <c r="S3169" s="35"/>
      <c r="T3169" s="358"/>
      <c r="W3169" s="361"/>
      <c r="X3169" s="363" t="s">
        <v>117</v>
      </c>
      <c r="Y3169" s="363"/>
    </row>
    <row r="3170" spans="6:25" ht="15.75">
      <c r="F3170" s="35">
        <v>3.23</v>
      </c>
      <c r="G3170" s="358" t="s">
        <v>480</v>
      </c>
      <c r="H3170" s="35" t="s">
        <v>2992</v>
      </c>
      <c r="I3170" s="35">
        <f>I1507</f>
        <v>49.85</v>
      </c>
      <c r="J3170" s="358" t="s">
        <v>480</v>
      </c>
      <c r="K3170" s="35">
        <f>I3170*F3170</f>
        <v>161.0155</v>
      </c>
      <c r="S3170" s="35"/>
      <c r="T3170" s="368" t="s">
        <v>114</v>
      </c>
      <c r="U3170" s="372" t="s">
        <v>177</v>
      </c>
      <c r="W3170" s="361"/>
      <c r="X3170" s="369">
        <f>X3168/S3160</f>
        <v>3737.9021642775888</v>
      </c>
      <c r="Y3170" s="369"/>
    </row>
    <row r="3171" spans="6:25" ht="15">
      <c r="F3171" s="35">
        <v>0.5</v>
      </c>
      <c r="G3171" s="358" t="s">
        <v>260</v>
      </c>
      <c r="H3171" s="35" t="s">
        <v>2993</v>
      </c>
      <c r="I3171" s="35">
        <f>I1508</f>
        <v>956.4</v>
      </c>
      <c r="J3171" s="358" t="s">
        <v>260</v>
      </c>
      <c r="K3171" s="35">
        <f>I3171*F3171</f>
        <v>478.2</v>
      </c>
      <c r="S3171" s="35"/>
      <c r="T3171" s="358"/>
      <c r="W3171" s="361"/>
      <c r="X3171" s="363" t="s">
        <v>156</v>
      </c>
      <c r="Y3171" s="363"/>
    </row>
    <row r="3172" spans="6:25" ht="15.75">
      <c r="F3172" s="35">
        <v>0.5</v>
      </c>
      <c r="G3172" s="358" t="s">
        <v>260</v>
      </c>
      <c r="H3172" s="356" t="s">
        <v>153</v>
      </c>
      <c r="I3172" s="35">
        <f>I1509</f>
        <v>781.19999999999993</v>
      </c>
      <c r="J3172" s="358" t="s">
        <v>260</v>
      </c>
      <c r="K3172" s="35">
        <f>I3172*F3172</f>
        <v>390.59999999999997</v>
      </c>
      <c r="M3172" s="577"/>
      <c r="N3172" s="757" t="s">
        <v>122</v>
      </c>
      <c r="O3172" s="576" t="s">
        <v>2994</v>
      </c>
      <c r="P3172" s="750"/>
      <c r="Q3172" s="753"/>
      <c r="R3172" s="750"/>
      <c r="W3172" s="361"/>
    </row>
    <row r="3173" spans="6:25" ht="15.75">
      <c r="F3173" s="35">
        <v>0.8</v>
      </c>
      <c r="G3173" s="358" t="s">
        <v>260</v>
      </c>
      <c r="H3173" s="356" t="s">
        <v>154</v>
      </c>
      <c r="I3173" s="35">
        <f>I1510</f>
        <v>640.79999999999995</v>
      </c>
      <c r="J3173" s="358" t="s">
        <v>260</v>
      </c>
      <c r="K3173" s="35">
        <f>I3173*F3173</f>
        <v>512.64</v>
      </c>
      <c r="M3173" s="750"/>
      <c r="N3173" s="751"/>
      <c r="O3173" s="576" t="s">
        <v>1867</v>
      </c>
      <c r="P3173" s="750"/>
      <c r="Q3173" s="753"/>
      <c r="R3173" s="750"/>
      <c r="W3173" s="361"/>
    </row>
    <row r="3174" spans="6:25" ht="18">
      <c r="F3174" s="35">
        <v>10</v>
      </c>
      <c r="G3174" s="358" t="s">
        <v>262</v>
      </c>
      <c r="H3174" s="356" t="s">
        <v>277</v>
      </c>
      <c r="I3174" s="35">
        <f>C462</f>
        <v>5.04</v>
      </c>
      <c r="J3174" s="358" t="s">
        <v>262</v>
      </c>
      <c r="K3174" s="35">
        <f>I3174*F3174</f>
        <v>50.4</v>
      </c>
      <c r="M3174" s="750"/>
      <c r="N3174" s="751"/>
      <c r="O3174" s="855" t="s">
        <v>2995</v>
      </c>
      <c r="P3174" s="750"/>
      <c r="Q3174" s="753"/>
      <c r="R3174" s="750"/>
      <c r="W3174" s="361"/>
    </row>
    <row r="3175" spans="6:25" ht="15.75">
      <c r="H3175" s="356" t="s">
        <v>264</v>
      </c>
      <c r="I3175" s="471" t="s">
        <v>265</v>
      </c>
      <c r="J3175" s="361"/>
      <c r="K3175" s="35">
        <v>1.75</v>
      </c>
      <c r="M3175" s="750"/>
      <c r="N3175" s="751"/>
      <c r="O3175" s="758" t="s">
        <v>117</v>
      </c>
      <c r="P3175" s="750"/>
      <c r="Q3175" s="753"/>
      <c r="R3175" s="750"/>
      <c r="W3175" s="361"/>
    </row>
    <row r="3176" spans="6:25" ht="15.75">
      <c r="J3176" s="361"/>
      <c r="K3176" s="35">
        <f>SUM(K3170:K3175)</f>
        <v>1594.6055000000001</v>
      </c>
      <c r="M3176" s="750"/>
      <c r="N3176" s="751"/>
      <c r="O3176" s="576" t="s">
        <v>2996</v>
      </c>
      <c r="P3176" s="754" t="s">
        <v>156</v>
      </c>
      <c r="Q3176" s="856">
        <v>3.1219999999999999</v>
      </c>
      <c r="R3176" s="750" t="s">
        <v>262</v>
      </c>
      <c r="W3176" s="361"/>
    </row>
    <row r="3177" spans="6:25" ht="15.75">
      <c r="J3177" s="361"/>
      <c r="K3177" s="35">
        <f>K3176/10</f>
        <v>159.46055000000001</v>
      </c>
      <c r="M3177" s="750"/>
      <c r="N3177" s="751"/>
      <c r="O3177" s="576"/>
      <c r="P3177" s="754"/>
      <c r="Q3177" s="856"/>
      <c r="R3177" s="750"/>
      <c r="W3177" s="361"/>
    </row>
    <row r="3178" spans="6:25" ht="15.75">
      <c r="G3178" s="35"/>
      <c r="J3178" s="35"/>
      <c r="L3178" s="35">
        <f>K3212</f>
        <v>317.73700000000002</v>
      </c>
      <c r="M3178" s="750"/>
      <c r="N3178" s="751"/>
      <c r="O3178" s="576" t="s">
        <v>2997</v>
      </c>
      <c r="P3178" s="754" t="s">
        <v>156</v>
      </c>
      <c r="Q3178" s="857">
        <v>5.1999999999999998E-2</v>
      </c>
      <c r="R3178" s="750" t="s">
        <v>793</v>
      </c>
      <c r="W3178" s="361"/>
    </row>
    <row r="3179" spans="6:25" ht="15.75">
      <c r="G3179" s="35"/>
      <c r="J3179" s="35"/>
      <c r="L3179" s="35">
        <f>K3213</f>
        <v>669.4799999999999</v>
      </c>
      <c r="M3179" s="750"/>
      <c r="N3179" s="751"/>
      <c r="O3179" s="576" t="s">
        <v>2998</v>
      </c>
      <c r="Q3179" s="858"/>
      <c r="R3179" s="750"/>
      <c r="W3179" s="361"/>
    </row>
    <row r="3180" spans="6:25" ht="15.75">
      <c r="G3180" s="35"/>
      <c r="J3180" s="35"/>
      <c r="M3180" s="750"/>
      <c r="N3180" s="751"/>
      <c r="O3180" s="576" t="s">
        <v>2999</v>
      </c>
      <c r="P3180" s="754" t="s">
        <v>156</v>
      </c>
      <c r="Q3180" s="859">
        <v>2.2780000000000002E-2</v>
      </c>
      <c r="R3180" s="750"/>
      <c r="W3180" s="361"/>
    </row>
    <row r="3181" spans="6:25" ht="15.75">
      <c r="H3181" s="35" t="s">
        <v>3000</v>
      </c>
      <c r="J3181" s="35"/>
      <c r="L3181" s="35">
        <v>1.5</v>
      </c>
      <c r="M3181" s="750"/>
      <c r="N3181" s="751"/>
      <c r="O3181" s="576" t="s">
        <v>3001</v>
      </c>
      <c r="P3181" s="754" t="s">
        <v>156</v>
      </c>
      <c r="Q3181" s="859">
        <v>1.013E-2</v>
      </c>
      <c r="R3181" s="783"/>
      <c r="W3181" s="361"/>
    </row>
    <row r="3182" spans="6:25" ht="15.75">
      <c r="J3182" s="35"/>
      <c r="L3182" s="35">
        <f>SUM(L3178:L3181)</f>
        <v>988.71699999999987</v>
      </c>
      <c r="M3182" s="750"/>
      <c r="N3182" s="751"/>
      <c r="O3182" s="750"/>
      <c r="P3182" s="750"/>
      <c r="Q3182" s="758" t="s">
        <v>117</v>
      </c>
      <c r="W3182" s="361"/>
    </row>
    <row r="3183" spans="6:25" ht="15.75">
      <c r="F3183" s="35">
        <v>1.8</v>
      </c>
      <c r="G3183" s="358" t="s">
        <v>480</v>
      </c>
      <c r="H3183" s="35" t="s">
        <v>2992</v>
      </c>
      <c r="I3183" s="35">
        <f>I3170</f>
        <v>49.85</v>
      </c>
      <c r="J3183" s="358" t="s">
        <v>480</v>
      </c>
      <c r="K3183" s="35">
        <f>I3183*F3183</f>
        <v>89.73</v>
      </c>
      <c r="M3183" s="750"/>
      <c r="N3183" s="751"/>
      <c r="O3183" s="750"/>
      <c r="P3183" s="750"/>
      <c r="Q3183" s="860">
        <v>3.2910000000000002E-2</v>
      </c>
      <c r="R3183" s="35" t="s">
        <v>793</v>
      </c>
      <c r="W3183" s="361"/>
    </row>
    <row r="3184" spans="6:25" ht="15.75">
      <c r="F3184" s="35">
        <v>0.25</v>
      </c>
      <c r="G3184" s="358" t="s">
        <v>260</v>
      </c>
      <c r="H3184" s="35" t="s">
        <v>2993</v>
      </c>
      <c r="I3184" s="35">
        <f>I3171</f>
        <v>956.4</v>
      </c>
      <c r="J3184" s="358" t="s">
        <v>260</v>
      </c>
      <c r="K3184" s="35">
        <f>I3184*F3184</f>
        <v>239.1</v>
      </c>
      <c r="L3184" s="35">
        <f>L3182/10</f>
        <v>98.87169999999999</v>
      </c>
      <c r="M3184" s="750"/>
      <c r="N3184" s="751"/>
      <c r="O3184" s="750"/>
      <c r="P3184" s="750"/>
      <c r="Q3184" s="758" t="s">
        <v>117</v>
      </c>
      <c r="W3184" s="361"/>
    </row>
    <row r="3185" spans="6:23" ht="15.75">
      <c r="F3185" s="35">
        <v>0.25</v>
      </c>
      <c r="G3185" s="358" t="s">
        <v>260</v>
      </c>
      <c r="H3185" s="356" t="s">
        <v>153</v>
      </c>
      <c r="I3185" s="35">
        <f>I3172</f>
        <v>781.19999999999993</v>
      </c>
      <c r="J3185" s="358" t="s">
        <v>260</v>
      </c>
      <c r="K3185" s="35">
        <f>I3185*F3185</f>
        <v>195.29999999999998</v>
      </c>
      <c r="M3185" s="750"/>
      <c r="N3185" s="751"/>
      <c r="O3185" s="576" t="s">
        <v>3002</v>
      </c>
      <c r="P3185" s="750"/>
      <c r="Q3185" s="861">
        <v>1.7600000000000001E-2</v>
      </c>
      <c r="R3185" s="783"/>
      <c r="W3185" s="361"/>
    </row>
    <row r="3186" spans="6:23" ht="15.75">
      <c r="F3186" s="35">
        <v>0.4</v>
      </c>
      <c r="G3186" s="358" t="s">
        <v>260</v>
      </c>
      <c r="H3186" s="356" t="s">
        <v>154</v>
      </c>
      <c r="I3186" s="35">
        <f>I3173</f>
        <v>640.79999999999995</v>
      </c>
      <c r="J3186" s="358" t="s">
        <v>260</v>
      </c>
      <c r="K3186" s="35">
        <f>I3186*F3186</f>
        <v>256.32</v>
      </c>
      <c r="M3186" s="750"/>
      <c r="N3186" s="751"/>
      <c r="O3186" s="576" t="s">
        <v>3003</v>
      </c>
      <c r="P3186" s="750"/>
      <c r="Q3186" s="862">
        <v>8.3999999999999995E-3</v>
      </c>
      <c r="R3186" s="783"/>
      <c r="W3186" s="361"/>
    </row>
    <row r="3187" spans="6:23" ht="15.75">
      <c r="F3187" s="35">
        <v>10</v>
      </c>
      <c r="G3187" s="358" t="s">
        <v>262</v>
      </c>
      <c r="H3187" s="356" t="s">
        <v>3004</v>
      </c>
      <c r="I3187" s="35">
        <f>I3174</f>
        <v>5.04</v>
      </c>
      <c r="J3187" s="358" t="s">
        <v>262</v>
      </c>
      <c r="K3187" s="35">
        <f>I3187*F3187</f>
        <v>50.4</v>
      </c>
      <c r="M3187" s="750"/>
      <c r="N3187" s="751"/>
      <c r="O3187" s="576"/>
      <c r="P3187" s="750"/>
      <c r="Q3187" s="758" t="s">
        <v>117</v>
      </c>
      <c r="R3187" s="783"/>
      <c r="W3187" s="361"/>
    </row>
    <row r="3188" spans="6:23" ht="15.75">
      <c r="H3188" s="356" t="s">
        <v>264</v>
      </c>
      <c r="I3188" s="471" t="s">
        <v>278</v>
      </c>
      <c r="J3188" s="361"/>
      <c r="K3188" s="35">
        <v>1.6</v>
      </c>
      <c r="M3188" s="750"/>
      <c r="N3188" s="751"/>
      <c r="O3188" s="576"/>
      <c r="P3188" s="750"/>
      <c r="Q3188" s="863">
        <v>2.5999999999999999E-2</v>
      </c>
      <c r="R3188" s="783" t="s">
        <v>793</v>
      </c>
      <c r="W3188" s="361"/>
    </row>
    <row r="3189" spans="6:23" ht="15.75">
      <c r="J3189" s="361"/>
      <c r="K3189" s="35">
        <f>SUM(K3183:K3188)</f>
        <v>832.45</v>
      </c>
      <c r="M3189" s="750"/>
      <c r="N3189" s="751"/>
      <c r="O3189" s="750"/>
      <c r="P3189" s="750"/>
      <c r="Q3189" s="758" t="s">
        <v>117</v>
      </c>
      <c r="R3189" s="758"/>
      <c r="W3189" s="361"/>
    </row>
    <row r="3190" spans="6:23" ht="15.75">
      <c r="J3190" s="361"/>
      <c r="K3190" s="35">
        <f>K3189/10</f>
        <v>83.245000000000005</v>
      </c>
      <c r="M3190" s="783">
        <v>5.1999999999999998E-2</v>
      </c>
      <c r="N3190" s="757" t="s">
        <v>108</v>
      </c>
      <c r="O3190" s="576" t="s">
        <v>1883</v>
      </c>
      <c r="P3190" s="574">
        <f>AE26</f>
        <v>111965.44</v>
      </c>
      <c r="Q3190" s="577" t="s">
        <v>108</v>
      </c>
      <c r="R3190" s="574">
        <f>P3190*M3190</f>
        <v>5822.2028799999998</v>
      </c>
      <c r="W3190" s="361"/>
    </row>
    <row r="3191" spans="6:23" ht="15.75">
      <c r="G3191" s="35"/>
      <c r="J3191" s="35"/>
      <c r="M3191" s="783">
        <v>3.2910000000000002E-2</v>
      </c>
      <c r="N3191" s="757" t="s">
        <v>108</v>
      </c>
      <c r="O3191" s="576" t="s">
        <v>1885</v>
      </c>
      <c r="P3191" s="574">
        <f>AE27</f>
        <v>99765.440000000002</v>
      </c>
      <c r="Q3191" s="577" t="s">
        <v>108</v>
      </c>
      <c r="R3191" s="574">
        <f t="shared" ref="R3191:R3201" si="304">P3191*M3191</f>
        <v>3283.2806304000001</v>
      </c>
      <c r="W3191" s="361"/>
    </row>
    <row r="3192" spans="6:23" ht="15.75">
      <c r="G3192" s="35"/>
      <c r="J3192" s="35"/>
      <c r="M3192" s="783">
        <v>2.5999999999999999E-2</v>
      </c>
      <c r="N3192" s="757" t="s">
        <v>108</v>
      </c>
      <c r="O3192" s="576" t="s">
        <v>3005</v>
      </c>
      <c r="P3192" s="821">
        <v>107000</v>
      </c>
      <c r="Q3192" s="577" t="s">
        <v>108</v>
      </c>
      <c r="R3192" s="574">
        <f t="shared" si="304"/>
        <v>2782</v>
      </c>
      <c r="W3192" s="361"/>
    </row>
    <row r="3193" spans="6:23" ht="15.75">
      <c r="G3193" s="35"/>
      <c r="J3193" s="35"/>
      <c r="L3193" s="35">
        <f>K3227</f>
        <v>530.35800000000006</v>
      </c>
      <c r="M3193" s="813"/>
      <c r="N3193" s="751"/>
      <c r="O3193" s="576" t="s">
        <v>3006</v>
      </c>
      <c r="P3193" s="574"/>
      <c r="Q3193" s="753"/>
      <c r="R3193" s="574">
        <f t="shared" si="304"/>
        <v>0</v>
      </c>
      <c r="W3193" s="361"/>
    </row>
    <row r="3194" spans="6:23" ht="15.75">
      <c r="H3194" s="35" t="s">
        <v>255</v>
      </c>
      <c r="J3194" s="35"/>
      <c r="L3194" s="35">
        <f>K3228</f>
        <v>1147.6799999999998</v>
      </c>
      <c r="M3194" s="813">
        <v>3.1219999999999999</v>
      </c>
      <c r="N3194" s="757" t="s">
        <v>107</v>
      </c>
      <c r="O3194" s="576" t="s">
        <v>1880</v>
      </c>
      <c r="P3194" s="574">
        <f>I956</f>
        <v>1844.3999999999999</v>
      </c>
      <c r="Q3194" s="577" t="s">
        <v>107</v>
      </c>
      <c r="R3194" s="574">
        <f t="shared" si="304"/>
        <v>5758.2167999999992</v>
      </c>
      <c r="W3194" s="361"/>
    </row>
    <row r="3195" spans="6:23" ht="15.75">
      <c r="H3195" s="35" t="s">
        <v>285</v>
      </c>
      <c r="J3195" s="35"/>
      <c r="M3195" s="574">
        <v>4</v>
      </c>
      <c r="N3195" s="757" t="s">
        <v>223</v>
      </c>
      <c r="O3195" s="576" t="s">
        <v>3007</v>
      </c>
      <c r="P3195" s="574">
        <f>I2639</f>
        <v>254.5</v>
      </c>
      <c r="Q3195" s="577" t="s">
        <v>151</v>
      </c>
      <c r="R3195" s="574">
        <f t="shared" si="304"/>
        <v>1018</v>
      </c>
      <c r="W3195" s="361"/>
    </row>
    <row r="3196" spans="6:23" ht="15.75">
      <c r="H3196" s="35" t="s">
        <v>257</v>
      </c>
      <c r="J3196" s="35"/>
      <c r="L3196" s="35">
        <f>K3230</f>
        <v>6.65</v>
      </c>
      <c r="M3196" s="574">
        <v>8</v>
      </c>
      <c r="N3196" s="757" t="s">
        <v>151</v>
      </c>
      <c r="O3196" s="576" t="s">
        <v>1882</v>
      </c>
      <c r="P3196" s="574">
        <f>P3160</f>
        <v>89.6</v>
      </c>
      <c r="Q3196" s="577" t="s">
        <v>151</v>
      </c>
      <c r="R3196" s="574">
        <f t="shared" si="304"/>
        <v>716.8</v>
      </c>
      <c r="W3196" s="361"/>
    </row>
    <row r="3197" spans="6:23" ht="15.75">
      <c r="J3197" s="35"/>
      <c r="L3197" s="35">
        <f>SUM(L3193:L3196)</f>
        <v>1684.6880000000001</v>
      </c>
      <c r="M3197" s="574">
        <v>4</v>
      </c>
      <c r="N3197" s="757" t="s">
        <v>151</v>
      </c>
      <c r="O3197" s="864" t="s">
        <v>3008</v>
      </c>
      <c r="P3197" s="821">
        <v>97.85</v>
      </c>
      <c r="Q3197" s="577" t="s">
        <v>151</v>
      </c>
      <c r="R3197" s="574">
        <f t="shared" si="304"/>
        <v>391.4</v>
      </c>
      <c r="W3197" s="361"/>
    </row>
    <row r="3198" spans="6:23" ht="15.75">
      <c r="F3198" s="35">
        <v>1.1100000000000001</v>
      </c>
      <c r="G3198" s="358" t="s">
        <v>258</v>
      </c>
      <c r="H3198" s="35" t="s">
        <v>259</v>
      </c>
      <c r="I3198" s="35">
        <f>I1549</f>
        <v>227.6</v>
      </c>
      <c r="J3198" s="358" t="s">
        <v>258</v>
      </c>
      <c r="K3198" s="35">
        <f>I3198*F3198</f>
        <v>252.63600000000002</v>
      </c>
      <c r="M3198" s="574">
        <v>1</v>
      </c>
      <c r="N3198" s="757" t="s">
        <v>151</v>
      </c>
      <c r="O3198" s="864" t="s">
        <v>3009</v>
      </c>
      <c r="P3198" s="821">
        <v>209.9</v>
      </c>
      <c r="Q3198" s="577" t="s">
        <v>151</v>
      </c>
      <c r="R3198" s="574">
        <f t="shared" si="304"/>
        <v>209.9</v>
      </c>
      <c r="W3198" s="361"/>
    </row>
    <row r="3199" spans="6:23" ht="15.75">
      <c r="F3199" s="35">
        <v>0.7</v>
      </c>
      <c r="G3199" s="358" t="s">
        <v>260</v>
      </c>
      <c r="H3199" s="35" t="s">
        <v>261</v>
      </c>
      <c r="I3199" s="35">
        <f>I3184</f>
        <v>956.4</v>
      </c>
      <c r="J3199" s="358" t="s">
        <v>260</v>
      </c>
      <c r="K3199" s="35">
        <f>I3199*F3199</f>
        <v>669.4799999999999</v>
      </c>
      <c r="L3199" s="35">
        <f>L3197/10</f>
        <v>168.46880000000002</v>
      </c>
      <c r="M3199" s="574">
        <v>2</v>
      </c>
      <c r="N3199" s="757" t="s">
        <v>151</v>
      </c>
      <c r="O3199" s="864" t="s">
        <v>3010</v>
      </c>
      <c r="P3199" s="821">
        <v>23.1</v>
      </c>
      <c r="Q3199" s="577" t="s">
        <v>151</v>
      </c>
      <c r="R3199" s="574">
        <f t="shared" si="304"/>
        <v>46.2</v>
      </c>
      <c r="W3199" s="361"/>
    </row>
    <row r="3200" spans="6:23" ht="15.75">
      <c r="F3200" s="35">
        <v>10</v>
      </c>
      <c r="G3200" s="358" t="s">
        <v>262</v>
      </c>
      <c r="H3200" s="708" t="s">
        <v>3011</v>
      </c>
      <c r="I3200" s="698">
        <f>AG54</f>
        <v>10.92</v>
      </c>
      <c r="J3200" s="358" t="s">
        <v>262</v>
      </c>
      <c r="K3200" s="35">
        <f>I3200*F3200</f>
        <v>109.2</v>
      </c>
      <c r="M3200" s="574">
        <v>2</v>
      </c>
      <c r="N3200" s="757" t="s">
        <v>151</v>
      </c>
      <c r="O3200" s="864" t="s">
        <v>3012</v>
      </c>
      <c r="P3200" s="821">
        <v>49.55</v>
      </c>
      <c r="Q3200" s="577" t="s">
        <v>151</v>
      </c>
      <c r="R3200" s="574">
        <f t="shared" si="304"/>
        <v>99.1</v>
      </c>
      <c r="S3200" s="36">
        <f>0.42*3.122</f>
        <v>1.31124</v>
      </c>
      <c r="T3200" s="35">
        <f>S3200+19.79</f>
        <v>21.101240000000001</v>
      </c>
      <c r="W3200" s="361"/>
    </row>
    <row r="3201" spans="6:23" ht="15.75">
      <c r="H3201" s="356" t="s">
        <v>264</v>
      </c>
      <c r="I3201" s="35" t="s">
        <v>265</v>
      </c>
      <c r="J3201" s="361"/>
      <c r="K3201" s="35">
        <v>2.8</v>
      </c>
      <c r="M3201" s="574">
        <v>118</v>
      </c>
      <c r="N3201" s="757" t="s">
        <v>151</v>
      </c>
      <c r="O3201" s="750" t="s">
        <v>2966</v>
      </c>
      <c r="P3201" s="750">
        <f>I963</f>
        <v>2.41</v>
      </c>
      <c r="Q3201" s="577" t="s">
        <v>151</v>
      </c>
      <c r="R3201" s="574">
        <f t="shared" si="304"/>
        <v>284.38</v>
      </c>
      <c r="W3201" s="361"/>
    </row>
    <row r="3202" spans="6:23" ht="15.75">
      <c r="H3202" s="35" t="s">
        <v>176</v>
      </c>
      <c r="J3202" s="361"/>
      <c r="K3202" s="35">
        <f>SUM(K3198:K3201)</f>
        <v>1034.116</v>
      </c>
      <c r="M3202" s="750"/>
      <c r="N3202" s="751"/>
      <c r="O3202" s="750"/>
      <c r="P3202" s="750"/>
      <c r="Q3202" s="753"/>
      <c r="R3202" s="758" t="s">
        <v>117</v>
      </c>
      <c r="W3202" s="361"/>
    </row>
    <row r="3203" spans="6:23" ht="15.75">
      <c r="J3203" s="361"/>
      <c r="M3203" s="750"/>
      <c r="N3203" s="751"/>
      <c r="O3203" s="576" t="s">
        <v>3013</v>
      </c>
      <c r="P3203" s="750"/>
      <c r="Q3203" s="753"/>
      <c r="R3203" s="574">
        <f>SUM(R3190:R3201)</f>
        <v>20411.480310400002</v>
      </c>
      <c r="W3203" s="361"/>
    </row>
    <row r="3204" spans="6:23" ht="15.75">
      <c r="H3204" s="35" t="s">
        <v>177</v>
      </c>
      <c r="J3204" s="361"/>
      <c r="K3204" s="35">
        <f>K3202/10</f>
        <v>103.41159999999999</v>
      </c>
      <c r="M3204" s="750"/>
      <c r="N3204" s="751"/>
      <c r="O3204" s="750"/>
      <c r="P3204" s="750"/>
      <c r="Q3204" s="753"/>
      <c r="R3204" s="758" t="s">
        <v>117</v>
      </c>
      <c r="W3204" s="361"/>
    </row>
    <row r="3205" spans="6:23" ht="15.75">
      <c r="J3205" s="361"/>
      <c r="M3205" s="750"/>
      <c r="N3205" s="751"/>
      <c r="O3205" s="764" t="s">
        <v>177</v>
      </c>
      <c r="P3205" s="750"/>
      <c r="Q3205" s="755" t="s">
        <v>2807</v>
      </c>
      <c r="R3205" s="765">
        <f>R3203/M3194</f>
        <v>6537.9501314541967</v>
      </c>
      <c r="W3205" s="361"/>
    </row>
    <row r="3206" spans="6:23" ht="15.75">
      <c r="J3206" s="361"/>
      <c r="M3206" s="577"/>
      <c r="N3206" s="757" t="s">
        <v>122</v>
      </c>
      <c r="O3206" s="576" t="s">
        <v>3014</v>
      </c>
      <c r="P3206" s="750"/>
      <c r="Q3206" s="753"/>
      <c r="R3206" s="750"/>
      <c r="W3206" s="361"/>
    </row>
    <row r="3207" spans="6:23" ht="15.75">
      <c r="J3207" s="361"/>
      <c r="M3207" s="750"/>
      <c r="N3207" s="751"/>
      <c r="O3207" s="576" t="s">
        <v>1867</v>
      </c>
      <c r="P3207" s="750"/>
      <c r="Q3207" s="753"/>
      <c r="R3207" s="750"/>
      <c r="W3207" s="361"/>
    </row>
    <row r="3208" spans="6:23" ht="18">
      <c r="H3208" s="35" t="s">
        <v>255</v>
      </c>
      <c r="J3208" s="361"/>
      <c r="M3208" s="750"/>
      <c r="N3208" s="751"/>
      <c r="O3208" s="855" t="s">
        <v>2995</v>
      </c>
      <c r="P3208" s="750"/>
      <c r="Q3208" s="753"/>
      <c r="R3208" s="750"/>
      <c r="W3208" s="361"/>
    </row>
    <row r="3209" spans="6:23" ht="15.75">
      <c r="H3209" s="35" t="s">
        <v>256</v>
      </c>
      <c r="J3209" s="361"/>
      <c r="L3209" s="35">
        <f>K3243</f>
        <v>430.16399999999999</v>
      </c>
      <c r="M3209" s="750"/>
      <c r="N3209" s="751"/>
      <c r="O3209" s="758" t="s">
        <v>117</v>
      </c>
      <c r="P3209" s="750"/>
      <c r="Q3209" s="753"/>
      <c r="R3209" s="750"/>
      <c r="W3209" s="361"/>
    </row>
    <row r="3210" spans="6:23" ht="15.75">
      <c r="H3210" s="35" t="s">
        <v>257</v>
      </c>
      <c r="J3210" s="361"/>
      <c r="L3210" s="35">
        <f>K3244</f>
        <v>1052.04</v>
      </c>
      <c r="M3210" s="750"/>
      <c r="N3210" s="751"/>
      <c r="O3210" s="576" t="s">
        <v>2996</v>
      </c>
      <c r="P3210" s="754" t="s">
        <v>156</v>
      </c>
      <c r="Q3210" s="856">
        <v>3.1219999999999999</v>
      </c>
      <c r="R3210" s="816" t="s">
        <v>262</v>
      </c>
      <c r="W3210" s="361"/>
    </row>
    <row r="3211" spans="6:23" ht="15.75">
      <c r="J3211" s="361"/>
      <c r="M3211" s="750"/>
      <c r="N3211" s="751"/>
      <c r="O3211" s="576"/>
      <c r="P3211" s="754"/>
      <c r="Q3211" s="856"/>
      <c r="R3211" s="816"/>
      <c r="W3211" s="361"/>
    </row>
    <row r="3212" spans="6:23" ht="15.75">
      <c r="F3212" s="35">
        <v>1.33</v>
      </c>
      <c r="G3212" s="358" t="s">
        <v>258</v>
      </c>
      <c r="H3212" s="35" t="s">
        <v>259</v>
      </c>
      <c r="I3212" s="35">
        <f>I1536</f>
        <v>238.9</v>
      </c>
      <c r="J3212" s="358" t="s">
        <v>258</v>
      </c>
      <c r="K3212" s="35">
        <f>I3212*F3212</f>
        <v>317.73700000000002</v>
      </c>
      <c r="L3212" s="35">
        <f>K3246</f>
        <v>1.9</v>
      </c>
      <c r="M3212" s="750"/>
      <c r="N3212" s="751"/>
      <c r="O3212" s="576" t="s">
        <v>2997</v>
      </c>
      <c r="P3212" s="754" t="s">
        <v>156</v>
      </c>
      <c r="Q3212" s="857">
        <v>5.1999999999999998E-2</v>
      </c>
      <c r="R3212" s="816" t="s">
        <v>793</v>
      </c>
      <c r="W3212" s="361"/>
    </row>
    <row r="3213" spans="6:23" ht="15.75">
      <c r="F3213" s="35">
        <v>0.7</v>
      </c>
      <c r="G3213" s="358" t="s">
        <v>260</v>
      </c>
      <c r="H3213" s="35" t="s">
        <v>261</v>
      </c>
      <c r="I3213" s="35">
        <f>I3199</f>
        <v>956.4</v>
      </c>
      <c r="J3213" s="358" t="s">
        <v>260</v>
      </c>
      <c r="K3213" s="35">
        <f>I3213*F3213</f>
        <v>669.4799999999999</v>
      </c>
      <c r="L3213" s="35">
        <f>SUM(L3209:L3212)</f>
        <v>1484.104</v>
      </c>
      <c r="M3213" s="750"/>
      <c r="N3213" s="751"/>
      <c r="O3213" s="576" t="s">
        <v>2998</v>
      </c>
      <c r="Q3213" s="858"/>
      <c r="R3213" s="816"/>
      <c r="W3213" s="361"/>
    </row>
    <row r="3214" spans="6:23" ht="15.75">
      <c r="F3214" s="35">
        <v>10</v>
      </c>
      <c r="G3214" s="358" t="s">
        <v>262</v>
      </c>
      <c r="H3214" s="495" t="s">
        <v>263</v>
      </c>
      <c r="I3214" s="698">
        <f>AG55</f>
        <v>11.819999999999999</v>
      </c>
      <c r="J3214" s="358" t="s">
        <v>262</v>
      </c>
      <c r="K3214" s="35">
        <f>I3214*F3214</f>
        <v>118.19999999999999</v>
      </c>
      <c r="M3214" s="750"/>
      <c r="N3214" s="751"/>
      <c r="O3214" s="576" t="s">
        <v>3015</v>
      </c>
      <c r="P3214" s="754" t="s">
        <v>156</v>
      </c>
      <c r="Q3214" s="859">
        <v>2.2780000000000002E-2</v>
      </c>
      <c r="R3214" s="816"/>
      <c r="W3214" s="361"/>
    </row>
    <row r="3215" spans="6:23" ht="15.75">
      <c r="H3215" s="35" t="s">
        <v>264</v>
      </c>
      <c r="I3215" s="35" t="s">
        <v>265</v>
      </c>
      <c r="J3215" s="361"/>
      <c r="K3215" s="35">
        <v>3.43</v>
      </c>
      <c r="M3215" s="750"/>
      <c r="N3215" s="751"/>
      <c r="O3215" s="576" t="s">
        <v>3001</v>
      </c>
      <c r="P3215" s="754" t="s">
        <v>156</v>
      </c>
      <c r="Q3215" s="859">
        <v>1.013E-2</v>
      </c>
      <c r="R3215" s="817"/>
      <c r="W3215" s="361"/>
    </row>
    <row r="3216" spans="6:23" ht="15.75">
      <c r="H3216" s="35" t="s">
        <v>176</v>
      </c>
      <c r="J3216" s="361"/>
      <c r="K3216" s="35">
        <f>SUM(K3212:K3215)</f>
        <v>1108.847</v>
      </c>
      <c r="M3216" s="750"/>
      <c r="N3216" s="751"/>
      <c r="O3216" s="750"/>
      <c r="P3216" s="750"/>
      <c r="Q3216" s="865" t="s">
        <v>3016</v>
      </c>
      <c r="R3216" s="360"/>
      <c r="W3216" s="361"/>
    </row>
    <row r="3217" spans="6:23" ht="15.75">
      <c r="J3217" s="361"/>
      <c r="M3217" s="750"/>
      <c r="N3217" s="751"/>
      <c r="O3217" s="750"/>
      <c r="P3217" s="750"/>
      <c r="Q3217" s="860">
        <v>3.2910000000000002E-2</v>
      </c>
      <c r="R3217" s="360" t="s">
        <v>793</v>
      </c>
      <c r="W3217" s="361"/>
    </row>
    <row r="3218" spans="6:23" ht="15.75">
      <c r="H3218" s="35" t="s">
        <v>177</v>
      </c>
      <c r="J3218" s="361"/>
      <c r="K3218" s="35">
        <f>K3216/10</f>
        <v>110.8847</v>
      </c>
      <c r="M3218" s="750"/>
      <c r="N3218" s="751"/>
      <c r="O3218" s="750"/>
      <c r="P3218" s="750"/>
      <c r="Q3218" s="865" t="s">
        <v>3016</v>
      </c>
      <c r="R3218" s="360"/>
      <c r="W3218" s="361"/>
    </row>
    <row r="3219" spans="6:23" ht="15.75">
      <c r="J3219" s="361"/>
      <c r="M3219" s="750"/>
      <c r="N3219" s="751"/>
      <c r="O3219" s="576" t="s">
        <v>3017</v>
      </c>
      <c r="P3219" s="750"/>
      <c r="Q3219" s="724">
        <v>0.94</v>
      </c>
      <c r="R3219" s="817" t="s">
        <v>262</v>
      </c>
      <c r="W3219" s="361"/>
    </row>
    <row r="3220" spans="6:23" ht="15.75">
      <c r="J3220" s="361"/>
      <c r="M3220" s="750"/>
      <c r="N3220" s="751"/>
      <c r="O3220" s="576" t="s">
        <v>3018</v>
      </c>
      <c r="P3220" s="750"/>
      <c r="Q3220" s="863">
        <v>8.3999999999999995E-3</v>
      </c>
      <c r="R3220" s="817" t="s">
        <v>793</v>
      </c>
      <c r="W3220" s="361"/>
    </row>
    <row r="3221" spans="6:23" ht="15.75">
      <c r="J3221" s="361"/>
      <c r="M3221" s="750"/>
      <c r="N3221" s="751"/>
      <c r="O3221" s="576" t="s">
        <v>3019</v>
      </c>
      <c r="P3221" s="750"/>
      <c r="Q3221" s="863">
        <v>7.9</v>
      </c>
      <c r="R3221" s="817" t="s">
        <v>31</v>
      </c>
      <c r="W3221" s="361"/>
    </row>
    <row r="3222" spans="6:23" ht="15.75">
      <c r="J3222" s="361"/>
      <c r="M3222" s="750"/>
      <c r="N3222" s="751"/>
      <c r="O3222" s="750"/>
      <c r="P3222" s="750"/>
      <c r="Q3222" s="758"/>
      <c r="R3222" s="758"/>
      <c r="W3222" s="361"/>
    </row>
    <row r="3223" spans="6:23" ht="15.75">
      <c r="H3223" s="35" t="s">
        <v>3020</v>
      </c>
      <c r="J3223" s="361"/>
      <c r="M3223" s="783">
        <v>5.1999999999999998E-2</v>
      </c>
      <c r="N3223" s="757" t="s">
        <v>108</v>
      </c>
      <c r="O3223" s="576" t="s">
        <v>1883</v>
      </c>
      <c r="P3223" s="574">
        <f>P3190</f>
        <v>111965.44</v>
      </c>
      <c r="Q3223" s="577" t="s">
        <v>108</v>
      </c>
      <c r="R3223" s="574">
        <f>P3223*M3223</f>
        <v>5822.2028799999998</v>
      </c>
      <c r="W3223" s="361"/>
    </row>
    <row r="3224" spans="6:23" ht="15.75">
      <c r="H3224" s="35" t="s">
        <v>256</v>
      </c>
      <c r="J3224" s="361"/>
      <c r="M3224" s="783">
        <v>3.2910000000000002E-2</v>
      </c>
      <c r="N3224" s="757" t="s">
        <v>108</v>
      </c>
      <c r="O3224" s="576" t="s">
        <v>1885</v>
      </c>
      <c r="P3224" s="574">
        <f>P3191</f>
        <v>99765.440000000002</v>
      </c>
      <c r="Q3224" s="577" t="s">
        <v>108</v>
      </c>
      <c r="R3224" s="574">
        <f t="shared" ref="R3224:R3236" si="305">P3224*M3224</f>
        <v>3283.2806304000001</v>
      </c>
      <c r="W3224" s="361"/>
    </row>
    <row r="3225" spans="6:23" ht="15.75">
      <c r="H3225" s="35" t="s">
        <v>257</v>
      </c>
      <c r="J3225" s="361"/>
      <c r="M3225" s="783">
        <v>8.3999999999999995E-3</v>
      </c>
      <c r="N3225" s="757" t="s">
        <v>108</v>
      </c>
      <c r="O3225" s="866" t="s">
        <v>3005</v>
      </c>
      <c r="P3225" s="574">
        <f>P3192</f>
        <v>107000</v>
      </c>
      <c r="Q3225" s="577" t="s">
        <v>108</v>
      </c>
      <c r="R3225" s="574">
        <f t="shared" si="305"/>
        <v>898.8</v>
      </c>
      <c r="W3225" s="361"/>
    </row>
    <row r="3226" spans="6:23" ht="15.75">
      <c r="J3226" s="361"/>
      <c r="M3226" s="813"/>
      <c r="N3226" s="751"/>
      <c r="O3226" s="576" t="s">
        <v>3021</v>
      </c>
      <c r="P3226" s="574"/>
      <c r="Q3226" s="753"/>
      <c r="R3226" s="574">
        <f t="shared" si="305"/>
        <v>0</v>
      </c>
      <c r="W3226" s="361"/>
    </row>
    <row r="3227" spans="6:23" ht="15.75">
      <c r="F3227" s="35">
        <v>2.2200000000000002</v>
      </c>
      <c r="G3227" s="358" t="s">
        <v>258</v>
      </c>
      <c r="H3227" s="35" t="s">
        <v>259</v>
      </c>
      <c r="I3227" s="35">
        <f>I3212</f>
        <v>238.9</v>
      </c>
      <c r="J3227" s="358" t="s">
        <v>258</v>
      </c>
      <c r="K3227" s="35">
        <f>I3227*F3227</f>
        <v>530.35800000000006</v>
      </c>
      <c r="M3227" s="813">
        <v>0.94</v>
      </c>
      <c r="N3227" s="757" t="s">
        <v>107</v>
      </c>
      <c r="O3227" s="866" t="s">
        <v>3022</v>
      </c>
      <c r="P3227" s="821">
        <v>562.5</v>
      </c>
      <c r="Q3227" s="753" t="s">
        <v>107</v>
      </c>
      <c r="R3227" s="574">
        <f t="shared" si="305"/>
        <v>528.75</v>
      </c>
      <c r="W3227" s="361"/>
    </row>
    <row r="3228" spans="6:23" ht="15.75">
      <c r="F3228" s="35">
        <v>1.2</v>
      </c>
      <c r="G3228" s="358" t="s">
        <v>260</v>
      </c>
      <c r="H3228" s="35" t="s">
        <v>261</v>
      </c>
      <c r="I3228" s="35">
        <f>I3213</f>
        <v>956.4</v>
      </c>
      <c r="J3228" s="358" t="s">
        <v>260</v>
      </c>
      <c r="K3228" s="35">
        <f>I3228*F3228</f>
        <v>1147.6799999999998</v>
      </c>
      <c r="M3228" s="813">
        <v>7.9</v>
      </c>
      <c r="N3228" s="757" t="s">
        <v>110</v>
      </c>
      <c r="O3228" s="866" t="s">
        <v>3023</v>
      </c>
      <c r="P3228" s="821">
        <v>15.45</v>
      </c>
      <c r="Q3228" s="753" t="s">
        <v>31</v>
      </c>
      <c r="R3228" s="574">
        <f t="shared" si="305"/>
        <v>122.05500000000001</v>
      </c>
      <c r="W3228" s="361"/>
    </row>
    <row r="3229" spans="6:23" ht="15.75">
      <c r="F3229" s="35">
        <v>10</v>
      </c>
      <c r="G3229" s="358" t="s">
        <v>262</v>
      </c>
      <c r="H3229" s="35" t="s">
        <v>3004</v>
      </c>
      <c r="I3229" s="35">
        <f>I3214</f>
        <v>11.819999999999999</v>
      </c>
      <c r="J3229" s="358" t="s">
        <v>262</v>
      </c>
      <c r="K3229" s="35">
        <f>I3229*F3229</f>
        <v>118.19999999999999</v>
      </c>
      <c r="M3229" s="813">
        <v>3.1219999999999999</v>
      </c>
      <c r="N3229" s="757" t="s">
        <v>107</v>
      </c>
      <c r="O3229" s="866" t="s">
        <v>3024</v>
      </c>
      <c r="P3229" s="821">
        <f>AG58</f>
        <v>1723.2</v>
      </c>
      <c r="Q3229" s="577" t="s">
        <v>107</v>
      </c>
      <c r="R3229" s="574">
        <f t="shared" si="305"/>
        <v>5379.8303999999998</v>
      </c>
      <c r="W3229" s="361"/>
    </row>
    <row r="3230" spans="6:23" ht="15.75">
      <c r="H3230" s="35" t="s">
        <v>264</v>
      </c>
      <c r="I3230" s="35" t="s">
        <v>265</v>
      </c>
      <c r="J3230" s="361"/>
      <c r="K3230" s="35">
        <v>6.65</v>
      </c>
      <c r="M3230" s="574">
        <v>4</v>
      </c>
      <c r="N3230" s="757" t="s">
        <v>223</v>
      </c>
      <c r="O3230" s="576" t="s">
        <v>3025</v>
      </c>
      <c r="P3230" s="574">
        <f>C600</f>
        <v>57.65</v>
      </c>
      <c r="Q3230" s="577" t="s">
        <v>151</v>
      </c>
      <c r="R3230" s="574">
        <f t="shared" si="305"/>
        <v>230.6</v>
      </c>
      <c r="W3230" s="361"/>
    </row>
    <row r="3231" spans="6:23" ht="15.75">
      <c r="H3231" s="35" t="s">
        <v>176</v>
      </c>
      <c r="J3231" s="361"/>
      <c r="K3231" s="35">
        <f>SUM(K3227:K3230)</f>
        <v>1802.8880000000001</v>
      </c>
      <c r="M3231" s="574">
        <v>8</v>
      </c>
      <c r="N3231" s="757" t="s">
        <v>151</v>
      </c>
      <c r="O3231" s="576" t="s">
        <v>3026</v>
      </c>
      <c r="P3231" s="574">
        <f>C281</f>
        <v>89.6</v>
      </c>
      <c r="Q3231" s="577" t="s">
        <v>151</v>
      </c>
      <c r="R3231" s="574">
        <f t="shared" si="305"/>
        <v>716.8</v>
      </c>
      <c r="W3231" s="361"/>
    </row>
    <row r="3232" spans="6:23" ht="15.75">
      <c r="J3232" s="361"/>
      <c r="M3232" s="574">
        <v>4</v>
      </c>
      <c r="N3232" s="757" t="s">
        <v>151</v>
      </c>
      <c r="O3232" s="576" t="s">
        <v>3027</v>
      </c>
      <c r="P3232" s="574">
        <f>P3197</f>
        <v>97.85</v>
      </c>
      <c r="Q3232" s="577" t="s">
        <v>151</v>
      </c>
      <c r="R3232" s="574">
        <f t="shared" si="305"/>
        <v>391.4</v>
      </c>
      <c r="W3232" s="361"/>
    </row>
    <row r="3233" spans="6:23" ht="15.75">
      <c r="H3233" s="35" t="s">
        <v>177</v>
      </c>
      <c r="J3233" s="361"/>
      <c r="K3233" s="35">
        <f>K3231/10</f>
        <v>180.28880000000001</v>
      </c>
      <c r="M3233" s="574">
        <v>1</v>
      </c>
      <c r="N3233" s="757" t="s">
        <v>151</v>
      </c>
      <c r="O3233" s="576" t="s">
        <v>3028</v>
      </c>
      <c r="P3233" s="574">
        <f>P3198</f>
        <v>209.9</v>
      </c>
      <c r="Q3233" s="577" t="s">
        <v>151</v>
      </c>
      <c r="R3233" s="574">
        <f t="shared" si="305"/>
        <v>209.9</v>
      </c>
      <c r="W3233" s="361"/>
    </row>
    <row r="3234" spans="6:23" ht="15.75">
      <c r="J3234" s="361"/>
      <c r="L3234" s="35">
        <f>K3268</f>
        <v>284.40000000000003</v>
      </c>
      <c r="M3234" s="574">
        <v>2</v>
      </c>
      <c r="N3234" s="757" t="s">
        <v>151</v>
      </c>
      <c r="O3234" s="576" t="s">
        <v>3029</v>
      </c>
      <c r="P3234" s="574">
        <f>P3199</f>
        <v>23.1</v>
      </c>
      <c r="Q3234" s="577" t="s">
        <v>151</v>
      </c>
      <c r="R3234" s="574">
        <f t="shared" si="305"/>
        <v>46.2</v>
      </c>
      <c r="W3234" s="361"/>
    </row>
    <row r="3235" spans="6:23" ht="15.75">
      <c r="J3235" s="361"/>
      <c r="L3235" s="35">
        <f>K3269</f>
        <v>239.1</v>
      </c>
      <c r="M3235" s="574">
        <v>2</v>
      </c>
      <c r="N3235" s="757" t="s">
        <v>151</v>
      </c>
      <c r="O3235" s="576" t="s">
        <v>3030</v>
      </c>
      <c r="P3235" s="574">
        <f>P3200</f>
        <v>49.55</v>
      </c>
      <c r="Q3235" s="577" t="s">
        <v>151</v>
      </c>
      <c r="R3235" s="574">
        <f t="shared" si="305"/>
        <v>99.1</v>
      </c>
      <c r="W3235" s="361"/>
    </row>
    <row r="3236" spans="6:23" ht="15.75">
      <c r="J3236" s="361"/>
      <c r="L3236" s="35">
        <f>K3270</f>
        <v>195.29999999999998</v>
      </c>
      <c r="M3236" s="574">
        <v>118</v>
      </c>
      <c r="N3236" s="757" t="s">
        <v>151</v>
      </c>
      <c r="O3236" s="750" t="s">
        <v>2966</v>
      </c>
      <c r="P3236" s="750">
        <f>P3201</f>
        <v>2.41</v>
      </c>
      <c r="Q3236" s="577" t="s">
        <v>151</v>
      </c>
      <c r="R3236" s="574">
        <f t="shared" si="305"/>
        <v>284.38</v>
      </c>
      <c r="W3236" s="361"/>
    </row>
    <row r="3237" spans="6:23" ht="15.75">
      <c r="J3237" s="361"/>
      <c r="L3237" s="35">
        <f>K3271</f>
        <v>256.32</v>
      </c>
      <c r="M3237" s="750"/>
      <c r="N3237" s="751"/>
      <c r="O3237" s="750"/>
      <c r="P3237" s="750"/>
      <c r="Q3237" s="753"/>
      <c r="R3237" s="758" t="s">
        <v>117</v>
      </c>
      <c r="W3237" s="361"/>
    </row>
    <row r="3238" spans="6:23" ht="15.75">
      <c r="J3238" s="361"/>
      <c r="L3238" s="35">
        <f>K3272</f>
        <v>1.65</v>
      </c>
      <c r="M3238" s="750"/>
      <c r="N3238" s="751"/>
      <c r="O3238" s="576" t="s">
        <v>3013</v>
      </c>
      <c r="P3238" s="750"/>
      <c r="Q3238" s="753"/>
      <c r="R3238" s="574">
        <f>SUM(R3223:R3236)</f>
        <v>18013.298910400004</v>
      </c>
      <c r="W3238" s="361"/>
    </row>
    <row r="3239" spans="6:23" ht="15.75">
      <c r="H3239" s="35" t="s">
        <v>3020</v>
      </c>
      <c r="J3239" s="361"/>
      <c r="M3239" s="750"/>
      <c r="N3239" s="751"/>
      <c r="O3239" s="750"/>
      <c r="P3239" s="750"/>
      <c r="Q3239" s="753"/>
      <c r="R3239" s="758" t="s">
        <v>117</v>
      </c>
      <c r="W3239" s="361"/>
    </row>
    <row r="3240" spans="6:23" ht="15.75">
      <c r="H3240" s="35" t="s">
        <v>285</v>
      </c>
      <c r="J3240" s="361"/>
      <c r="M3240" s="750"/>
      <c r="N3240" s="751"/>
      <c r="O3240" s="764" t="s">
        <v>177</v>
      </c>
      <c r="P3240" s="750"/>
      <c r="Q3240" s="755" t="s">
        <v>2807</v>
      </c>
      <c r="R3240" s="765">
        <f>R3238/M3229</f>
        <v>5769.79465419603</v>
      </c>
      <c r="W3240" s="361"/>
    </row>
    <row r="3241" spans="6:23" ht="15.75">
      <c r="H3241" s="35" t="s">
        <v>257</v>
      </c>
      <c r="J3241" s="361"/>
      <c r="L3241" s="35">
        <f>SUM(L3234:L3240)</f>
        <v>976.76999999999987</v>
      </c>
      <c r="M3241" s="577"/>
      <c r="N3241" s="757" t="s">
        <v>122</v>
      </c>
      <c r="O3241" s="576" t="s">
        <v>2994</v>
      </c>
      <c r="P3241" s="750"/>
      <c r="Q3241" s="753"/>
      <c r="R3241" s="750"/>
      <c r="W3241" s="361"/>
    </row>
    <row r="3242" spans="6:23" ht="15.75">
      <c r="J3242" s="361"/>
      <c r="M3242" s="750"/>
      <c r="N3242" s="751"/>
      <c r="O3242" s="576" t="s">
        <v>1867</v>
      </c>
      <c r="P3242" s="750"/>
      <c r="Q3242" s="753"/>
      <c r="R3242" s="750"/>
      <c r="W3242" s="361"/>
    </row>
    <row r="3243" spans="6:23" ht="18">
      <c r="F3243" s="35">
        <v>1.89</v>
      </c>
      <c r="G3243" s="358" t="s">
        <v>258</v>
      </c>
      <c r="H3243" s="35" t="s">
        <v>259</v>
      </c>
      <c r="I3243" s="35">
        <f>I3198</f>
        <v>227.6</v>
      </c>
      <c r="J3243" s="358" t="s">
        <v>258</v>
      </c>
      <c r="K3243" s="35">
        <f>I3243*F3243</f>
        <v>430.16399999999999</v>
      </c>
      <c r="L3243" s="35">
        <f>L3241/10</f>
        <v>97.676999999999992</v>
      </c>
      <c r="M3243" s="750"/>
      <c r="N3243" s="751"/>
      <c r="O3243" s="855" t="s">
        <v>3031</v>
      </c>
      <c r="P3243" s="750"/>
      <c r="Q3243" s="753"/>
      <c r="R3243" s="750"/>
      <c r="W3243" s="361"/>
    </row>
    <row r="3244" spans="6:23" ht="15.75">
      <c r="F3244" s="35">
        <v>1.1000000000000001</v>
      </c>
      <c r="G3244" s="358" t="s">
        <v>260</v>
      </c>
      <c r="H3244" s="35" t="s">
        <v>261</v>
      </c>
      <c r="I3244" s="35">
        <f>I3199</f>
        <v>956.4</v>
      </c>
      <c r="J3244" s="358" t="s">
        <v>260</v>
      </c>
      <c r="K3244" s="35">
        <f>I3244*F3244</f>
        <v>1052.04</v>
      </c>
      <c r="M3244" s="750"/>
      <c r="N3244" s="751"/>
      <c r="O3244" s="758" t="s">
        <v>117</v>
      </c>
      <c r="P3244" s="750"/>
      <c r="Q3244" s="753"/>
      <c r="R3244" s="750"/>
      <c r="W3244" s="361"/>
    </row>
    <row r="3245" spans="6:23" ht="15.75">
      <c r="F3245" s="35">
        <v>10</v>
      </c>
      <c r="G3245" s="358" t="s">
        <v>262</v>
      </c>
      <c r="H3245" s="356" t="s">
        <v>3004</v>
      </c>
      <c r="I3245" s="698">
        <f>I3200</f>
        <v>10.92</v>
      </c>
      <c r="J3245" s="358" t="s">
        <v>262</v>
      </c>
      <c r="K3245" s="35">
        <f>I3245*F3245</f>
        <v>109.2</v>
      </c>
      <c r="M3245" s="750"/>
      <c r="N3245" s="751"/>
      <c r="O3245" s="576" t="s">
        <v>3032</v>
      </c>
      <c r="P3245" s="754" t="s">
        <v>156</v>
      </c>
      <c r="Q3245" s="856">
        <v>2.4279999999999999</v>
      </c>
      <c r="R3245" s="750" t="s">
        <v>262</v>
      </c>
      <c r="W3245" s="361"/>
    </row>
    <row r="3246" spans="6:23" ht="15.75">
      <c r="H3246" s="356" t="s">
        <v>264</v>
      </c>
      <c r="I3246" s="35" t="s">
        <v>265</v>
      </c>
      <c r="J3246" s="361"/>
      <c r="K3246" s="35">
        <v>1.9</v>
      </c>
      <c r="M3246" s="750"/>
      <c r="N3246" s="751"/>
      <c r="O3246" s="576"/>
      <c r="P3246" s="754"/>
      <c r="Q3246" s="856"/>
      <c r="R3246" s="750"/>
      <c r="W3246" s="361"/>
    </row>
    <row r="3247" spans="6:23" ht="15.75">
      <c r="H3247" s="35" t="s">
        <v>176</v>
      </c>
      <c r="J3247" s="361"/>
      <c r="K3247" s="35">
        <f>SUM(K3243:K3246)</f>
        <v>1593.3040000000001</v>
      </c>
      <c r="M3247" s="750"/>
      <c r="N3247" s="751"/>
      <c r="O3247" s="576" t="s">
        <v>2997</v>
      </c>
      <c r="P3247" s="754" t="s">
        <v>156</v>
      </c>
      <c r="Q3247" s="857">
        <v>5.1999999999999998E-2</v>
      </c>
      <c r="R3247" s="750" t="s">
        <v>793</v>
      </c>
      <c r="T3247" s="411" t="s">
        <v>3033</v>
      </c>
      <c r="W3247" s="361"/>
    </row>
    <row r="3248" spans="6:23" ht="15.75">
      <c r="J3248" s="361"/>
      <c r="M3248" s="750"/>
      <c r="N3248" s="751"/>
      <c r="O3248" s="576" t="s">
        <v>2998</v>
      </c>
      <c r="Q3248" s="858"/>
      <c r="R3248" s="750"/>
      <c r="T3248" s="411" t="s">
        <v>3034</v>
      </c>
      <c r="W3248" s="361"/>
    </row>
    <row r="3249" spans="6:25" ht="15.75">
      <c r="H3249" s="35" t="s">
        <v>177</v>
      </c>
      <c r="J3249" s="361"/>
      <c r="K3249" s="35">
        <f>K3247/10</f>
        <v>159.3304</v>
      </c>
      <c r="M3249" s="750"/>
      <c r="N3249" s="751"/>
      <c r="O3249" s="576" t="s">
        <v>3035</v>
      </c>
      <c r="P3249" s="754" t="s">
        <v>156</v>
      </c>
      <c r="Q3249" s="867">
        <v>1.7718999999999999E-2</v>
      </c>
      <c r="R3249" s="750"/>
      <c r="S3249" s="868">
        <v>6.3E-2</v>
      </c>
      <c r="T3249" s="455" t="s">
        <v>108</v>
      </c>
      <c r="U3249" s="411" t="s">
        <v>1978</v>
      </c>
      <c r="V3249" s="411">
        <f>P3293</f>
        <v>111965.44</v>
      </c>
      <c r="W3249" s="437" t="s">
        <v>108</v>
      </c>
      <c r="X3249" s="411">
        <f>V3249*S3249</f>
        <v>7053.8227200000001</v>
      </c>
      <c r="Y3249" s="411"/>
    </row>
    <row r="3250" spans="6:25" ht="15.75">
      <c r="G3250" s="35"/>
      <c r="J3250" s="35"/>
      <c r="M3250" s="750"/>
      <c r="N3250" s="751"/>
      <c r="O3250" s="576" t="s">
        <v>3036</v>
      </c>
      <c r="P3250" s="754" t="s">
        <v>156</v>
      </c>
      <c r="Q3250" s="867">
        <v>7.8750000000000001E-3</v>
      </c>
      <c r="R3250" s="783"/>
      <c r="S3250" s="868">
        <v>4.8000000000000001E-2</v>
      </c>
      <c r="T3250" s="455" t="s">
        <v>108</v>
      </c>
      <c r="U3250" s="411" t="s">
        <v>3037</v>
      </c>
      <c r="V3250" s="411">
        <f>I3282</f>
        <v>99765.440000000002</v>
      </c>
      <c r="W3250" s="437" t="s">
        <v>108</v>
      </c>
      <c r="X3250" s="411">
        <f>V3250*S3250</f>
        <v>4788.7411200000006</v>
      </c>
      <c r="Y3250" s="411"/>
    </row>
    <row r="3251" spans="6:25" ht="15.75">
      <c r="G3251" s="35"/>
      <c r="H3251" s="356" t="s">
        <v>410</v>
      </c>
      <c r="J3251" s="35"/>
      <c r="M3251" s="750"/>
      <c r="N3251" s="751"/>
      <c r="O3251" s="750"/>
      <c r="P3251" s="750"/>
      <c r="Q3251" s="758" t="s">
        <v>117</v>
      </c>
      <c r="S3251" s="868">
        <v>1.54</v>
      </c>
      <c r="T3251" s="455" t="s">
        <v>107</v>
      </c>
      <c r="U3251" s="411" t="s">
        <v>3038</v>
      </c>
      <c r="V3251" s="411">
        <f t="shared" ref="V3251:V3260" si="306">I3283</f>
        <v>2152</v>
      </c>
      <c r="W3251" s="437" t="s">
        <v>262</v>
      </c>
      <c r="X3251" s="411">
        <f t="shared" ref="X3251:X3260" si="307">V3251*S3251</f>
        <v>3314.08</v>
      </c>
      <c r="Y3251" s="411"/>
    </row>
    <row r="3252" spans="6:25" ht="15.75">
      <c r="G3252" s="35"/>
      <c r="H3252" s="356" t="s">
        <v>3039</v>
      </c>
      <c r="J3252" s="35"/>
      <c r="M3252" s="750"/>
      <c r="N3252" s="751"/>
      <c r="O3252" s="750"/>
      <c r="P3252" s="750"/>
      <c r="Q3252" s="860">
        <v>2.5590000000000002E-2</v>
      </c>
      <c r="R3252" s="35" t="s">
        <v>793</v>
      </c>
      <c r="S3252" s="868">
        <v>3.9E-2</v>
      </c>
      <c r="T3252" s="455" t="s">
        <v>108</v>
      </c>
      <c r="U3252" s="502" t="s">
        <v>1980</v>
      </c>
      <c r="V3252" s="411">
        <f t="shared" si="306"/>
        <v>95365.440000000002</v>
      </c>
      <c r="W3252" s="437" t="s">
        <v>108</v>
      </c>
      <c r="X3252" s="411">
        <f t="shared" si="307"/>
        <v>3719.25216</v>
      </c>
      <c r="Y3252" s="411"/>
    </row>
    <row r="3253" spans="6:25" ht="31.5">
      <c r="G3253" s="35"/>
      <c r="J3253" s="35"/>
      <c r="M3253" s="750"/>
      <c r="N3253" s="751"/>
      <c r="O3253" s="750"/>
      <c r="P3253" s="750"/>
      <c r="Q3253" s="758" t="s">
        <v>117</v>
      </c>
      <c r="S3253" s="868">
        <v>3.488</v>
      </c>
      <c r="T3253" s="455" t="s">
        <v>107</v>
      </c>
      <c r="U3253" s="502" t="s">
        <v>1981</v>
      </c>
      <c r="V3253" s="411">
        <f t="shared" si="306"/>
        <v>1844.3999999999999</v>
      </c>
      <c r="W3253" s="437" t="s">
        <v>107</v>
      </c>
      <c r="X3253" s="411">
        <f t="shared" si="307"/>
        <v>6433.2671999999993</v>
      </c>
      <c r="Y3253" s="411"/>
    </row>
    <row r="3254" spans="6:25" ht="15.75">
      <c r="F3254" s="370">
        <v>0.22</v>
      </c>
      <c r="G3254" s="368" t="s">
        <v>108</v>
      </c>
      <c r="H3254" s="356" t="s">
        <v>134</v>
      </c>
      <c r="I3254" s="370">
        <f>K49</f>
        <v>3753.50632</v>
      </c>
      <c r="J3254" s="357" t="s">
        <v>108</v>
      </c>
      <c r="K3254" s="370">
        <f>(F3254*I3254)</f>
        <v>825.77139039999997</v>
      </c>
      <c r="M3254" s="750"/>
      <c r="N3254" s="751"/>
      <c r="O3254" s="576" t="s">
        <v>3040</v>
      </c>
      <c r="P3254" s="750"/>
      <c r="Q3254" s="861">
        <v>1.0999999999999999E-2</v>
      </c>
      <c r="R3254" s="783"/>
      <c r="S3254" s="868">
        <v>6</v>
      </c>
      <c r="T3254" s="455" t="s">
        <v>3</v>
      </c>
      <c r="U3254" s="411" t="s">
        <v>3041</v>
      </c>
      <c r="V3254" s="411">
        <f t="shared" si="306"/>
        <v>214.1</v>
      </c>
      <c r="W3254" s="437" t="s">
        <v>194</v>
      </c>
      <c r="X3254" s="411">
        <f t="shared" si="307"/>
        <v>1284.5999999999999</v>
      </c>
      <c r="Y3254" s="411"/>
    </row>
    <row r="3255" spans="6:25" ht="15.75">
      <c r="F3255" s="370">
        <v>2.2000000000000002</v>
      </c>
      <c r="G3255" s="368" t="s">
        <v>223</v>
      </c>
      <c r="H3255" s="356" t="s">
        <v>162</v>
      </c>
      <c r="I3255" s="370">
        <f>AG9</f>
        <v>1198.8</v>
      </c>
      <c r="J3255" s="357" t="s">
        <v>223</v>
      </c>
      <c r="K3255" s="370">
        <f>(F3255*I3255)</f>
        <v>2637.36</v>
      </c>
      <c r="M3255" s="750"/>
      <c r="N3255" s="751"/>
      <c r="O3255" s="576" t="s">
        <v>3042</v>
      </c>
      <c r="P3255" s="750"/>
      <c r="Q3255" s="862">
        <v>5.3E-3</v>
      </c>
      <c r="R3255" s="783"/>
      <c r="S3255" s="868">
        <v>1</v>
      </c>
      <c r="T3255" s="455" t="s">
        <v>3</v>
      </c>
      <c r="U3255" s="411" t="s">
        <v>3043</v>
      </c>
      <c r="V3255" s="411">
        <f t="shared" si="306"/>
        <v>1020</v>
      </c>
      <c r="W3255" s="437" t="s">
        <v>194</v>
      </c>
      <c r="X3255" s="411">
        <f t="shared" si="307"/>
        <v>1020</v>
      </c>
      <c r="Y3255" s="411"/>
    </row>
    <row r="3256" spans="6:25" ht="15.75">
      <c r="F3256" s="370">
        <v>0.5</v>
      </c>
      <c r="G3256" s="368" t="s">
        <v>223</v>
      </c>
      <c r="H3256" s="356" t="s">
        <v>271</v>
      </c>
      <c r="I3256" s="370">
        <f>I3185</f>
        <v>781.19999999999993</v>
      </c>
      <c r="J3256" s="357" t="s">
        <v>223</v>
      </c>
      <c r="K3256" s="370">
        <f>(F3256*I3256)</f>
        <v>390.59999999999997</v>
      </c>
      <c r="M3256" s="750"/>
      <c r="N3256" s="751"/>
      <c r="O3256" s="576"/>
      <c r="P3256" s="750"/>
      <c r="Q3256" s="758" t="s">
        <v>117</v>
      </c>
      <c r="R3256" s="783"/>
      <c r="S3256" s="868">
        <v>2</v>
      </c>
      <c r="T3256" s="455" t="s">
        <v>3</v>
      </c>
      <c r="U3256" s="411" t="s">
        <v>3044</v>
      </c>
      <c r="V3256" s="411">
        <f t="shared" si="306"/>
        <v>540</v>
      </c>
      <c r="W3256" s="437" t="s">
        <v>194</v>
      </c>
      <c r="X3256" s="411">
        <f t="shared" si="307"/>
        <v>1080</v>
      </c>
      <c r="Y3256" s="411"/>
    </row>
    <row r="3257" spans="6:25" ht="15.75">
      <c r="F3257" s="370">
        <v>3.2</v>
      </c>
      <c r="G3257" s="368" t="s">
        <v>223</v>
      </c>
      <c r="H3257" s="356" t="s">
        <v>154</v>
      </c>
      <c r="I3257" s="370">
        <f>I3186</f>
        <v>640.79999999999995</v>
      </c>
      <c r="J3257" s="357" t="s">
        <v>223</v>
      </c>
      <c r="K3257" s="370">
        <f>(F3257*I3257)</f>
        <v>2050.56</v>
      </c>
      <c r="M3257" s="750"/>
      <c r="N3257" s="751"/>
      <c r="O3257" s="576"/>
      <c r="P3257" s="750"/>
      <c r="Q3257" s="863">
        <v>1.6299999999999999E-2</v>
      </c>
      <c r="R3257" s="783" t="s">
        <v>793</v>
      </c>
      <c r="S3257" s="868">
        <v>2</v>
      </c>
      <c r="T3257" s="455" t="s">
        <v>3</v>
      </c>
      <c r="U3257" s="411" t="s">
        <v>3045</v>
      </c>
      <c r="V3257" s="411">
        <f t="shared" si="306"/>
        <v>764</v>
      </c>
      <c r="W3257" s="437" t="s">
        <v>194</v>
      </c>
      <c r="X3257" s="411">
        <f t="shared" si="307"/>
        <v>1528</v>
      </c>
      <c r="Y3257" s="411"/>
    </row>
    <row r="3258" spans="6:25" ht="30">
      <c r="F3258" s="370">
        <v>10</v>
      </c>
      <c r="G3258" s="368" t="s">
        <v>478</v>
      </c>
      <c r="H3258" s="869" t="s">
        <v>3046</v>
      </c>
      <c r="I3258" s="489">
        <f>AG56</f>
        <v>12.239999999999998</v>
      </c>
      <c r="J3258" s="357" t="s">
        <v>478</v>
      </c>
      <c r="K3258" s="370">
        <f>(F3258*I3258)</f>
        <v>122.39999999999998</v>
      </c>
      <c r="M3258" s="750"/>
      <c r="N3258" s="751"/>
      <c r="O3258" s="750"/>
      <c r="P3258" s="750"/>
      <c r="Q3258" s="758" t="s">
        <v>117</v>
      </c>
      <c r="R3258" s="758"/>
      <c r="S3258" s="868">
        <v>1</v>
      </c>
      <c r="T3258" s="455" t="s">
        <v>3</v>
      </c>
      <c r="U3258" s="411" t="s">
        <v>3047</v>
      </c>
      <c r="V3258" s="411">
        <f t="shared" si="306"/>
        <v>985</v>
      </c>
      <c r="W3258" s="437" t="s">
        <v>194</v>
      </c>
      <c r="X3258" s="411">
        <f t="shared" si="307"/>
        <v>985</v>
      </c>
      <c r="Y3258" s="411"/>
    </row>
    <row r="3259" spans="6:25" ht="15.75">
      <c r="J3259" s="361"/>
      <c r="K3259" s="363" t="s">
        <v>117</v>
      </c>
      <c r="M3259" s="783">
        <v>5.1999999999999998E-2</v>
      </c>
      <c r="N3259" s="757" t="s">
        <v>108</v>
      </c>
      <c r="O3259" s="576" t="s">
        <v>1883</v>
      </c>
      <c r="P3259" s="574">
        <f>P3190</f>
        <v>111965.44</v>
      </c>
      <c r="Q3259" s="577" t="s">
        <v>108</v>
      </c>
      <c r="R3259" s="574">
        <f>P3259*M3259</f>
        <v>5822.2028799999998</v>
      </c>
      <c r="S3259" s="868">
        <v>2</v>
      </c>
      <c r="T3259" s="455" t="s">
        <v>3</v>
      </c>
      <c r="U3259" s="411" t="s">
        <v>3048</v>
      </c>
      <c r="V3259" s="411">
        <f t="shared" si="306"/>
        <v>450</v>
      </c>
      <c r="W3259" s="437" t="s">
        <v>194</v>
      </c>
      <c r="X3259" s="411">
        <f t="shared" si="307"/>
        <v>900</v>
      </c>
      <c r="Y3259" s="411"/>
    </row>
    <row r="3260" spans="6:25" ht="15.75">
      <c r="H3260" s="356" t="s">
        <v>176</v>
      </c>
      <c r="J3260" s="361"/>
      <c r="K3260" s="370">
        <f>SUM(K3254:K3259)</f>
        <v>6026.6913903999994</v>
      </c>
      <c r="M3260" s="783">
        <v>2.5590000000000002E-2</v>
      </c>
      <c r="N3260" s="757" t="s">
        <v>108</v>
      </c>
      <c r="O3260" s="576" t="s">
        <v>1885</v>
      </c>
      <c r="P3260" s="574">
        <f>P3191</f>
        <v>99765.440000000002</v>
      </c>
      <c r="Q3260" s="577" t="s">
        <v>108</v>
      </c>
      <c r="R3260" s="574">
        <f t="shared" ref="R3260:R3270" si="308">P3260*M3260</f>
        <v>2552.9976096</v>
      </c>
      <c r="S3260" s="868">
        <v>0</v>
      </c>
      <c r="T3260" s="455" t="s">
        <v>192</v>
      </c>
      <c r="U3260" s="411" t="s">
        <v>3049</v>
      </c>
      <c r="V3260" s="411">
        <f t="shared" si="306"/>
        <v>2.41</v>
      </c>
      <c r="W3260" s="437" t="s">
        <v>194</v>
      </c>
      <c r="X3260" s="797">
        <f t="shared" si="307"/>
        <v>0</v>
      </c>
      <c r="Y3260" s="797"/>
    </row>
    <row r="3261" spans="6:25" ht="15.75">
      <c r="J3261" s="361"/>
      <c r="K3261" s="363" t="s">
        <v>117</v>
      </c>
      <c r="M3261" s="783">
        <v>1.6299999999999999E-2</v>
      </c>
      <c r="N3261" s="757" t="s">
        <v>108</v>
      </c>
      <c r="O3261" s="866" t="s">
        <v>3050</v>
      </c>
      <c r="P3261" s="574">
        <f>AE28</f>
        <v>95365.440000000002</v>
      </c>
      <c r="Q3261" s="577" t="s">
        <v>108</v>
      </c>
      <c r="R3261" s="574">
        <f t="shared" si="308"/>
        <v>1554.4566719999998</v>
      </c>
      <c r="S3261" s="868"/>
      <c r="T3261" s="455"/>
      <c r="U3261" s="411" t="s">
        <v>3051</v>
      </c>
      <c r="V3261" s="411"/>
      <c r="W3261" s="437"/>
      <c r="X3261" s="411">
        <f>SUM(X3249:X3260)</f>
        <v>32106.763199999998</v>
      </c>
      <c r="Y3261" s="411"/>
    </row>
    <row r="3262" spans="6:25" ht="15.75">
      <c r="H3262" s="356" t="s">
        <v>177</v>
      </c>
      <c r="J3262" s="361"/>
      <c r="K3262" s="370">
        <f>(K3260/10)</f>
        <v>602.66913903999989</v>
      </c>
      <c r="M3262" s="813"/>
      <c r="N3262" s="751"/>
      <c r="O3262" s="576" t="s">
        <v>1967</v>
      </c>
      <c r="P3262" s="574"/>
      <c r="Q3262" s="753"/>
      <c r="R3262" s="574">
        <f t="shared" si="308"/>
        <v>0</v>
      </c>
      <c r="S3262" s="868"/>
      <c r="T3262" s="455"/>
      <c r="U3262" s="411"/>
      <c r="V3262" s="411"/>
      <c r="W3262" s="437"/>
      <c r="X3262" s="797" t="s">
        <v>1992</v>
      </c>
      <c r="Y3262" s="797"/>
    </row>
    <row r="3263" spans="6:25" ht="15.75">
      <c r="J3263" s="361"/>
      <c r="K3263" s="363" t="s">
        <v>156</v>
      </c>
      <c r="M3263" s="813">
        <v>2.4279999999999999</v>
      </c>
      <c r="N3263" s="757" t="s">
        <v>107</v>
      </c>
      <c r="O3263" s="576" t="s">
        <v>1880</v>
      </c>
      <c r="P3263" s="574">
        <f t="shared" ref="P3263:P3269" si="309">P3194</f>
        <v>1844.3999999999999</v>
      </c>
      <c r="Q3263" s="577" t="s">
        <v>107</v>
      </c>
      <c r="R3263" s="574">
        <f t="shared" si="308"/>
        <v>4478.2031999999999</v>
      </c>
      <c r="S3263" s="868"/>
      <c r="T3263" s="455"/>
      <c r="U3263" s="411" t="s">
        <v>3052</v>
      </c>
      <c r="V3263" s="411"/>
      <c r="W3263" s="437"/>
      <c r="X3263" s="411">
        <f>X3261/S3253</f>
        <v>9204.9206422018342</v>
      </c>
      <c r="Y3263" s="411"/>
    </row>
    <row r="3264" spans="6:25" ht="15.75">
      <c r="G3264" s="35"/>
      <c r="J3264" s="35"/>
      <c r="K3264" s="35">
        <f>54000+7000</f>
        <v>61000</v>
      </c>
      <c r="M3264" s="574">
        <v>4</v>
      </c>
      <c r="N3264" s="757" t="s">
        <v>223</v>
      </c>
      <c r="O3264" s="576" t="s">
        <v>3007</v>
      </c>
      <c r="P3264" s="574">
        <f>P3230</f>
        <v>57.65</v>
      </c>
      <c r="Q3264" s="577" t="s">
        <v>151</v>
      </c>
      <c r="R3264" s="574">
        <f t="shared" si="308"/>
        <v>230.6</v>
      </c>
      <c r="S3264" s="868"/>
      <c r="T3264" s="455"/>
      <c r="U3264" s="411"/>
      <c r="V3264" s="411"/>
      <c r="W3264" s="437"/>
      <c r="X3264" s="797" t="s">
        <v>1992</v>
      </c>
      <c r="Y3264" s="797"/>
    </row>
    <row r="3265" spans="6:23" ht="15.75">
      <c r="G3265" s="35"/>
      <c r="J3265" s="35"/>
      <c r="M3265" s="574">
        <v>8</v>
      </c>
      <c r="N3265" s="757" t="s">
        <v>151</v>
      </c>
      <c r="O3265" s="576" t="s">
        <v>1882</v>
      </c>
      <c r="P3265" s="574">
        <f>P3231</f>
        <v>89.6</v>
      </c>
      <c r="Q3265" s="577" t="s">
        <v>151</v>
      </c>
      <c r="R3265" s="574">
        <f t="shared" si="308"/>
        <v>716.8</v>
      </c>
      <c r="W3265" s="361"/>
    </row>
    <row r="3266" spans="6:23" ht="15.75">
      <c r="F3266" s="357" t="s">
        <v>2207</v>
      </c>
      <c r="G3266" s="368" t="s">
        <v>122</v>
      </c>
      <c r="H3266" s="357" t="s">
        <v>3053</v>
      </c>
      <c r="J3266" s="361"/>
      <c r="M3266" s="574">
        <v>4</v>
      </c>
      <c r="N3266" s="757" t="s">
        <v>151</v>
      </c>
      <c r="O3266" s="576" t="s">
        <v>3027</v>
      </c>
      <c r="P3266" s="574">
        <f t="shared" si="309"/>
        <v>97.85</v>
      </c>
      <c r="Q3266" s="577" t="s">
        <v>151</v>
      </c>
      <c r="R3266" s="574">
        <f t="shared" si="308"/>
        <v>391.4</v>
      </c>
      <c r="W3266" s="361"/>
    </row>
    <row r="3267" spans="6:23" ht="15.75">
      <c r="H3267" s="357" t="s">
        <v>1141</v>
      </c>
      <c r="J3267" s="361"/>
      <c r="M3267" s="574">
        <v>1</v>
      </c>
      <c r="N3267" s="757" t="s">
        <v>151</v>
      </c>
      <c r="O3267" s="576" t="s">
        <v>3028</v>
      </c>
      <c r="P3267" s="574">
        <f t="shared" si="309"/>
        <v>209.9</v>
      </c>
      <c r="Q3267" s="577" t="s">
        <v>151</v>
      </c>
      <c r="R3267" s="574">
        <f t="shared" si="308"/>
        <v>209.9</v>
      </c>
      <c r="W3267" s="361"/>
    </row>
    <row r="3268" spans="6:23" ht="15.75">
      <c r="F3268" s="370">
        <v>1.8</v>
      </c>
      <c r="G3268" s="368" t="s">
        <v>2210</v>
      </c>
      <c r="H3268" s="356" t="s">
        <v>2211</v>
      </c>
      <c r="I3268" s="370">
        <f>E273</f>
        <v>158</v>
      </c>
      <c r="J3268" s="357" t="s">
        <v>2210</v>
      </c>
      <c r="K3268" s="370">
        <f>(F3268*I3268)</f>
        <v>284.40000000000003</v>
      </c>
      <c r="M3268" s="574">
        <v>2</v>
      </c>
      <c r="N3268" s="757" t="s">
        <v>151</v>
      </c>
      <c r="O3268" s="576" t="s">
        <v>3029</v>
      </c>
      <c r="P3268" s="574">
        <f t="shared" si="309"/>
        <v>23.1</v>
      </c>
      <c r="Q3268" s="577" t="s">
        <v>151</v>
      </c>
      <c r="R3268" s="574">
        <f t="shared" si="308"/>
        <v>46.2</v>
      </c>
      <c r="W3268" s="361"/>
    </row>
    <row r="3269" spans="6:23" ht="15.75">
      <c r="F3269" s="370">
        <v>0.25</v>
      </c>
      <c r="G3269" s="368" t="s">
        <v>482</v>
      </c>
      <c r="H3269" s="356" t="s">
        <v>2212</v>
      </c>
      <c r="I3269" s="370">
        <f>I3244</f>
        <v>956.4</v>
      </c>
      <c r="J3269" s="357" t="s">
        <v>482</v>
      </c>
      <c r="K3269" s="370">
        <f>(F3269*I3269)</f>
        <v>239.1</v>
      </c>
      <c r="M3269" s="574">
        <v>2</v>
      </c>
      <c r="N3269" s="757" t="s">
        <v>151</v>
      </c>
      <c r="O3269" s="576" t="s">
        <v>3030</v>
      </c>
      <c r="P3269" s="574">
        <f t="shared" si="309"/>
        <v>49.55</v>
      </c>
      <c r="Q3269" s="577" t="s">
        <v>151</v>
      </c>
      <c r="R3269" s="574">
        <f t="shared" si="308"/>
        <v>99.1</v>
      </c>
      <c r="W3269" s="361"/>
    </row>
    <row r="3270" spans="6:23" ht="15.75">
      <c r="F3270" s="370">
        <v>0.25</v>
      </c>
      <c r="G3270" s="368" t="s">
        <v>482</v>
      </c>
      <c r="H3270" s="356" t="s">
        <v>1383</v>
      </c>
      <c r="I3270" s="370">
        <f>I3185</f>
        <v>781.19999999999993</v>
      </c>
      <c r="J3270" s="357" t="s">
        <v>482</v>
      </c>
      <c r="K3270" s="370">
        <f>(F3270*I3270)</f>
        <v>195.29999999999998</v>
      </c>
      <c r="M3270" s="750">
        <v>118</v>
      </c>
      <c r="N3270" s="757" t="s">
        <v>151</v>
      </c>
      <c r="O3270" s="750" t="s">
        <v>2966</v>
      </c>
      <c r="P3270" s="750">
        <f>P3236</f>
        <v>2.41</v>
      </c>
      <c r="Q3270" s="753"/>
      <c r="R3270" s="574">
        <f t="shared" si="308"/>
        <v>284.38</v>
      </c>
      <c r="W3270" s="361"/>
    </row>
    <row r="3271" spans="6:23" ht="15.75">
      <c r="F3271" s="370">
        <v>0.4</v>
      </c>
      <c r="G3271" s="368" t="s">
        <v>482</v>
      </c>
      <c r="H3271" s="356" t="s">
        <v>2213</v>
      </c>
      <c r="I3271" s="370">
        <f>I3186</f>
        <v>640.79999999999995</v>
      </c>
      <c r="J3271" s="357" t="s">
        <v>482</v>
      </c>
      <c r="K3271" s="370">
        <f>(F3271*I3271)</f>
        <v>256.32</v>
      </c>
      <c r="M3271" s="750"/>
      <c r="N3271" s="751"/>
      <c r="O3271" s="750"/>
      <c r="P3271" s="750"/>
      <c r="Q3271" s="753"/>
      <c r="R3271" s="758" t="s">
        <v>117</v>
      </c>
      <c r="W3271" s="361"/>
    </row>
    <row r="3272" spans="6:23" ht="15.75">
      <c r="G3272" s="368" t="s">
        <v>128</v>
      </c>
      <c r="H3272" s="356" t="s">
        <v>1131</v>
      </c>
      <c r="J3272" s="357" t="s">
        <v>128</v>
      </c>
      <c r="K3272" s="370">
        <v>1.65</v>
      </c>
      <c r="M3272" s="750"/>
      <c r="N3272" s="751"/>
      <c r="O3272" s="576" t="s">
        <v>3054</v>
      </c>
      <c r="P3272" s="750"/>
      <c r="Q3272" s="753"/>
      <c r="R3272" s="574">
        <f>SUM(R3259:R3270)</f>
        <v>16386.240361600001</v>
      </c>
      <c r="W3272" s="361"/>
    </row>
    <row r="3273" spans="6:23" ht="15.75">
      <c r="F3273" s="35">
        <v>10</v>
      </c>
      <c r="H3273" s="356" t="s">
        <v>3055</v>
      </c>
      <c r="I3273" s="35">
        <f>I3174</f>
        <v>5.04</v>
      </c>
      <c r="J3273" s="361" t="s">
        <v>478</v>
      </c>
      <c r="K3273" s="370">
        <f>I3273*F3273</f>
        <v>50.4</v>
      </c>
      <c r="M3273" s="750"/>
      <c r="N3273" s="751"/>
      <c r="O3273" s="750"/>
      <c r="P3273" s="750"/>
      <c r="Q3273" s="753"/>
      <c r="R3273" s="758" t="s">
        <v>117</v>
      </c>
      <c r="W3273" s="361"/>
    </row>
    <row r="3274" spans="6:23" ht="15.75">
      <c r="J3274" s="361"/>
      <c r="K3274" s="363" t="s">
        <v>117</v>
      </c>
      <c r="M3274" s="750"/>
      <c r="N3274" s="751"/>
      <c r="O3274" s="764" t="s">
        <v>177</v>
      </c>
      <c r="P3274" s="750"/>
      <c r="Q3274" s="755" t="s">
        <v>2807</v>
      </c>
      <c r="R3274" s="765">
        <f>R3272/M3263</f>
        <v>6748.8634108731476</v>
      </c>
      <c r="W3274" s="361"/>
    </row>
    <row r="3275" spans="6:23" ht="15.75">
      <c r="H3275" s="357" t="s">
        <v>2215</v>
      </c>
      <c r="J3275" s="361"/>
      <c r="K3275" s="370">
        <f>SUM(K3268:K3274)</f>
        <v>1027.1699999999998</v>
      </c>
      <c r="M3275" s="577"/>
      <c r="N3275" s="757" t="s">
        <v>122</v>
      </c>
      <c r="O3275" s="576" t="s">
        <v>3056</v>
      </c>
      <c r="P3275" s="750"/>
      <c r="Q3275" s="753"/>
      <c r="R3275" s="750"/>
      <c r="W3275" s="361"/>
    </row>
    <row r="3276" spans="6:23" ht="15.75">
      <c r="J3276" s="361"/>
      <c r="K3276" s="363" t="s">
        <v>117</v>
      </c>
      <c r="M3276" s="750"/>
      <c r="N3276" s="751"/>
      <c r="O3276" s="576" t="s">
        <v>1867</v>
      </c>
      <c r="P3276" s="750"/>
      <c r="Q3276" s="753"/>
      <c r="R3276" s="750"/>
      <c r="W3276" s="361"/>
    </row>
    <row r="3277" spans="6:23" ht="18">
      <c r="F3277" s="356" t="s">
        <v>114</v>
      </c>
      <c r="G3277" s="368" t="s">
        <v>114</v>
      </c>
      <c r="H3277" s="357" t="s">
        <v>2028</v>
      </c>
      <c r="I3277" s="356" t="s">
        <v>114</v>
      </c>
      <c r="J3277" s="357" t="s">
        <v>114</v>
      </c>
      <c r="K3277" s="370">
        <f>K3275/10</f>
        <v>102.71699999999998</v>
      </c>
      <c r="M3277" s="750"/>
      <c r="N3277" s="751"/>
      <c r="O3277" s="855" t="s">
        <v>3031</v>
      </c>
      <c r="P3277" s="750"/>
      <c r="Q3277" s="753"/>
      <c r="R3277" s="750"/>
      <c r="W3277" s="361"/>
    </row>
    <row r="3278" spans="6:23" ht="15.75">
      <c r="J3278" s="361"/>
      <c r="K3278" s="363" t="s">
        <v>156</v>
      </c>
      <c r="M3278" s="750"/>
      <c r="N3278" s="751"/>
      <c r="O3278" s="758" t="s">
        <v>117</v>
      </c>
      <c r="P3278" s="750"/>
      <c r="Q3278" s="753"/>
      <c r="R3278" s="750"/>
      <c r="W3278" s="361"/>
    </row>
    <row r="3279" spans="6:23" ht="15.75">
      <c r="G3279" s="411" t="s">
        <v>3057</v>
      </c>
      <c r="J3279" s="35"/>
      <c r="M3279" s="750"/>
      <c r="N3279" s="751"/>
      <c r="O3279" s="576" t="s">
        <v>3032</v>
      </c>
      <c r="P3279" s="754" t="s">
        <v>156</v>
      </c>
      <c r="Q3279" s="856">
        <v>2.4279999999999999</v>
      </c>
      <c r="R3279" s="750" t="s">
        <v>262</v>
      </c>
      <c r="W3279" s="361"/>
    </row>
    <row r="3280" spans="6:23" ht="15.75">
      <c r="G3280" s="411" t="s">
        <v>3034</v>
      </c>
      <c r="J3280" s="35"/>
      <c r="M3280" s="750"/>
      <c r="N3280" s="751"/>
      <c r="O3280" s="576"/>
      <c r="P3280" s="754"/>
      <c r="Q3280" s="856"/>
      <c r="R3280" s="750"/>
      <c r="W3280" s="361"/>
    </row>
    <row r="3281" spans="6:23" ht="15.75">
      <c r="G3281" s="35"/>
      <c r="J3281" s="35"/>
      <c r="M3281" s="750"/>
      <c r="N3281" s="751"/>
      <c r="O3281" s="576" t="s">
        <v>2997</v>
      </c>
      <c r="P3281" s="754" t="s">
        <v>156</v>
      </c>
      <c r="Q3281" s="857">
        <v>5.1999999999999998E-2</v>
      </c>
      <c r="R3281" s="750" t="s">
        <v>793</v>
      </c>
      <c r="W3281" s="361"/>
    </row>
    <row r="3282" spans="6:23" ht="15.75">
      <c r="F3282" s="795">
        <v>0.10299999999999999</v>
      </c>
      <c r="G3282" s="455" t="s">
        <v>108</v>
      </c>
      <c r="H3282" s="411" t="s">
        <v>3037</v>
      </c>
      <c r="I3282" s="411">
        <f>I1104</f>
        <v>99765.440000000002</v>
      </c>
      <c r="J3282" s="436" t="s">
        <v>108</v>
      </c>
      <c r="K3282" s="411">
        <f>I3282*F3282</f>
        <v>10275.840319999999</v>
      </c>
      <c r="M3282" s="750"/>
      <c r="N3282" s="751"/>
      <c r="O3282" s="576" t="s">
        <v>2998</v>
      </c>
      <c r="Q3282" s="858"/>
      <c r="R3282" s="750"/>
      <c r="W3282" s="361"/>
    </row>
    <row r="3283" spans="6:23" ht="15.75">
      <c r="F3283" s="795">
        <v>1.32</v>
      </c>
      <c r="G3283" s="455" t="s">
        <v>107</v>
      </c>
      <c r="H3283" s="411" t="s">
        <v>3038</v>
      </c>
      <c r="I3283" s="870">
        <v>2152</v>
      </c>
      <c r="J3283" s="436" t="s">
        <v>262</v>
      </c>
      <c r="K3283" s="411">
        <f t="shared" ref="K3283:K3292" si="310">I3283*F3283</f>
        <v>2840.6400000000003</v>
      </c>
      <c r="M3283" s="750"/>
      <c r="N3283" s="751"/>
      <c r="O3283" s="576" t="s">
        <v>3035</v>
      </c>
      <c r="P3283" s="754" t="s">
        <v>156</v>
      </c>
      <c r="Q3283" s="867">
        <v>1.7718999999999999E-2</v>
      </c>
      <c r="R3283" s="750"/>
      <c r="W3283" s="361"/>
    </row>
    <row r="3284" spans="6:23" ht="31.5">
      <c r="F3284" s="796">
        <v>3.3000000000000002E-2</v>
      </c>
      <c r="G3284" s="455" t="s">
        <v>108</v>
      </c>
      <c r="H3284" s="502" t="s">
        <v>1980</v>
      </c>
      <c r="I3284" s="411">
        <f>AE28</f>
        <v>95365.440000000002</v>
      </c>
      <c r="J3284" s="436" t="s">
        <v>108</v>
      </c>
      <c r="K3284" s="411">
        <f t="shared" si="310"/>
        <v>3147.0595200000002</v>
      </c>
      <c r="M3284" s="750"/>
      <c r="N3284" s="751"/>
      <c r="O3284" s="576" t="s">
        <v>3036</v>
      </c>
      <c r="P3284" s="754" t="s">
        <v>156</v>
      </c>
      <c r="Q3284" s="867">
        <v>7.8750000000000001E-3</v>
      </c>
      <c r="R3284" s="783"/>
      <c r="W3284" s="361"/>
    </row>
    <row r="3285" spans="6:23" ht="31.5">
      <c r="F3285" s="796">
        <v>3.0225</v>
      </c>
      <c r="G3285" s="455" t="s">
        <v>107</v>
      </c>
      <c r="H3285" s="502" t="s">
        <v>1981</v>
      </c>
      <c r="I3285" s="411">
        <f>AG30</f>
        <v>1844.3999999999999</v>
      </c>
      <c r="J3285" s="436" t="s">
        <v>107</v>
      </c>
      <c r="K3285" s="411">
        <f t="shared" si="310"/>
        <v>5574.6989999999996</v>
      </c>
      <c r="M3285" s="750"/>
      <c r="N3285" s="751"/>
      <c r="O3285" s="750"/>
      <c r="P3285" s="750"/>
      <c r="Q3285" s="758" t="s">
        <v>117</v>
      </c>
      <c r="W3285" s="361"/>
    </row>
    <row r="3286" spans="6:23" ht="15.75">
      <c r="F3286" s="411">
        <v>6</v>
      </c>
      <c r="G3286" s="455" t="s">
        <v>3</v>
      </c>
      <c r="H3286" s="411" t="s">
        <v>3058</v>
      </c>
      <c r="I3286" s="871">
        <v>214.1</v>
      </c>
      <c r="J3286" s="436" t="s">
        <v>194</v>
      </c>
      <c r="K3286" s="411">
        <f t="shared" si="310"/>
        <v>1284.5999999999999</v>
      </c>
      <c r="M3286" s="750"/>
      <c r="N3286" s="751"/>
      <c r="O3286" s="750"/>
      <c r="P3286" s="750"/>
      <c r="Q3286" s="860">
        <v>2.5590000000000002E-2</v>
      </c>
      <c r="R3286" s="35" t="s">
        <v>793</v>
      </c>
      <c r="W3286" s="361"/>
    </row>
    <row r="3287" spans="6:23" ht="15.75">
      <c r="F3287" s="411">
        <v>1</v>
      </c>
      <c r="G3287" s="455" t="s">
        <v>3</v>
      </c>
      <c r="H3287" s="411" t="s">
        <v>3059</v>
      </c>
      <c r="I3287" s="872">
        <v>1020</v>
      </c>
      <c r="J3287" s="436" t="s">
        <v>194</v>
      </c>
      <c r="K3287" s="411">
        <f t="shared" si="310"/>
        <v>1020</v>
      </c>
      <c r="M3287" s="750"/>
      <c r="N3287" s="751"/>
      <c r="O3287" s="750"/>
      <c r="P3287" s="750"/>
      <c r="Q3287" s="758" t="s">
        <v>117</v>
      </c>
      <c r="W3287" s="361"/>
    </row>
    <row r="3288" spans="6:23" ht="15.75">
      <c r="F3288" s="411">
        <v>2</v>
      </c>
      <c r="G3288" s="455" t="s">
        <v>3</v>
      </c>
      <c r="H3288" s="411" t="s">
        <v>3044</v>
      </c>
      <c r="I3288" s="872">
        <v>540</v>
      </c>
      <c r="J3288" s="436" t="s">
        <v>194</v>
      </c>
      <c r="K3288" s="411">
        <f t="shared" si="310"/>
        <v>1080</v>
      </c>
      <c r="M3288" s="750"/>
      <c r="N3288" s="751"/>
      <c r="O3288" s="576" t="s">
        <v>3060</v>
      </c>
      <c r="P3288" s="750"/>
      <c r="Q3288" s="861">
        <v>0.58750000000000002</v>
      </c>
      <c r="R3288" s="783"/>
      <c r="W3288" s="361"/>
    </row>
    <row r="3289" spans="6:23" ht="15.75">
      <c r="F3289" s="411">
        <v>2</v>
      </c>
      <c r="G3289" s="455" t="s">
        <v>3</v>
      </c>
      <c r="H3289" s="411" t="s">
        <v>3045</v>
      </c>
      <c r="I3289" s="872">
        <v>764</v>
      </c>
      <c r="J3289" s="436" t="s">
        <v>194</v>
      </c>
      <c r="K3289" s="411">
        <f t="shared" si="310"/>
        <v>1528</v>
      </c>
      <c r="M3289" s="750"/>
      <c r="N3289" s="751"/>
      <c r="O3289" s="576" t="s">
        <v>3061</v>
      </c>
      <c r="P3289" s="750"/>
      <c r="Q3289" s="862">
        <v>0.28129999999999999</v>
      </c>
      <c r="R3289" s="783"/>
      <c r="W3289" s="361"/>
    </row>
    <row r="3290" spans="6:23" ht="15.75">
      <c r="F3290" s="411">
        <v>1</v>
      </c>
      <c r="G3290" s="455" t="s">
        <v>3</v>
      </c>
      <c r="H3290" s="411" t="s">
        <v>3047</v>
      </c>
      <c r="I3290" s="540">
        <v>985</v>
      </c>
      <c r="J3290" s="436" t="s">
        <v>194</v>
      </c>
      <c r="K3290" s="411">
        <f t="shared" si="310"/>
        <v>985</v>
      </c>
      <c r="M3290" s="750"/>
      <c r="N3290" s="751"/>
      <c r="O3290" s="576"/>
      <c r="P3290" s="750"/>
      <c r="Q3290" s="758" t="s">
        <v>117</v>
      </c>
      <c r="R3290" s="783"/>
      <c r="W3290" s="361"/>
    </row>
    <row r="3291" spans="6:23" ht="15.75">
      <c r="F3291" s="411">
        <v>2</v>
      </c>
      <c r="G3291" s="455" t="s">
        <v>3</v>
      </c>
      <c r="H3291" s="411" t="s">
        <v>3048</v>
      </c>
      <c r="I3291" s="540">
        <v>450</v>
      </c>
      <c r="J3291" s="436" t="s">
        <v>194</v>
      </c>
      <c r="K3291" s="411">
        <f t="shared" si="310"/>
        <v>900</v>
      </c>
      <c r="M3291" s="750"/>
      <c r="N3291" s="751"/>
      <c r="O3291" s="576"/>
      <c r="P3291" s="750"/>
      <c r="Q3291" s="862">
        <v>0.86880000000000002</v>
      </c>
      <c r="R3291" s="756" t="s">
        <v>262</v>
      </c>
      <c r="W3291" s="361"/>
    </row>
    <row r="3292" spans="6:23" ht="15.75">
      <c r="F3292" s="411">
        <v>0</v>
      </c>
      <c r="G3292" s="455" t="s">
        <v>192</v>
      </c>
      <c r="H3292" s="411" t="s">
        <v>3049</v>
      </c>
      <c r="I3292" s="411">
        <f>I963</f>
        <v>2.41</v>
      </c>
      <c r="J3292" s="436" t="s">
        <v>194</v>
      </c>
      <c r="K3292" s="797">
        <f t="shared" si="310"/>
        <v>0</v>
      </c>
      <c r="M3292" s="750"/>
      <c r="N3292" s="751"/>
      <c r="O3292" s="750"/>
      <c r="P3292" s="750"/>
      <c r="Q3292" s="758" t="s">
        <v>117</v>
      </c>
      <c r="R3292" s="758"/>
      <c r="W3292" s="361"/>
    </row>
    <row r="3293" spans="6:23" ht="15.75">
      <c r="F3293" s="411"/>
      <c r="G3293" s="455"/>
      <c r="H3293" s="411" t="s">
        <v>3051</v>
      </c>
      <c r="I3293" s="411"/>
      <c r="J3293" s="436"/>
      <c r="K3293" s="411">
        <f>SUM(K3282:K3292)</f>
        <v>28635.838839999997</v>
      </c>
      <c r="M3293" s="783">
        <v>5.1999999999999998E-2</v>
      </c>
      <c r="N3293" s="757" t="s">
        <v>108</v>
      </c>
      <c r="O3293" s="576" t="s">
        <v>1883</v>
      </c>
      <c r="P3293" s="574">
        <f>P3190</f>
        <v>111965.44</v>
      </c>
      <c r="Q3293" s="577" t="s">
        <v>108</v>
      </c>
      <c r="R3293" s="574">
        <f>P3293*M3293</f>
        <v>5822.2028799999998</v>
      </c>
      <c r="W3293" s="361"/>
    </row>
    <row r="3294" spans="6:23" ht="15.75">
      <c r="F3294" s="411"/>
      <c r="G3294" s="455"/>
      <c r="H3294" s="411"/>
      <c r="I3294" s="411"/>
      <c r="J3294" s="436"/>
      <c r="K3294" s="797" t="s">
        <v>1992</v>
      </c>
      <c r="M3294" s="783">
        <v>2.5590000000000002E-2</v>
      </c>
      <c r="N3294" s="757" t="s">
        <v>108</v>
      </c>
      <c r="O3294" s="576" t="s">
        <v>1885</v>
      </c>
      <c r="P3294" s="574">
        <f>P3191</f>
        <v>99765.440000000002</v>
      </c>
      <c r="Q3294" s="577" t="s">
        <v>108</v>
      </c>
      <c r="R3294" s="574">
        <f t="shared" ref="R3294:R3302" si="311">P3294*M3294</f>
        <v>2552.9976096</v>
      </c>
      <c r="W3294" s="361"/>
    </row>
    <row r="3295" spans="6:23" ht="15.75">
      <c r="F3295" s="411"/>
      <c r="G3295" s="455"/>
      <c r="H3295" s="411" t="s">
        <v>3052</v>
      </c>
      <c r="I3295" s="411"/>
      <c r="J3295" s="436"/>
      <c r="K3295" s="411">
        <f>K3293/F3285</f>
        <v>9474.2229412737797</v>
      </c>
      <c r="M3295" s="574">
        <v>0.87</v>
      </c>
      <c r="N3295" s="757" t="s">
        <v>107</v>
      </c>
      <c r="O3295" s="356" t="s">
        <v>988</v>
      </c>
      <c r="P3295" s="574">
        <f>C785</f>
        <v>387.4</v>
      </c>
      <c r="Q3295" s="577" t="s">
        <v>108</v>
      </c>
      <c r="R3295" s="574">
        <f t="shared" si="311"/>
        <v>337.03799999999995</v>
      </c>
      <c r="W3295" s="361"/>
    </row>
    <row r="3296" spans="6:23" ht="15.75">
      <c r="F3296" s="411"/>
      <c r="G3296" s="455"/>
      <c r="H3296" s="411"/>
      <c r="I3296" s="411"/>
      <c r="J3296" s="436"/>
      <c r="K3296" s="797" t="s">
        <v>1992</v>
      </c>
      <c r="M3296" s="813">
        <v>2.4279999999999999</v>
      </c>
      <c r="N3296" s="757" t="s">
        <v>107</v>
      </c>
      <c r="O3296" s="576" t="s">
        <v>1880</v>
      </c>
      <c r="P3296" s="574">
        <f>D30</f>
        <v>1537.2</v>
      </c>
      <c r="Q3296" s="577" t="s">
        <v>107</v>
      </c>
      <c r="R3296" s="574">
        <f t="shared" si="311"/>
        <v>3732.3216000000002</v>
      </c>
      <c r="W3296" s="361"/>
    </row>
    <row r="3297" spans="6:23" ht="15.75">
      <c r="G3297" s="35"/>
      <c r="J3297" s="35"/>
      <c r="M3297" s="574">
        <v>4</v>
      </c>
      <c r="N3297" s="757" t="s">
        <v>223</v>
      </c>
      <c r="O3297" s="576" t="s">
        <v>3007</v>
      </c>
      <c r="P3297" s="574">
        <f t="shared" ref="P3297:P3302" si="312">P3230</f>
        <v>57.65</v>
      </c>
      <c r="Q3297" s="577" t="s">
        <v>151</v>
      </c>
      <c r="R3297" s="574">
        <f t="shared" si="311"/>
        <v>230.6</v>
      </c>
      <c r="W3297" s="361"/>
    </row>
    <row r="3298" spans="6:23" ht="15.75">
      <c r="G3298" s="35"/>
      <c r="J3298" s="35"/>
      <c r="M3298" s="574">
        <v>8</v>
      </c>
      <c r="N3298" s="757" t="s">
        <v>151</v>
      </c>
      <c r="O3298" s="576" t="s">
        <v>1882</v>
      </c>
      <c r="P3298" s="574">
        <f t="shared" si="312"/>
        <v>89.6</v>
      </c>
      <c r="Q3298" s="577" t="s">
        <v>151</v>
      </c>
      <c r="R3298" s="574">
        <f t="shared" si="311"/>
        <v>716.8</v>
      </c>
      <c r="W3298" s="361"/>
    </row>
    <row r="3299" spans="6:23" ht="15.75">
      <c r="G3299" s="368" t="s">
        <v>433</v>
      </c>
      <c r="H3299" s="357" t="s">
        <v>1820</v>
      </c>
      <c r="M3299" s="574">
        <v>4</v>
      </c>
      <c r="N3299" s="757" t="s">
        <v>151</v>
      </c>
      <c r="O3299" s="576" t="s">
        <v>3027</v>
      </c>
      <c r="P3299" s="574">
        <f t="shared" si="312"/>
        <v>97.85</v>
      </c>
      <c r="Q3299" s="577" t="s">
        <v>151</v>
      </c>
      <c r="R3299" s="574">
        <f t="shared" si="311"/>
        <v>391.4</v>
      </c>
      <c r="W3299" s="361"/>
    </row>
    <row r="3300" spans="6:23" ht="15.75">
      <c r="H3300" s="357" t="s">
        <v>1833</v>
      </c>
      <c r="M3300" s="574">
        <v>1</v>
      </c>
      <c r="N3300" s="757" t="s">
        <v>151</v>
      </c>
      <c r="O3300" s="576" t="s">
        <v>3028</v>
      </c>
      <c r="P3300" s="574">
        <f t="shared" si="312"/>
        <v>209.9</v>
      </c>
      <c r="Q3300" s="577" t="s">
        <v>151</v>
      </c>
      <c r="R3300" s="574">
        <f t="shared" si="311"/>
        <v>209.9</v>
      </c>
      <c r="W3300" s="361"/>
    </row>
    <row r="3301" spans="6:23" ht="15.75">
      <c r="F3301" s="460">
        <v>6.5000000000000002E-2</v>
      </c>
      <c r="G3301" s="368" t="s">
        <v>108</v>
      </c>
      <c r="H3301" s="356" t="s">
        <v>1823</v>
      </c>
      <c r="I3301" s="370">
        <f>I861</f>
        <v>9394.3075183500005</v>
      </c>
      <c r="J3301" s="356" t="s">
        <v>108</v>
      </c>
      <c r="K3301" s="370">
        <f>I3301*F3301</f>
        <v>610.62998869275009</v>
      </c>
      <c r="M3301" s="574">
        <v>2</v>
      </c>
      <c r="N3301" s="757" t="s">
        <v>151</v>
      </c>
      <c r="O3301" s="576" t="s">
        <v>3029</v>
      </c>
      <c r="P3301" s="574">
        <f t="shared" si="312"/>
        <v>23.1</v>
      </c>
      <c r="Q3301" s="577" t="s">
        <v>151</v>
      </c>
      <c r="R3301" s="574">
        <f t="shared" si="311"/>
        <v>46.2</v>
      </c>
      <c r="W3301" s="361"/>
    </row>
    <row r="3302" spans="6:23" ht="15.75">
      <c r="F3302" s="512">
        <v>8.4499999999999993</v>
      </c>
      <c r="G3302" s="368" t="s">
        <v>213</v>
      </c>
      <c r="H3302" s="356" t="s">
        <v>1825</v>
      </c>
      <c r="I3302" s="370">
        <f t="shared" ref="I3302:I3312" si="313">I862</f>
        <v>95267.640000000014</v>
      </c>
      <c r="J3302" s="356" t="s">
        <v>124</v>
      </c>
      <c r="K3302" s="370">
        <f>I3302*F3302/1000</f>
        <v>805.01155800000004</v>
      </c>
      <c r="M3302" s="574">
        <v>2</v>
      </c>
      <c r="N3302" s="757" t="s">
        <v>151</v>
      </c>
      <c r="O3302" s="576" t="s">
        <v>3030</v>
      </c>
      <c r="P3302" s="574">
        <f t="shared" si="312"/>
        <v>49.55</v>
      </c>
      <c r="Q3302" s="577" t="s">
        <v>151</v>
      </c>
      <c r="R3302" s="574">
        <f t="shared" si="311"/>
        <v>99.1</v>
      </c>
      <c r="W3302" s="361"/>
    </row>
    <row r="3303" spans="6:23" ht="15.75">
      <c r="F3303" s="370">
        <v>3</v>
      </c>
      <c r="G3303" s="368" t="s">
        <v>151</v>
      </c>
      <c r="H3303" s="356" t="s">
        <v>1827</v>
      </c>
      <c r="I3303" s="370">
        <f t="shared" si="313"/>
        <v>14.8</v>
      </c>
      <c r="J3303" s="356" t="s">
        <v>151</v>
      </c>
      <c r="K3303" s="370">
        <f t="shared" ref="K3303:K3310" si="314">I3303*F3303</f>
        <v>44.400000000000006</v>
      </c>
      <c r="M3303" s="750"/>
      <c r="N3303" s="751"/>
      <c r="O3303" s="750" t="s">
        <v>2966</v>
      </c>
      <c r="P3303" s="750"/>
      <c r="Q3303" s="753"/>
      <c r="R3303" s="762">
        <f>R3201</f>
        <v>284.38</v>
      </c>
      <c r="W3303" s="361"/>
    </row>
    <row r="3304" spans="6:23" ht="15.75">
      <c r="F3304" s="370">
        <v>12</v>
      </c>
      <c r="G3304" s="368" t="s">
        <v>151</v>
      </c>
      <c r="H3304" s="356" t="s">
        <v>1828</v>
      </c>
      <c r="I3304" s="370">
        <f t="shared" si="313"/>
        <v>2</v>
      </c>
      <c r="J3304" s="356" t="s">
        <v>151</v>
      </c>
      <c r="K3304" s="370">
        <f t="shared" si="314"/>
        <v>24</v>
      </c>
      <c r="M3304" s="750"/>
      <c r="N3304" s="751"/>
      <c r="O3304" s="750"/>
      <c r="P3304" s="750"/>
      <c r="Q3304" s="753"/>
      <c r="R3304" s="758" t="s">
        <v>117</v>
      </c>
      <c r="W3304" s="361"/>
    </row>
    <row r="3305" spans="6:23" ht="15.75">
      <c r="F3305" s="370">
        <v>2</v>
      </c>
      <c r="G3305" s="368" t="s">
        <v>151</v>
      </c>
      <c r="H3305" s="356" t="s">
        <v>1829</v>
      </c>
      <c r="I3305" s="370">
        <f t="shared" si="313"/>
        <v>4.9000000000000004</v>
      </c>
      <c r="J3305" s="356" t="s">
        <v>151</v>
      </c>
      <c r="K3305" s="370">
        <f t="shared" si="314"/>
        <v>9.8000000000000007</v>
      </c>
      <c r="M3305" s="750"/>
      <c r="N3305" s="751"/>
      <c r="O3305" s="576" t="s">
        <v>3054</v>
      </c>
      <c r="P3305" s="750"/>
      <c r="Q3305" s="753"/>
      <c r="R3305" s="574">
        <f>SUM(R3293:R3303)</f>
        <v>14422.940089599999</v>
      </c>
      <c r="W3305" s="361"/>
    </row>
    <row r="3306" spans="6:23" ht="15.75">
      <c r="F3306" s="370">
        <v>6</v>
      </c>
      <c r="G3306" s="368" t="s">
        <v>151</v>
      </c>
      <c r="H3306" s="356" t="s">
        <v>1831</v>
      </c>
      <c r="I3306" s="370">
        <f t="shared" si="313"/>
        <v>4.45</v>
      </c>
      <c r="J3306" s="356" t="s">
        <v>151</v>
      </c>
      <c r="K3306" s="370">
        <f t="shared" si="314"/>
        <v>26.700000000000003</v>
      </c>
      <c r="M3306" s="750"/>
      <c r="N3306" s="751"/>
      <c r="O3306" s="750"/>
      <c r="P3306" s="750"/>
      <c r="Q3306" s="753"/>
      <c r="R3306" s="758" t="s">
        <v>117</v>
      </c>
      <c r="W3306" s="361"/>
    </row>
    <row r="3307" spans="6:23" ht="15.75">
      <c r="F3307" s="370">
        <v>1</v>
      </c>
      <c r="G3307" s="368" t="s">
        <v>151</v>
      </c>
      <c r="H3307" s="356" t="s">
        <v>1834</v>
      </c>
      <c r="I3307" s="370">
        <f t="shared" si="313"/>
        <v>1198.8</v>
      </c>
      <c r="J3307" s="356" t="s">
        <v>151</v>
      </c>
      <c r="K3307" s="370">
        <f t="shared" si="314"/>
        <v>1198.8</v>
      </c>
      <c r="M3307" s="750"/>
      <c r="N3307" s="751"/>
      <c r="O3307" s="764" t="s">
        <v>177</v>
      </c>
      <c r="P3307" s="750"/>
      <c r="Q3307" s="755" t="s">
        <v>2807</v>
      </c>
      <c r="R3307" s="765">
        <f>R3305/M3296</f>
        <v>5940.2553911037885</v>
      </c>
      <c r="W3307" s="361"/>
    </row>
    <row r="3308" spans="6:23" ht="15.75">
      <c r="F3308" s="370">
        <v>1</v>
      </c>
      <c r="G3308" s="368" t="s">
        <v>151</v>
      </c>
      <c r="H3308" s="356" t="s">
        <v>1836</v>
      </c>
      <c r="I3308" s="370">
        <f t="shared" si="313"/>
        <v>781.19999999999993</v>
      </c>
      <c r="J3308" s="356" t="s">
        <v>151</v>
      </c>
      <c r="K3308" s="370">
        <f t="shared" si="314"/>
        <v>781.19999999999993</v>
      </c>
      <c r="M3308" s="577"/>
      <c r="N3308" s="757" t="s">
        <v>122</v>
      </c>
      <c r="O3308" s="576" t="s">
        <v>3062</v>
      </c>
      <c r="P3308" s="750"/>
      <c r="Q3308" s="753"/>
      <c r="R3308" s="750"/>
      <c r="W3308" s="361"/>
    </row>
    <row r="3309" spans="6:23" ht="15.75">
      <c r="F3309" s="370">
        <v>1</v>
      </c>
      <c r="G3309" s="368" t="s">
        <v>151</v>
      </c>
      <c r="H3309" s="356" t="s">
        <v>1837</v>
      </c>
      <c r="I3309" s="370">
        <f t="shared" si="313"/>
        <v>25</v>
      </c>
      <c r="J3309" s="356" t="s">
        <v>151</v>
      </c>
      <c r="K3309" s="370">
        <f t="shared" si="314"/>
        <v>25</v>
      </c>
      <c r="M3309" s="750"/>
      <c r="N3309" s="751"/>
      <c r="O3309" s="576" t="s">
        <v>1867</v>
      </c>
      <c r="P3309" s="750"/>
      <c r="Q3309" s="753"/>
      <c r="R3309" s="750"/>
      <c r="W3309" s="361"/>
    </row>
    <row r="3310" spans="6:23" ht="18">
      <c r="F3310" s="370">
        <v>0.5</v>
      </c>
      <c r="G3310" s="368" t="s">
        <v>151</v>
      </c>
      <c r="H3310" s="356" t="s">
        <v>1838</v>
      </c>
      <c r="I3310" s="370">
        <f t="shared" si="313"/>
        <v>640.79999999999995</v>
      </c>
      <c r="J3310" s="356" t="s">
        <v>151</v>
      </c>
      <c r="K3310" s="370">
        <f t="shared" si="314"/>
        <v>320.39999999999998</v>
      </c>
      <c r="M3310" s="750"/>
      <c r="N3310" s="751"/>
      <c r="O3310" s="855" t="s">
        <v>2995</v>
      </c>
      <c r="P3310" s="750"/>
      <c r="Q3310" s="753"/>
      <c r="R3310" s="750"/>
      <c r="W3310" s="361"/>
    </row>
    <row r="3311" spans="6:23" ht="15.75">
      <c r="G3311" s="368" t="s">
        <v>128</v>
      </c>
      <c r="H3311" s="356" t="s">
        <v>1839</v>
      </c>
      <c r="I3311" s="370">
        <f t="shared" si="313"/>
        <v>0</v>
      </c>
      <c r="J3311" s="356" t="s">
        <v>128</v>
      </c>
      <c r="K3311" s="370">
        <v>2.1</v>
      </c>
      <c r="M3311" s="750"/>
      <c r="N3311" s="751"/>
      <c r="O3311" s="758" t="s">
        <v>117</v>
      </c>
      <c r="P3311" s="750"/>
      <c r="Q3311" s="753"/>
      <c r="R3311" s="750"/>
      <c r="W3311" s="361"/>
    </row>
    <row r="3312" spans="6:23" ht="15.75">
      <c r="I3312" s="370">
        <f t="shared" si="313"/>
        <v>0</v>
      </c>
      <c r="K3312" s="363" t="s">
        <v>117</v>
      </c>
      <c r="M3312" s="750"/>
      <c r="N3312" s="751"/>
      <c r="O3312" s="576" t="s">
        <v>2996</v>
      </c>
      <c r="P3312" s="754" t="s">
        <v>156</v>
      </c>
      <c r="Q3312" s="856">
        <v>3.1219999999999999</v>
      </c>
      <c r="R3312" s="816" t="s">
        <v>262</v>
      </c>
      <c r="W3312" s="361"/>
    </row>
    <row r="3313" spans="6:23" ht="15.75">
      <c r="H3313" s="372" t="s">
        <v>1840</v>
      </c>
      <c r="K3313" s="454">
        <f>SUM(K3301:K3312)</f>
        <v>3848.0415466927498</v>
      </c>
      <c r="M3313" s="750"/>
      <c r="N3313" s="751"/>
      <c r="O3313" s="576"/>
      <c r="P3313" s="754"/>
      <c r="Q3313" s="856"/>
      <c r="R3313" s="816"/>
      <c r="W3313" s="361"/>
    </row>
    <row r="3314" spans="6:23" ht="15.75">
      <c r="K3314" s="363" t="s">
        <v>117</v>
      </c>
      <c r="M3314" s="750"/>
      <c r="N3314" s="751"/>
      <c r="O3314" s="576" t="s">
        <v>2997</v>
      </c>
      <c r="P3314" s="754" t="s">
        <v>156</v>
      </c>
      <c r="Q3314" s="857">
        <v>5.1999999999999998E-2</v>
      </c>
      <c r="R3314" s="816" t="s">
        <v>793</v>
      </c>
      <c r="W3314" s="361"/>
    </row>
    <row r="3315" spans="6:23" ht="15.75">
      <c r="G3315" s="35"/>
      <c r="J3315" s="35"/>
      <c r="M3315" s="750"/>
      <c r="N3315" s="751"/>
      <c r="O3315" s="576" t="s">
        <v>2998</v>
      </c>
      <c r="Q3315" s="858"/>
      <c r="R3315" s="816"/>
      <c r="W3315" s="361"/>
    </row>
    <row r="3316" spans="6:23" ht="15.75">
      <c r="G3316" s="35"/>
      <c r="J3316" s="35"/>
      <c r="M3316" s="750"/>
      <c r="N3316" s="751"/>
      <c r="O3316" s="576" t="s">
        <v>2999</v>
      </c>
      <c r="P3316" s="754" t="s">
        <v>156</v>
      </c>
      <c r="Q3316" s="859">
        <v>2.2780000000000002E-2</v>
      </c>
      <c r="R3316" s="816"/>
      <c r="W3316" s="361"/>
    </row>
    <row r="3317" spans="6:23" ht="15.75">
      <c r="G3317" s="411" t="s">
        <v>2831</v>
      </c>
      <c r="J3317" s="35"/>
      <c r="M3317" s="750"/>
      <c r="N3317" s="751"/>
      <c r="O3317" s="576" t="s">
        <v>3001</v>
      </c>
      <c r="P3317" s="754" t="s">
        <v>156</v>
      </c>
      <c r="Q3317" s="867">
        <v>1.0125E-2</v>
      </c>
      <c r="R3317" s="817"/>
      <c r="W3317" s="361"/>
    </row>
    <row r="3318" spans="6:23" ht="15.75">
      <c r="G3318" s="411" t="s">
        <v>2832</v>
      </c>
      <c r="J3318" s="35"/>
      <c r="M3318" s="750"/>
      <c r="N3318" s="751"/>
      <c r="O3318" s="750"/>
      <c r="P3318" s="750"/>
      <c r="Q3318" s="865" t="s">
        <v>3016</v>
      </c>
      <c r="R3318" s="360"/>
      <c r="W3318" s="361"/>
    </row>
    <row r="3319" spans="6:23" ht="15.75">
      <c r="G3319" s="35"/>
      <c r="J3319" s="35"/>
      <c r="M3319" s="750"/>
      <c r="N3319" s="751"/>
      <c r="O3319" s="750"/>
      <c r="P3319" s="750"/>
      <c r="Q3319" s="860">
        <v>3.2910000000000002E-2</v>
      </c>
      <c r="R3319" s="360" t="s">
        <v>793</v>
      </c>
      <c r="W3319" s="361"/>
    </row>
    <row r="3320" spans="6:23" ht="15.75">
      <c r="F3320" s="796">
        <v>2.6159999999999999E-2</v>
      </c>
      <c r="G3320" s="455" t="s">
        <v>108</v>
      </c>
      <c r="H3320" s="411" t="s">
        <v>1978</v>
      </c>
      <c r="I3320" s="411">
        <f>AE26</f>
        <v>111965.44</v>
      </c>
      <c r="J3320" s="436" t="s">
        <v>108</v>
      </c>
      <c r="K3320" s="411">
        <f>I3320*F3320</f>
        <v>2929.0159103999999</v>
      </c>
      <c r="M3320" s="750"/>
      <c r="N3320" s="751"/>
      <c r="O3320" s="750"/>
      <c r="P3320" s="750"/>
      <c r="Q3320" s="865" t="s">
        <v>3016</v>
      </c>
      <c r="R3320" s="360"/>
      <c r="W3320" s="361"/>
    </row>
    <row r="3321" spans="6:23" ht="15.75">
      <c r="F3321" s="796">
        <v>4.7809999999999998E-2</v>
      </c>
      <c r="G3321" s="455" t="s">
        <v>108</v>
      </c>
      <c r="H3321" s="411" t="s">
        <v>1979</v>
      </c>
      <c r="I3321" s="411">
        <f>AE27</f>
        <v>99765.440000000002</v>
      </c>
      <c r="J3321" s="436" t="s">
        <v>108</v>
      </c>
      <c r="K3321" s="411">
        <f t="shared" ref="K3321:K3329" si="315">I3321*F3321</f>
        <v>4769.7856863999996</v>
      </c>
      <c r="M3321" s="750"/>
      <c r="N3321" s="751"/>
      <c r="O3321" s="576" t="s">
        <v>3017</v>
      </c>
      <c r="P3321" s="750"/>
      <c r="Q3321" s="724">
        <v>0.94</v>
      </c>
      <c r="R3321" s="817" t="s">
        <v>262</v>
      </c>
      <c r="W3321" s="361"/>
    </row>
    <row r="3322" spans="6:23" ht="31.5">
      <c r="F3322" s="873">
        <v>4.5879999999999997E-2</v>
      </c>
      <c r="G3322" s="874" t="s">
        <v>108</v>
      </c>
      <c r="H3322" s="875" t="s">
        <v>3063</v>
      </c>
      <c r="I3322" s="876">
        <v>107000</v>
      </c>
      <c r="J3322" s="877" t="s">
        <v>108</v>
      </c>
      <c r="K3322" s="874">
        <f t="shared" si="315"/>
        <v>4909.16</v>
      </c>
      <c r="M3322" s="750"/>
      <c r="N3322" s="751"/>
      <c r="O3322" s="576" t="s">
        <v>3064</v>
      </c>
      <c r="P3322" s="750"/>
      <c r="Q3322" s="863">
        <v>0.45</v>
      </c>
      <c r="R3322" s="817" t="s">
        <v>793</v>
      </c>
      <c r="W3322" s="361"/>
    </row>
    <row r="3323" spans="6:23" ht="15.75">
      <c r="F3323" s="796">
        <v>3.95</v>
      </c>
      <c r="G3323" s="455" t="s">
        <v>107</v>
      </c>
      <c r="H3323" s="411" t="s">
        <v>1981</v>
      </c>
      <c r="I3323" s="411">
        <f>P3263</f>
        <v>1844.3999999999999</v>
      </c>
      <c r="J3323" s="436" t="s">
        <v>107</v>
      </c>
      <c r="K3323" s="411">
        <f t="shared" si="315"/>
        <v>7285.38</v>
      </c>
      <c r="M3323" s="750"/>
      <c r="N3323" s="751"/>
      <c r="O3323" s="576" t="s">
        <v>3019</v>
      </c>
      <c r="P3323" s="750"/>
      <c r="Q3323" s="863">
        <v>7.9</v>
      </c>
      <c r="R3323" s="817" t="s">
        <v>31</v>
      </c>
      <c r="W3323" s="361"/>
    </row>
    <row r="3324" spans="6:23" ht="15.75">
      <c r="F3324" s="411">
        <v>2</v>
      </c>
      <c r="G3324" s="455" t="s">
        <v>3</v>
      </c>
      <c r="H3324" s="411" t="s">
        <v>1983</v>
      </c>
      <c r="I3324" s="411">
        <f t="shared" ref="I3324:I3329" si="316">P3264</f>
        <v>57.65</v>
      </c>
      <c r="J3324" s="436" t="s">
        <v>194</v>
      </c>
      <c r="K3324" s="411">
        <f t="shared" si="315"/>
        <v>115.3</v>
      </c>
      <c r="M3324" s="750"/>
      <c r="N3324" s="751"/>
      <c r="O3324" s="750"/>
      <c r="P3324" s="750"/>
      <c r="Q3324" s="758"/>
      <c r="R3324" s="758"/>
      <c r="W3324" s="361"/>
    </row>
    <row r="3325" spans="6:23" ht="15.75">
      <c r="F3325" s="411">
        <v>6</v>
      </c>
      <c r="G3325" s="455" t="s">
        <v>3</v>
      </c>
      <c r="H3325" s="411" t="s">
        <v>1984</v>
      </c>
      <c r="I3325" s="411">
        <f t="shared" si="316"/>
        <v>89.6</v>
      </c>
      <c r="J3325" s="436" t="s">
        <v>194</v>
      </c>
      <c r="K3325" s="411">
        <f t="shared" si="315"/>
        <v>537.59999999999991</v>
      </c>
      <c r="M3325" s="783">
        <v>5.1999999999999998E-2</v>
      </c>
      <c r="N3325" s="757" t="s">
        <v>108</v>
      </c>
      <c r="O3325" s="576" t="s">
        <v>1883</v>
      </c>
      <c r="P3325" s="574">
        <f>P3223</f>
        <v>111965.44</v>
      </c>
      <c r="Q3325" s="577" t="s">
        <v>108</v>
      </c>
      <c r="R3325" s="574">
        <f>P3325*M3325</f>
        <v>5822.2028799999998</v>
      </c>
      <c r="W3325" s="361"/>
    </row>
    <row r="3326" spans="6:23" ht="15.75">
      <c r="F3326" s="411">
        <v>4</v>
      </c>
      <c r="G3326" s="455" t="s">
        <v>3</v>
      </c>
      <c r="H3326" s="411" t="s">
        <v>1985</v>
      </c>
      <c r="I3326" s="411">
        <f t="shared" si="316"/>
        <v>97.85</v>
      </c>
      <c r="J3326" s="436" t="s">
        <v>194</v>
      </c>
      <c r="K3326" s="411">
        <f t="shared" si="315"/>
        <v>391.4</v>
      </c>
      <c r="M3326" s="783">
        <v>3.2910000000000002E-2</v>
      </c>
      <c r="N3326" s="757" t="s">
        <v>108</v>
      </c>
      <c r="O3326" s="576" t="s">
        <v>1885</v>
      </c>
      <c r="P3326" s="574">
        <f>P3224</f>
        <v>99765.440000000002</v>
      </c>
      <c r="Q3326" s="577" t="s">
        <v>108</v>
      </c>
      <c r="R3326" s="574">
        <f t="shared" ref="R3326:R3337" si="317">P3326*M3326</f>
        <v>3283.2806304000001</v>
      </c>
      <c r="W3326" s="361"/>
    </row>
    <row r="3327" spans="6:23" ht="15.75">
      <c r="F3327" s="411">
        <v>1</v>
      </c>
      <c r="G3327" s="455" t="s">
        <v>3</v>
      </c>
      <c r="H3327" s="411" t="s">
        <v>1987</v>
      </c>
      <c r="I3327" s="411">
        <f t="shared" si="316"/>
        <v>209.9</v>
      </c>
      <c r="J3327" s="436" t="s">
        <v>194</v>
      </c>
      <c r="K3327" s="411">
        <f t="shared" si="315"/>
        <v>209.9</v>
      </c>
      <c r="M3327" s="783">
        <v>0.45</v>
      </c>
      <c r="N3327" s="757" t="s">
        <v>107</v>
      </c>
      <c r="O3327" s="356" t="s">
        <v>988</v>
      </c>
      <c r="P3327" s="574">
        <f>P3295</f>
        <v>387.4</v>
      </c>
      <c r="Q3327" s="577" t="s">
        <v>108</v>
      </c>
      <c r="R3327" s="574">
        <f t="shared" si="317"/>
        <v>174.32999999999998</v>
      </c>
      <c r="W3327" s="361"/>
    </row>
    <row r="3328" spans="6:23" ht="15.75">
      <c r="F3328" s="411">
        <v>2</v>
      </c>
      <c r="G3328" s="455" t="s">
        <v>3</v>
      </c>
      <c r="H3328" s="411" t="s">
        <v>3065</v>
      </c>
      <c r="I3328" s="411">
        <f t="shared" si="316"/>
        <v>23.1</v>
      </c>
      <c r="J3328" s="436" t="s">
        <v>194</v>
      </c>
      <c r="K3328" s="411">
        <f t="shared" si="315"/>
        <v>46.2</v>
      </c>
      <c r="M3328" s="813">
        <v>0.94</v>
      </c>
      <c r="N3328" s="757" t="s">
        <v>107</v>
      </c>
      <c r="O3328" s="576" t="s">
        <v>3066</v>
      </c>
      <c r="P3328" s="574">
        <f t="shared" ref="P3328:P3336" si="318">P3227</f>
        <v>562.5</v>
      </c>
      <c r="Q3328" s="753" t="s">
        <v>107</v>
      </c>
      <c r="R3328" s="574">
        <f t="shared" si="317"/>
        <v>528.75</v>
      </c>
      <c r="W3328" s="361"/>
    </row>
    <row r="3329" spans="6:23" ht="15.75">
      <c r="F3329" s="411">
        <v>2</v>
      </c>
      <c r="G3329" s="455" t="s">
        <v>3</v>
      </c>
      <c r="H3329" s="411" t="s">
        <v>995</v>
      </c>
      <c r="I3329" s="411">
        <f t="shared" si="316"/>
        <v>49.55</v>
      </c>
      <c r="J3329" s="436" t="s">
        <v>194</v>
      </c>
      <c r="K3329" s="411">
        <f t="shared" si="315"/>
        <v>99.1</v>
      </c>
      <c r="M3329" s="813">
        <v>7.9</v>
      </c>
      <c r="N3329" s="757" t="s">
        <v>110</v>
      </c>
      <c r="O3329" s="576" t="s">
        <v>3067</v>
      </c>
      <c r="P3329" s="574">
        <f t="shared" si="318"/>
        <v>15.45</v>
      </c>
      <c r="Q3329" s="753"/>
      <c r="R3329" s="574">
        <f t="shared" si="317"/>
        <v>122.05500000000001</v>
      </c>
      <c r="W3329" s="361"/>
    </row>
    <row r="3330" spans="6:23" ht="15.75">
      <c r="F3330" s="411">
        <v>10</v>
      </c>
      <c r="G3330" s="455"/>
      <c r="H3330" s="878" t="s">
        <v>3068</v>
      </c>
      <c r="I3330" s="411">
        <f>I3292</f>
        <v>2.41</v>
      </c>
      <c r="J3330" s="436"/>
      <c r="K3330" s="411">
        <v>24.3</v>
      </c>
      <c r="M3330" s="813">
        <v>3.1219999999999999</v>
      </c>
      <c r="N3330" s="757" t="s">
        <v>107</v>
      </c>
      <c r="O3330" s="576" t="s">
        <v>1880</v>
      </c>
      <c r="P3330" s="574">
        <f t="shared" si="318"/>
        <v>1723.2</v>
      </c>
      <c r="Q3330" s="577" t="s">
        <v>107</v>
      </c>
      <c r="R3330" s="574">
        <f t="shared" si="317"/>
        <v>5379.8303999999998</v>
      </c>
      <c r="W3330" s="361"/>
    </row>
    <row r="3331" spans="6:23" ht="15.75">
      <c r="F3331" s="411"/>
      <c r="G3331" s="455"/>
      <c r="H3331" s="411" t="s">
        <v>3069</v>
      </c>
      <c r="I3331" s="411"/>
      <c r="J3331" s="436"/>
      <c r="K3331" s="411">
        <f>SUM(K3320:K3330)</f>
        <v>21317.1415968</v>
      </c>
      <c r="M3331" s="574">
        <v>4</v>
      </c>
      <c r="N3331" s="757" t="s">
        <v>223</v>
      </c>
      <c r="O3331" s="576" t="s">
        <v>3007</v>
      </c>
      <c r="P3331" s="574">
        <f t="shared" si="318"/>
        <v>57.65</v>
      </c>
      <c r="Q3331" s="577" t="s">
        <v>151</v>
      </c>
      <c r="R3331" s="574">
        <f t="shared" si="317"/>
        <v>230.6</v>
      </c>
      <c r="W3331" s="361"/>
    </row>
    <row r="3332" spans="6:23" ht="15.75">
      <c r="F3332" s="411"/>
      <c r="G3332" s="455"/>
      <c r="H3332" s="411"/>
      <c r="I3332" s="411"/>
      <c r="J3332" s="436"/>
      <c r="K3332" s="797" t="s">
        <v>1992</v>
      </c>
      <c r="M3332" s="574">
        <v>8</v>
      </c>
      <c r="N3332" s="757" t="s">
        <v>151</v>
      </c>
      <c r="O3332" s="576" t="s">
        <v>1882</v>
      </c>
      <c r="P3332" s="574">
        <f t="shared" si="318"/>
        <v>89.6</v>
      </c>
      <c r="Q3332" s="577" t="s">
        <v>151</v>
      </c>
      <c r="R3332" s="574">
        <f t="shared" si="317"/>
        <v>716.8</v>
      </c>
      <c r="W3332" s="361"/>
    </row>
    <row r="3333" spans="6:23" ht="15.75">
      <c r="F3333" s="411"/>
      <c r="G3333" s="455"/>
      <c r="H3333" s="411" t="s">
        <v>177</v>
      </c>
      <c r="I3333" s="411"/>
      <c r="J3333" s="436"/>
      <c r="K3333" s="411">
        <f>K3331/F3323</f>
        <v>5396.7447080506327</v>
      </c>
      <c r="M3333" s="574">
        <v>4</v>
      </c>
      <c r="N3333" s="757" t="s">
        <v>151</v>
      </c>
      <c r="O3333" s="576" t="s">
        <v>3027</v>
      </c>
      <c r="P3333" s="574">
        <f t="shared" si="318"/>
        <v>97.85</v>
      </c>
      <c r="Q3333" s="577" t="s">
        <v>151</v>
      </c>
      <c r="R3333" s="574">
        <f t="shared" si="317"/>
        <v>391.4</v>
      </c>
      <c r="W3333" s="361"/>
    </row>
    <row r="3334" spans="6:23" ht="15.75">
      <c r="F3334" s="411"/>
      <c r="G3334" s="455"/>
      <c r="H3334" s="411"/>
      <c r="I3334" s="411"/>
      <c r="J3334" s="436"/>
      <c r="K3334" s="797" t="s">
        <v>1992</v>
      </c>
      <c r="M3334" s="574">
        <v>1</v>
      </c>
      <c r="N3334" s="757" t="s">
        <v>151</v>
      </c>
      <c r="O3334" s="576" t="s">
        <v>3028</v>
      </c>
      <c r="P3334" s="574">
        <f t="shared" si="318"/>
        <v>209.9</v>
      </c>
      <c r="Q3334" s="577" t="s">
        <v>151</v>
      </c>
      <c r="R3334" s="574">
        <f t="shared" si="317"/>
        <v>209.9</v>
      </c>
      <c r="W3334" s="361"/>
    </row>
    <row r="3335" spans="6:23" ht="15.75">
      <c r="G3335" s="35"/>
      <c r="J3335" s="35"/>
      <c r="M3335" s="574">
        <v>2</v>
      </c>
      <c r="N3335" s="757" t="s">
        <v>151</v>
      </c>
      <c r="O3335" s="576" t="s">
        <v>3029</v>
      </c>
      <c r="P3335" s="574">
        <f t="shared" si="318"/>
        <v>23.1</v>
      </c>
      <c r="Q3335" s="577" t="s">
        <v>151</v>
      </c>
      <c r="R3335" s="574">
        <f t="shared" si="317"/>
        <v>46.2</v>
      </c>
      <c r="W3335" s="361"/>
    </row>
    <row r="3336" spans="6:23" ht="15.75">
      <c r="G3336" s="35"/>
      <c r="J3336" s="35"/>
      <c r="M3336" s="574">
        <v>2</v>
      </c>
      <c r="N3336" s="757" t="s">
        <v>151</v>
      </c>
      <c r="O3336" s="576" t="s">
        <v>3030</v>
      </c>
      <c r="P3336" s="574">
        <f t="shared" si="318"/>
        <v>49.55</v>
      </c>
      <c r="Q3336" s="577" t="s">
        <v>151</v>
      </c>
      <c r="R3336" s="574">
        <f t="shared" si="317"/>
        <v>99.1</v>
      </c>
      <c r="W3336" s="361"/>
    </row>
    <row r="3337" spans="6:23" ht="15.75">
      <c r="G3337" s="35"/>
      <c r="J3337" s="35"/>
      <c r="M3337" s="750">
        <v>118</v>
      </c>
      <c r="N3337" s="757" t="s">
        <v>151</v>
      </c>
      <c r="O3337" s="750" t="s">
        <v>2966</v>
      </c>
      <c r="P3337" s="750">
        <f>P3270</f>
        <v>2.41</v>
      </c>
      <c r="Q3337" s="577" t="s">
        <v>151</v>
      </c>
      <c r="R3337" s="574">
        <f t="shared" si="317"/>
        <v>284.38</v>
      </c>
      <c r="W3337" s="361"/>
    </row>
    <row r="3338" spans="6:23" ht="15.75">
      <c r="F3338" s="357"/>
      <c r="G3338" s="368" t="s">
        <v>122</v>
      </c>
      <c r="H3338" s="356" t="s">
        <v>3070</v>
      </c>
      <c r="J3338" s="361"/>
      <c r="M3338" s="750"/>
      <c r="N3338" s="751"/>
      <c r="O3338" s="750"/>
      <c r="P3338" s="750"/>
      <c r="Q3338" s="753"/>
      <c r="R3338" s="758" t="s">
        <v>117</v>
      </c>
      <c r="W3338" s="361"/>
    </row>
    <row r="3339" spans="6:23" ht="15.75">
      <c r="H3339" s="356" t="s">
        <v>280</v>
      </c>
      <c r="J3339" s="361"/>
      <c r="M3339" s="750"/>
      <c r="N3339" s="751"/>
      <c r="O3339" s="576" t="s">
        <v>3013</v>
      </c>
      <c r="P3339" s="750"/>
      <c r="Q3339" s="753"/>
      <c r="R3339" s="574">
        <f>SUM(R3325:R3337)</f>
        <v>17288.8289104</v>
      </c>
      <c r="W3339" s="361"/>
    </row>
    <row r="3340" spans="6:23" ht="15.75">
      <c r="H3340" s="359" t="s">
        <v>281</v>
      </c>
      <c r="J3340" s="361"/>
      <c r="M3340" s="750"/>
      <c r="N3340" s="751"/>
      <c r="O3340" s="750"/>
      <c r="P3340" s="750"/>
      <c r="Q3340" s="753"/>
      <c r="R3340" s="758" t="s">
        <v>117</v>
      </c>
      <c r="W3340" s="361"/>
    </row>
    <row r="3341" spans="6:23" ht="15.75">
      <c r="H3341" s="363" t="s">
        <v>117</v>
      </c>
      <c r="J3341" s="361"/>
      <c r="M3341" s="750"/>
      <c r="N3341" s="751"/>
      <c r="O3341" s="764" t="s">
        <v>177</v>
      </c>
      <c r="P3341" s="750"/>
      <c r="Q3341" s="755" t="s">
        <v>2807</v>
      </c>
      <c r="R3341" s="765">
        <f>R3339/M3330</f>
        <v>5537.7414831518254</v>
      </c>
      <c r="W3341" s="361"/>
    </row>
    <row r="3342" spans="6:23" ht="15.75">
      <c r="F3342" s="370">
        <v>1.34</v>
      </c>
      <c r="G3342" s="368" t="s">
        <v>213</v>
      </c>
      <c r="H3342" s="708" t="s">
        <v>282</v>
      </c>
      <c r="I3342" s="394">
        <v>73.8</v>
      </c>
      <c r="J3342" s="356" t="s">
        <v>213</v>
      </c>
      <c r="K3342" s="370">
        <f>(F3342*I3342)</f>
        <v>98.891999999999996</v>
      </c>
      <c r="W3342" s="361"/>
    </row>
    <row r="3343" spans="6:23" ht="15">
      <c r="F3343" s="370">
        <v>0.5</v>
      </c>
      <c r="G3343" s="368" t="s">
        <v>223</v>
      </c>
      <c r="H3343" s="356" t="s">
        <v>261</v>
      </c>
      <c r="I3343" s="370">
        <f>AG13</f>
        <v>956.4</v>
      </c>
      <c r="J3343" s="368" t="s">
        <v>223</v>
      </c>
      <c r="K3343" s="370">
        <f>(F3343*I3343)</f>
        <v>478.2</v>
      </c>
      <c r="W3343" s="361"/>
    </row>
    <row r="3344" spans="6:23" ht="15.75">
      <c r="F3344" s="370">
        <v>0.5</v>
      </c>
      <c r="G3344" s="368" t="s">
        <v>223</v>
      </c>
      <c r="H3344" s="356" t="s">
        <v>153</v>
      </c>
      <c r="I3344" s="370">
        <f>AG11</f>
        <v>781.19999999999993</v>
      </c>
      <c r="J3344" s="368" t="s">
        <v>223</v>
      </c>
      <c r="K3344" s="370">
        <f>(F3344*I3344)</f>
        <v>390.59999999999997</v>
      </c>
      <c r="M3344" s="577"/>
      <c r="N3344" s="757" t="s">
        <v>122</v>
      </c>
      <c r="O3344" s="576" t="s">
        <v>3071</v>
      </c>
      <c r="P3344" s="750"/>
      <c r="Q3344" s="753"/>
      <c r="R3344" s="750"/>
      <c r="W3344" s="361"/>
    </row>
    <row r="3345" spans="6:23" ht="15.75">
      <c r="F3345" s="370">
        <v>0.8</v>
      </c>
      <c r="G3345" s="368" t="s">
        <v>223</v>
      </c>
      <c r="H3345" s="356" t="s">
        <v>154</v>
      </c>
      <c r="I3345" s="370">
        <f>AG12</f>
        <v>640.79999999999995</v>
      </c>
      <c r="J3345" s="368" t="s">
        <v>223</v>
      </c>
      <c r="K3345" s="370">
        <f>(F3345*I3345)</f>
        <v>512.64</v>
      </c>
      <c r="M3345" s="750"/>
      <c r="N3345" s="751"/>
      <c r="O3345" s="576" t="s">
        <v>1867</v>
      </c>
      <c r="P3345" s="750"/>
      <c r="Q3345" s="753"/>
      <c r="R3345" s="750"/>
      <c r="W3345" s="361"/>
    </row>
    <row r="3346" spans="6:23" ht="18">
      <c r="G3346" s="368" t="s">
        <v>128</v>
      </c>
      <c r="H3346" s="356" t="s">
        <v>283</v>
      </c>
      <c r="I3346" s="356" t="s">
        <v>114</v>
      </c>
      <c r="J3346" s="357" t="s">
        <v>128</v>
      </c>
      <c r="K3346" s="370">
        <v>2.6</v>
      </c>
      <c r="M3346" s="750"/>
      <c r="N3346" s="751"/>
      <c r="O3346" s="855" t="s">
        <v>3072</v>
      </c>
      <c r="P3346" s="750"/>
      <c r="Q3346" s="753"/>
      <c r="R3346" s="750"/>
      <c r="W3346" s="361"/>
    </row>
    <row r="3347" spans="6:23" ht="15.75">
      <c r="J3347" s="361"/>
      <c r="K3347" s="363" t="s">
        <v>117</v>
      </c>
      <c r="M3347" s="750"/>
      <c r="N3347" s="751"/>
      <c r="O3347" s="758" t="s">
        <v>117</v>
      </c>
      <c r="P3347" s="750"/>
      <c r="Q3347" s="753"/>
      <c r="R3347" s="750"/>
      <c r="W3347" s="361"/>
    </row>
    <row r="3348" spans="6:23" ht="15.75">
      <c r="H3348" s="356" t="s">
        <v>176</v>
      </c>
      <c r="J3348" s="361"/>
      <c r="K3348" s="370">
        <f>SUM(K3342:K3347)</f>
        <v>1482.9319999999998</v>
      </c>
      <c r="M3348" s="750"/>
      <c r="N3348" s="751"/>
      <c r="O3348" s="576" t="s">
        <v>3073</v>
      </c>
      <c r="P3348" s="754" t="s">
        <v>156</v>
      </c>
      <c r="Q3348" s="856">
        <v>1.734</v>
      </c>
      <c r="R3348" s="750" t="s">
        <v>262</v>
      </c>
      <c r="W3348" s="361"/>
    </row>
    <row r="3349" spans="6:23" ht="15.75">
      <c r="J3349" s="361"/>
      <c r="K3349" s="363" t="s">
        <v>117</v>
      </c>
      <c r="M3349" s="750"/>
      <c r="N3349" s="751"/>
      <c r="O3349" s="576"/>
      <c r="P3349" s="754"/>
      <c r="Q3349" s="856"/>
      <c r="R3349" s="750"/>
      <c r="W3349" s="361"/>
    </row>
    <row r="3350" spans="6:23" ht="15.75">
      <c r="H3350" s="359" t="s">
        <v>177</v>
      </c>
      <c r="J3350" s="361"/>
      <c r="K3350" s="369">
        <f>(K3348/10)</f>
        <v>148.29319999999998</v>
      </c>
      <c r="M3350" s="750"/>
      <c r="N3350" s="751"/>
      <c r="O3350" s="576" t="s">
        <v>3074</v>
      </c>
      <c r="P3350" s="754" t="s">
        <v>156</v>
      </c>
      <c r="Q3350" s="857">
        <v>3.9E-2</v>
      </c>
      <c r="R3350" s="750" t="s">
        <v>793</v>
      </c>
      <c r="W3350" s="361"/>
    </row>
    <row r="3351" spans="6:23" ht="15.75">
      <c r="F3351" s="356" t="s">
        <v>114</v>
      </c>
      <c r="J3351" s="361"/>
      <c r="M3351" s="750"/>
      <c r="N3351" s="751"/>
      <c r="O3351" s="576" t="s">
        <v>2998</v>
      </c>
      <c r="Q3351" s="858"/>
      <c r="R3351" s="750"/>
      <c r="W3351" s="361"/>
    </row>
    <row r="3352" spans="6:23" ht="15.75">
      <c r="G3352" s="35"/>
      <c r="J3352" s="35"/>
      <c r="M3352" s="750"/>
      <c r="N3352" s="751"/>
      <c r="O3352" s="576" t="s">
        <v>3075</v>
      </c>
      <c r="P3352" s="754" t="s">
        <v>156</v>
      </c>
      <c r="Q3352" s="859">
        <v>1.2659999999999999E-2</v>
      </c>
      <c r="R3352" s="750"/>
      <c r="W3352" s="361"/>
    </row>
    <row r="3353" spans="6:23" ht="15.75">
      <c r="H3353" s="411" t="s">
        <v>273</v>
      </c>
      <c r="J3353" s="35"/>
      <c r="M3353" s="750"/>
      <c r="N3353" s="751"/>
      <c r="O3353" s="576" t="s">
        <v>3076</v>
      </c>
      <c r="P3353" s="754" t="s">
        <v>156</v>
      </c>
      <c r="Q3353" s="867">
        <v>5.6249999999999998E-3</v>
      </c>
      <c r="R3353" s="783"/>
      <c r="W3353" s="361"/>
    </row>
    <row r="3354" spans="6:23" ht="15.75">
      <c r="J3354" s="35"/>
      <c r="M3354" s="750"/>
      <c r="N3354" s="751"/>
      <c r="O3354" s="750"/>
      <c r="P3354" s="750"/>
      <c r="Q3354" s="758" t="s">
        <v>117</v>
      </c>
      <c r="W3354" s="361"/>
    </row>
    <row r="3355" spans="6:23" ht="15.75">
      <c r="F3355" s="35">
        <v>1.4</v>
      </c>
      <c r="G3355" s="368" t="s">
        <v>274</v>
      </c>
      <c r="H3355" s="35" t="s">
        <v>275</v>
      </c>
      <c r="I3355" s="471">
        <f>I3368</f>
        <v>295.60000000000002</v>
      </c>
      <c r="J3355" s="368" t="s">
        <v>274</v>
      </c>
      <c r="K3355" s="35">
        <f>I3355*F3355</f>
        <v>413.84000000000003</v>
      </c>
      <c r="M3355" s="750"/>
      <c r="N3355" s="751"/>
      <c r="O3355" s="750"/>
      <c r="P3355" s="750"/>
      <c r="Q3355" s="860">
        <v>1.8290000000000001E-2</v>
      </c>
      <c r="R3355" s="35" t="s">
        <v>793</v>
      </c>
      <c r="W3355" s="361"/>
    </row>
    <row r="3356" spans="6:23" ht="15.75">
      <c r="F3356" s="35">
        <v>1.5</v>
      </c>
      <c r="G3356" s="368" t="s">
        <v>223</v>
      </c>
      <c r="H3356" s="35" t="s">
        <v>276</v>
      </c>
      <c r="I3356" s="471">
        <f>I3369</f>
        <v>956.4</v>
      </c>
      <c r="J3356" s="368" t="s">
        <v>223</v>
      </c>
      <c r="K3356" s="35">
        <f>I3356*F3356</f>
        <v>1434.6</v>
      </c>
      <c r="M3356" s="750"/>
      <c r="N3356" s="751"/>
      <c r="O3356" s="750"/>
      <c r="P3356" s="750"/>
      <c r="Q3356" s="758" t="s">
        <v>117</v>
      </c>
      <c r="W3356" s="361"/>
    </row>
    <row r="3357" spans="6:23" ht="15.75">
      <c r="F3357" s="35">
        <v>10</v>
      </c>
      <c r="G3357" s="358" t="s">
        <v>262</v>
      </c>
      <c r="H3357" s="356" t="s">
        <v>277</v>
      </c>
      <c r="I3357" s="471">
        <f>I3370</f>
        <v>5.04</v>
      </c>
      <c r="J3357" s="358" t="s">
        <v>262</v>
      </c>
      <c r="K3357" s="35">
        <f>I3357*F3357</f>
        <v>50.4</v>
      </c>
      <c r="M3357" s="750"/>
      <c r="N3357" s="751"/>
      <c r="O3357" s="576" t="s">
        <v>3077</v>
      </c>
      <c r="P3357" s="750"/>
      <c r="Q3357" s="861">
        <v>0.4113</v>
      </c>
      <c r="R3357" s="783"/>
      <c r="W3357" s="361"/>
    </row>
    <row r="3358" spans="6:23" ht="15.75">
      <c r="H3358" s="356" t="s">
        <v>264</v>
      </c>
      <c r="I3358" s="471" t="s">
        <v>278</v>
      </c>
      <c r="J3358" s="361"/>
      <c r="K3358" s="35">
        <v>4.33</v>
      </c>
      <c r="M3358" s="750"/>
      <c r="N3358" s="751"/>
      <c r="O3358" s="576" t="s">
        <v>3078</v>
      </c>
      <c r="P3358" s="750"/>
      <c r="Q3358" s="862">
        <v>0.19689999999999999</v>
      </c>
      <c r="R3358" s="783"/>
      <c r="W3358" s="361"/>
    </row>
    <row r="3359" spans="6:23" ht="15.75">
      <c r="H3359" s="356" t="s">
        <v>176</v>
      </c>
      <c r="J3359" s="361"/>
      <c r="K3359" s="35">
        <f>SUM(K3355:K3358)</f>
        <v>1903.17</v>
      </c>
      <c r="M3359" s="750"/>
      <c r="N3359" s="751"/>
      <c r="O3359" s="576"/>
      <c r="P3359" s="750"/>
      <c r="Q3359" s="758" t="s">
        <v>117</v>
      </c>
      <c r="R3359" s="783"/>
      <c r="W3359" s="361"/>
    </row>
    <row r="3360" spans="6:23" ht="15.75">
      <c r="H3360" s="359" t="s">
        <v>177</v>
      </c>
      <c r="J3360" s="361"/>
      <c r="K3360" s="35">
        <f>K3359/10</f>
        <v>190.31700000000001</v>
      </c>
      <c r="M3360" s="750"/>
      <c r="N3360" s="751"/>
      <c r="O3360" s="576"/>
      <c r="P3360" s="750"/>
      <c r="Q3360" s="863">
        <v>0.60819999999999996</v>
      </c>
      <c r="R3360" s="756"/>
      <c r="W3360" s="361"/>
    </row>
    <row r="3361" spans="6:23" ht="15.75">
      <c r="J3361" s="361"/>
      <c r="M3361" s="750"/>
      <c r="N3361" s="751"/>
      <c r="O3361" s="750"/>
      <c r="P3361" s="750"/>
      <c r="Q3361" s="758" t="s">
        <v>117</v>
      </c>
      <c r="R3361" s="758"/>
      <c r="W3361" s="361"/>
    </row>
    <row r="3362" spans="6:23" ht="15.75">
      <c r="J3362" s="361"/>
      <c r="M3362" s="783">
        <v>3.9E-2</v>
      </c>
      <c r="N3362" s="757" t="s">
        <v>108</v>
      </c>
      <c r="O3362" s="576" t="s">
        <v>1883</v>
      </c>
      <c r="P3362" s="574">
        <f>P3293</f>
        <v>111965.44</v>
      </c>
      <c r="Q3362" s="577" t="s">
        <v>108</v>
      </c>
      <c r="R3362" s="574">
        <f>P3362*M3362</f>
        <v>4366.6521599999996</v>
      </c>
      <c r="W3362" s="361"/>
    </row>
    <row r="3363" spans="6:23" ht="15.75">
      <c r="G3363" s="35"/>
      <c r="J3363" s="35"/>
      <c r="M3363" s="783">
        <v>1.8290000000000001E-2</v>
      </c>
      <c r="N3363" s="757" t="s">
        <v>108</v>
      </c>
      <c r="O3363" s="576" t="s">
        <v>1885</v>
      </c>
      <c r="P3363" s="574">
        <f>P3294</f>
        <v>99765.440000000002</v>
      </c>
      <c r="Q3363" s="577" t="s">
        <v>108</v>
      </c>
      <c r="R3363" s="574">
        <f t="shared" ref="R3363:R3372" si="319">P3363*M3363</f>
        <v>1824.7098976000002</v>
      </c>
      <c r="W3363" s="361"/>
    </row>
    <row r="3364" spans="6:23" ht="15.75">
      <c r="G3364" s="35"/>
      <c r="J3364" s="35"/>
      <c r="M3364" s="783">
        <v>0.60819999999999996</v>
      </c>
      <c r="N3364" s="757" t="s">
        <v>107</v>
      </c>
      <c r="O3364" s="356" t="s">
        <v>988</v>
      </c>
      <c r="P3364" s="574">
        <f>P3327</f>
        <v>387.4</v>
      </c>
      <c r="Q3364" s="577" t="s">
        <v>108</v>
      </c>
      <c r="R3364" s="574">
        <f t="shared" si="319"/>
        <v>235.61667999999997</v>
      </c>
      <c r="W3364" s="361"/>
    </row>
    <row r="3365" spans="6:23" ht="15.75">
      <c r="G3365" s="35"/>
      <c r="J3365" s="35"/>
      <c r="M3365" s="813">
        <v>1.734</v>
      </c>
      <c r="N3365" s="757" t="s">
        <v>107</v>
      </c>
      <c r="O3365" s="576" t="s">
        <v>1880</v>
      </c>
      <c r="P3365" s="574">
        <f>P3330</f>
        <v>1723.2</v>
      </c>
      <c r="Q3365" s="577" t="s">
        <v>107</v>
      </c>
      <c r="R3365" s="574">
        <f t="shared" si="319"/>
        <v>2988.0288</v>
      </c>
      <c r="W3365" s="361"/>
    </row>
    <row r="3366" spans="6:23" ht="15.75">
      <c r="H3366" s="411" t="s">
        <v>3079</v>
      </c>
      <c r="J3366" s="35"/>
      <c r="M3366" s="574">
        <v>2</v>
      </c>
      <c r="N3366" s="757" t="s">
        <v>223</v>
      </c>
      <c r="O3366" s="576" t="s">
        <v>3007</v>
      </c>
      <c r="P3366" s="574">
        <f t="shared" ref="P3366:P3371" si="320">P3297</f>
        <v>57.65</v>
      </c>
      <c r="Q3366" s="577" t="s">
        <v>151</v>
      </c>
      <c r="R3366" s="574">
        <f t="shared" si="319"/>
        <v>115.3</v>
      </c>
      <c r="W3366" s="361"/>
    </row>
    <row r="3367" spans="6:23" ht="15.75">
      <c r="J3367" s="35"/>
      <c r="M3367" s="574">
        <v>4</v>
      </c>
      <c r="N3367" s="757" t="s">
        <v>151</v>
      </c>
      <c r="O3367" s="576" t="s">
        <v>1882</v>
      </c>
      <c r="P3367" s="574">
        <f t="shared" si="320"/>
        <v>89.6</v>
      </c>
      <c r="Q3367" s="577" t="s">
        <v>151</v>
      </c>
      <c r="R3367" s="574">
        <f t="shared" si="319"/>
        <v>358.4</v>
      </c>
      <c r="W3367" s="361"/>
    </row>
    <row r="3368" spans="6:23" ht="15.75">
      <c r="F3368" s="35">
        <v>0.8</v>
      </c>
      <c r="G3368" s="368" t="s">
        <v>274</v>
      </c>
      <c r="H3368" s="35" t="s">
        <v>275</v>
      </c>
      <c r="I3368" s="471">
        <f>P1321</f>
        <v>295.60000000000002</v>
      </c>
      <c r="J3368" s="368" t="s">
        <v>274</v>
      </c>
      <c r="K3368" s="35">
        <f>I3368*F3368</f>
        <v>236.48000000000002</v>
      </c>
      <c r="M3368" s="574">
        <v>2</v>
      </c>
      <c r="N3368" s="757" t="s">
        <v>151</v>
      </c>
      <c r="O3368" s="576" t="s">
        <v>3027</v>
      </c>
      <c r="P3368" s="574">
        <f t="shared" si="320"/>
        <v>97.85</v>
      </c>
      <c r="Q3368" s="577" t="s">
        <v>151</v>
      </c>
      <c r="R3368" s="574">
        <f t="shared" si="319"/>
        <v>195.7</v>
      </c>
      <c r="W3368" s="361"/>
    </row>
    <row r="3369" spans="6:23" ht="15.75">
      <c r="F3369" s="35">
        <v>0.7</v>
      </c>
      <c r="G3369" s="368" t="s">
        <v>223</v>
      </c>
      <c r="H3369" s="35" t="s">
        <v>276</v>
      </c>
      <c r="I3369" s="35">
        <f>I3343</f>
        <v>956.4</v>
      </c>
      <c r="J3369" s="368" t="s">
        <v>223</v>
      </c>
      <c r="K3369" s="35">
        <f>I3369*F3369</f>
        <v>669.4799999999999</v>
      </c>
      <c r="M3369" s="574">
        <v>1</v>
      </c>
      <c r="N3369" s="757" t="s">
        <v>151</v>
      </c>
      <c r="O3369" s="576" t="s">
        <v>3028</v>
      </c>
      <c r="P3369" s="574">
        <f t="shared" si="320"/>
        <v>209.9</v>
      </c>
      <c r="Q3369" s="577" t="s">
        <v>151</v>
      </c>
      <c r="R3369" s="574">
        <f t="shared" si="319"/>
        <v>209.9</v>
      </c>
      <c r="W3369" s="361"/>
    </row>
    <row r="3370" spans="6:23" ht="15.75">
      <c r="F3370" s="35">
        <v>10</v>
      </c>
      <c r="G3370" s="358" t="s">
        <v>262</v>
      </c>
      <c r="H3370" s="356" t="s">
        <v>277</v>
      </c>
      <c r="I3370" s="35">
        <f>I3187</f>
        <v>5.04</v>
      </c>
      <c r="J3370" s="358" t="s">
        <v>262</v>
      </c>
      <c r="K3370" s="35">
        <f>I3370*F3370</f>
        <v>50.4</v>
      </c>
      <c r="M3370" s="574">
        <v>1</v>
      </c>
      <c r="N3370" s="757" t="s">
        <v>151</v>
      </c>
      <c r="O3370" s="576" t="s">
        <v>3029</v>
      </c>
      <c r="P3370" s="574">
        <f t="shared" si="320"/>
        <v>23.1</v>
      </c>
      <c r="Q3370" s="577" t="s">
        <v>151</v>
      </c>
      <c r="R3370" s="574">
        <f t="shared" si="319"/>
        <v>23.1</v>
      </c>
      <c r="W3370" s="361"/>
    </row>
    <row r="3371" spans="6:23" ht="15.75">
      <c r="H3371" s="356" t="s">
        <v>264</v>
      </c>
      <c r="I3371" s="471" t="s">
        <v>278</v>
      </c>
      <c r="J3371" s="361"/>
      <c r="K3371" s="35">
        <v>1.6</v>
      </c>
      <c r="M3371" s="574">
        <v>1</v>
      </c>
      <c r="N3371" s="757" t="s">
        <v>151</v>
      </c>
      <c r="O3371" s="576" t="s">
        <v>3030</v>
      </c>
      <c r="P3371" s="574">
        <f t="shared" si="320"/>
        <v>49.55</v>
      </c>
      <c r="Q3371" s="577" t="s">
        <v>151</v>
      </c>
      <c r="R3371" s="574">
        <f t="shared" si="319"/>
        <v>49.55</v>
      </c>
      <c r="W3371" s="361"/>
    </row>
    <row r="3372" spans="6:23" ht="15.75">
      <c r="H3372" s="356" t="s">
        <v>176</v>
      </c>
      <c r="J3372" s="361"/>
      <c r="K3372" s="35">
        <f>SUM(K3368:K3371)</f>
        <v>957.95999999999992</v>
      </c>
      <c r="M3372" s="574">
        <v>58</v>
      </c>
      <c r="N3372" s="757" t="s">
        <v>151</v>
      </c>
      <c r="O3372" s="750" t="s">
        <v>2966</v>
      </c>
      <c r="P3372" s="750">
        <f>P3337</f>
        <v>2.41</v>
      </c>
      <c r="Q3372" s="577" t="s">
        <v>151</v>
      </c>
      <c r="R3372" s="574">
        <f t="shared" si="319"/>
        <v>139.78</v>
      </c>
      <c r="W3372" s="361"/>
    </row>
    <row r="3373" spans="6:23" ht="15.75">
      <c r="H3373" s="359" t="s">
        <v>177</v>
      </c>
      <c r="J3373" s="361"/>
      <c r="K3373" s="35">
        <f>K3372/10</f>
        <v>95.795999999999992</v>
      </c>
      <c r="M3373" s="750"/>
      <c r="N3373" s="751"/>
      <c r="O3373" s="750"/>
      <c r="P3373" s="750"/>
      <c r="Q3373" s="753"/>
      <c r="R3373" s="758" t="s">
        <v>117</v>
      </c>
      <c r="W3373" s="361"/>
    </row>
    <row r="3374" spans="6:23" ht="15.75">
      <c r="M3374" s="750"/>
      <c r="N3374" s="751"/>
      <c r="O3374" s="576" t="s">
        <v>3080</v>
      </c>
      <c r="P3374" s="750"/>
      <c r="Q3374" s="753"/>
      <c r="R3374" s="574">
        <f>SUM(R3362:R3372)</f>
        <v>10506.737537599998</v>
      </c>
      <c r="W3374" s="361"/>
    </row>
    <row r="3375" spans="6:23" ht="15.75">
      <c r="M3375" s="750"/>
      <c r="N3375" s="751"/>
      <c r="O3375" s="750"/>
      <c r="P3375" s="750"/>
      <c r="Q3375" s="753"/>
      <c r="R3375" s="758" t="s">
        <v>117</v>
      </c>
      <c r="W3375" s="361"/>
    </row>
    <row r="3376" spans="6:23" ht="15.75">
      <c r="F3376" s="750"/>
      <c r="G3376" s="751"/>
      <c r="H3376" s="576"/>
      <c r="I3376" s="754"/>
      <c r="J3376" s="856"/>
      <c r="K3376" s="750"/>
      <c r="M3376" s="750"/>
      <c r="N3376" s="751"/>
      <c r="O3376" s="764" t="s">
        <v>177</v>
      </c>
      <c r="P3376" s="750"/>
      <c r="Q3376" s="755" t="s">
        <v>2807</v>
      </c>
      <c r="R3376" s="765">
        <f>R3374/M3365</f>
        <v>6059.2488682814292</v>
      </c>
      <c r="W3376" s="361"/>
    </row>
    <row r="3377" spans="6:23" ht="15.75">
      <c r="F3377" s="750"/>
      <c r="G3377" s="751"/>
      <c r="H3377" s="576" t="s">
        <v>3074</v>
      </c>
      <c r="I3377" s="754" t="s">
        <v>156</v>
      </c>
      <c r="J3377" s="857">
        <v>3.9E-2</v>
      </c>
      <c r="K3377" s="750" t="s">
        <v>793</v>
      </c>
      <c r="N3377" s="358"/>
      <c r="Q3377" s="360"/>
      <c r="R3377" s="363" t="s">
        <v>156</v>
      </c>
      <c r="W3377" s="361"/>
    </row>
    <row r="3378" spans="6:23" ht="15.75">
      <c r="F3378" s="750"/>
      <c r="G3378" s="751"/>
      <c r="H3378" s="576" t="s">
        <v>2998</v>
      </c>
      <c r="J3378" s="858"/>
      <c r="K3378" s="750"/>
      <c r="M3378" s="577"/>
      <c r="N3378" s="757" t="s">
        <v>122</v>
      </c>
      <c r="O3378" s="576" t="s">
        <v>3071</v>
      </c>
      <c r="P3378" s="750"/>
      <c r="Q3378" s="753"/>
      <c r="R3378" s="750"/>
      <c r="W3378" s="361"/>
    </row>
    <row r="3379" spans="6:23" ht="15.75">
      <c r="F3379" s="750"/>
      <c r="G3379" s="751"/>
      <c r="H3379" s="576" t="s">
        <v>3081</v>
      </c>
      <c r="I3379" s="754" t="s">
        <v>156</v>
      </c>
      <c r="J3379" s="859">
        <v>1.519E-2</v>
      </c>
      <c r="K3379" s="750"/>
      <c r="M3379" s="750"/>
      <c r="N3379" s="751"/>
      <c r="O3379" s="576" t="s">
        <v>1867</v>
      </c>
      <c r="P3379" s="750"/>
      <c r="Q3379" s="753"/>
      <c r="R3379" s="750"/>
      <c r="W3379" s="361"/>
    </row>
    <row r="3380" spans="6:23" ht="18">
      <c r="F3380" s="750"/>
      <c r="G3380" s="751"/>
      <c r="H3380" s="576" t="s">
        <v>3082</v>
      </c>
      <c r="I3380" s="754" t="s">
        <v>156</v>
      </c>
      <c r="J3380" s="867">
        <v>6.7499999999999999E-3</v>
      </c>
      <c r="K3380" s="783"/>
      <c r="M3380" s="750"/>
      <c r="N3380" s="751"/>
      <c r="O3380" s="855" t="s">
        <v>3083</v>
      </c>
      <c r="P3380" s="750"/>
      <c r="Q3380" s="753"/>
      <c r="R3380" s="750"/>
      <c r="W3380" s="361"/>
    </row>
    <row r="3381" spans="6:23" ht="15.75">
      <c r="F3381" s="750"/>
      <c r="G3381" s="751"/>
      <c r="H3381" s="750"/>
      <c r="I3381" s="750"/>
      <c r="J3381" s="758" t="s">
        <v>117</v>
      </c>
      <c r="M3381" s="750"/>
      <c r="N3381" s="751"/>
      <c r="O3381" s="758" t="s">
        <v>117</v>
      </c>
      <c r="P3381" s="750"/>
      <c r="Q3381" s="753"/>
      <c r="R3381" s="750"/>
      <c r="W3381" s="361"/>
    </row>
    <row r="3382" spans="6:23" ht="15.75">
      <c r="F3382" s="750"/>
      <c r="G3382" s="751"/>
      <c r="H3382" s="750"/>
      <c r="I3382" s="750"/>
      <c r="J3382" s="860">
        <v>2.1940000000000001E-2</v>
      </c>
      <c r="K3382" s="35" t="s">
        <v>793</v>
      </c>
      <c r="M3382" s="750"/>
      <c r="N3382" s="751"/>
      <c r="O3382" s="576" t="s">
        <v>3084</v>
      </c>
      <c r="P3382" s="754" t="s">
        <v>156</v>
      </c>
      <c r="Q3382" s="856">
        <v>2.081</v>
      </c>
      <c r="R3382" s="750" t="s">
        <v>262</v>
      </c>
      <c r="W3382" s="361"/>
    </row>
    <row r="3383" spans="6:23" ht="15.75">
      <c r="F3383" s="750"/>
      <c r="G3383" s="751"/>
      <c r="H3383" s="750"/>
      <c r="I3383" s="750"/>
      <c r="J3383" s="758" t="s">
        <v>117</v>
      </c>
      <c r="M3383" s="750"/>
      <c r="N3383" s="751"/>
      <c r="O3383" s="576"/>
      <c r="P3383" s="754"/>
      <c r="Q3383" s="856"/>
      <c r="R3383" s="750"/>
      <c r="W3383" s="361"/>
    </row>
    <row r="3384" spans="6:23" ht="15.75">
      <c r="F3384" s="750"/>
      <c r="G3384" s="751"/>
      <c r="H3384" s="576" t="s">
        <v>3060</v>
      </c>
      <c r="I3384" s="750"/>
      <c r="J3384" s="861">
        <v>0.58750000000000002</v>
      </c>
      <c r="K3384" s="783"/>
      <c r="M3384" s="750"/>
      <c r="N3384" s="751"/>
      <c r="O3384" s="576" t="s">
        <v>3074</v>
      </c>
      <c r="P3384" s="754" t="s">
        <v>156</v>
      </c>
      <c r="Q3384" s="857">
        <v>3.9E-2</v>
      </c>
      <c r="R3384" s="750" t="s">
        <v>793</v>
      </c>
      <c r="W3384" s="361"/>
    </row>
    <row r="3385" spans="6:23" ht="15.75">
      <c r="F3385" s="750"/>
      <c r="G3385" s="751"/>
      <c r="H3385" s="576" t="s">
        <v>3061</v>
      </c>
      <c r="I3385" s="750"/>
      <c r="J3385" s="862">
        <v>0.28129999999999999</v>
      </c>
      <c r="K3385" s="783"/>
      <c r="M3385" s="750"/>
      <c r="N3385" s="751"/>
      <c r="O3385" s="576" t="s">
        <v>2998</v>
      </c>
      <c r="Q3385" s="858"/>
      <c r="R3385" s="750"/>
      <c r="W3385" s="361"/>
    </row>
    <row r="3386" spans="6:23" ht="15.75">
      <c r="F3386" s="750"/>
      <c r="G3386" s="751"/>
      <c r="H3386" s="576"/>
      <c r="I3386" s="750"/>
      <c r="J3386" s="758" t="s">
        <v>117</v>
      </c>
      <c r="K3386" s="783"/>
      <c r="M3386" s="750"/>
      <c r="N3386" s="751"/>
      <c r="O3386" s="576" t="s">
        <v>3081</v>
      </c>
      <c r="P3386" s="754" t="s">
        <v>156</v>
      </c>
      <c r="Q3386" s="859">
        <v>1.519E-2</v>
      </c>
      <c r="R3386" s="750"/>
      <c r="W3386" s="361"/>
    </row>
    <row r="3387" spans="6:23" ht="15.75">
      <c r="F3387" s="750"/>
      <c r="G3387" s="751"/>
      <c r="H3387" s="576"/>
      <c r="I3387" s="750"/>
      <c r="J3387" s="863">
        <v>0.86880000000000002</v>
      </c>
      <c r="K3387" s="756"/>
      <c r="M3387" s="750"/>
      <c r="N3387" s="751"/>
      <c r="O3387" s="576" t="s">
        <v>3082</v>
      </c>
      <c r="P3387" s="754" t="s">
        <v>156</v>
      </c>
      <c r="Q3387" s="867">
        <v>6.7499999999999999E-3</v>
      </c>
      <c r="R3387" s="783"/>
      <c r="W3387" s="361"/>
    </row>
    <row r="3388" spans="6:23" ht="15.75">
      <c r="F3388" s="750"/>
      <c r="G3388" s="751"/>
      <c r="H3388" s="750"/>
      <c r="I3388" s="750"/>
      <c r="J3388" s="758" t="s">
        <v>117</v>
      </c>
      <c r="K3388" s="758"/>
      <c r="M3388" s="750"/>
      <c r="N3388" s="751"/>
      <c r="O3388" s="750"/>
      <c r="P3388" s="750"/>
      <c r="Q3388" s="758" t="s">
        <v>117</v>
      </c>
      <c r="W3388" s="361"/>
    </row>
    <row r="3389" spans="6:23" ht="15.75">
      <c r="F3389" s="783">
        <v>3.9E-2</v>
      </c>
      <c r="G3389" s="757" t="s">
        <v>108</v>
      </c>
      <c r="H3389" s="576" t="s">
        <v>1883</v>
      </c>
      <c r="I3389" s="574">
        <f>C88</f>
        <v>111965.44</v>
      </c>
      <c r="J3389" s="577" t="s">
        <v>108</v>
      </c>
      <c r="K3389" s="574">
        <v>2868.26</v>
      </c>
      <c r="M3389" s="750"/>
      <c r="N3389" s="751"/>
      <c r="O3389" s="750"/>
      <c r="P3389" s="750"/>
      <c r="Q3389" s="860">
        <v>2.1940000000000001E-2</v>
      </c>
      <c r="R3389" s="35" t="s">
        <v>793</v>
      </c>
      <c r="W3389" s="361"/>
    </row>
    <row r="3390" spans="6:23" ht="15.75">
      <c r="F3390" s="783">
        <v>2.1940000000000001E-2</v>
      </c>
      <c r="G3390" s="757" t="s">
        <v>108</v>
      </c>
      <c r="H3390" s="576" t="s">
        <v>1885</v>
      </c>
      <c r="I3390" s="574">
        <f>C89</f>
        <v>99765.440000000002</v>
      </c>
      <c r="J3390" s="577" t="s">
        <v>108</v>
      </c>
      <c r="K3390" s="574">
        <v>1435.86</v>
      </c>
      <c r="M3390" s="750"/>
      <c r="N3390" s="751"/>
      <c r="O3390" s="750"/>
      <c r="P3390" s="750"/>
      <c r="Q3390" s="758" t="s">
        <v>117</v>
      </c>
      <c r="W3390" s="361"/>
    </row>
    <row r="3391" spans="6:23" ht="15.75">
      <c r="F3391" s="783">
        <v>0.86880000000000002</v>
      </c>
      <c r="G3391" s="757" t="s">
        <v>107</v>
      </c>
      <c r="H3391" s="356" t="s">
        <v>988</v>
      </c>
      <c r="I3391" s="574">
        <f>C785</f>
        <v>387.4</v>
      </c>
      <c r="J3391" s="577" t="s">
        <v>108</v>
      </c>
      <c r="K3391" s="574">
        <v>336.66</v>
      </c>
      <c r="M3391" s="750"/>
      <c r="N3391" s="751"/>
      <c r="O3391" s="576" t="s">
        <v>3060</v>
      </c>
      <c r="P3391" s="750"/>
      <c r="Q3391" s="861">
        <v>0.58750000000000002</v>
      </c>
      <c r="R3391" s="783"/>
      <c r="W3391" s="361"/>
    </row>
    <row r="3392" spans="6:23" ht="15.75">
      <c r="F3392" s="813">
        <v>2.081</v>
      </c>
      <c r="G3392" s="757" t="s">
        <v>107</v>
      </c>
      <c r="H3392" s="576" t="s">
        <v>1880</v>
      </c>
      <c r="I3392" s="879">
        <v>363</v>
      </c>
      <c r="J3392" s="577" t="s">
        <v>107</v>
      </c>
      <c r="K3392" s="574">
        <v>755.4</v>
      </c>
      <c r="M3392" s="750"/>
      <c r="N3392" s="751"/>
      <c r="O3392" s="576" t="s">
        <v>3061</v>
      </c>
      <c r="P3392" s="750"/>
      <c r="Q3392" s="862">
        <v>0.28129999999999999</v>
      </c>
      <c r="R3392" s="783"/>
      <c r="W3392" s="361"/>
    </row>
    <row r="3393" spans="6:23" ht="15.75">
      <c r="F3393" s="574">
        <v>2</v>
      </c>
      <c r="G3393" s="757" t="s">
        <v>223</v>
      </c>
      <c r="H3393" s="759" t="s">
        <v>3085</v>
      </c>
      <c r="I3393" s="574">
        <f t="shared" ref="I3393:I3398" si="321">I3324</f>
        <v>57.65</v>
      </c>
      <c r="J3393" s="577" t="s">
        <v>151</v>
      </c>
      <c r="K3393" s="574">
        <v>84</v>
      </c>
      <c r="M3393" s="750"/>
      <c r="N3393" s="751"/>
      <c r="O3393" s="576"/>
      <c r="P3393" s="750"/>
      <c r="Q3393" s="758" t="s">
        <v>117</v>
      </c>
      <c r="R3393" s="783"/>
      <c r="W3393" s="361"/>
    </row>
    <row r="3394" spans="6:23" ht="15.75">
      <c r="F3394" s="574">
        <v>4</v>
      </c>
      <c r="G3394" s="757" t="s">
        <v>151</v>
      </c>
      <c r="H3394" s="759" t="s">
        <v>3086</v>
      </c>
      <c r="I3394" s="574">
        <f t="shared" si="321"/>
        <v>89.6</v>
      </c>
      <c r="J3394" s="577" t="s">
        <v>151</v>
      </c>
      <c r="K3394" s="574">
        <v>232</v>
      </c>
      <c r="M3394" s="750"/>
      <c r="N3394" s="751"/>
      <c r="O3394" s="576"/>
      <c r="P3394" s="750"/>
      <c r="Q3394" s="863">
        <v>0.86880000000000002</v>
      </c>
      <c r="R3394" s="756"/>
      <c r="W3394" s="361"/>
    </row>
    <row r="3395" spans="6:23" ht="15.75">
      <c r="F3395" s="574">
        <v>2</v>
      </c>
      <c r="G3395" s="757" t="s">
        <v>151</v>
      </c>
      <c r="H3395" s="759" t="s">
        <v>3087</v>
      </c>
      <c r="I3395" s="574">
        <f t="shared" si="321"/>
        <v>97.85</v>
      </c>
      <c r="J3395" s="577" t="s">
        <v>151</v>
      </c>
      <c r="K3395" s="574">
        <v>126</v>
      </c>
      <c r="M3395" s="750"/>
      <c r="N3395" s="751"/>
      <c r="O3395" s="750"/>
      <c r="P3395" s="750"/>
      <c r="Q3395" s="758" t="s">
        <v>117</v>
      </c>
      <c r="R3395" s="758"/>
      <c r="W3395" s="361"/>
    </row>
    <row r="3396" spans="6:23" ht="15.75">
      <c r="F3396" s="574">
        <v>1</v>
      </c>
      <c r="G3396" s="757" t="s">
        <v>151</v>
      </c>
      <c r="H3396" s="759" t="s">
        <v>3088</v>
      </c>
      <c r="I3396" s="574">
        <f t="shared" si="321"/>
        <v>209.9</v>
      </c>
      <c r="J3396" s="577" t="s">
        <v>151</v>
      </c>
      <c r="K3396" s="574">
        <v>152</v>
      </c>
      <c r="M3396" s="783">
        <v>3.9E-2</v>
      </c>
      <c r="N3396" s="757" t="s">
        <v>108</v>
      </c>
      <c r="O3396" s="576" t="s">
        <v>1883</v>
      </c>
      <c r="P3396" s="574">
        <f>P3293</f>
        <v>111965.44</v>
      </c>
      <c r="Q3396" s="577" t="s">
        <v>108</v>
      </c>
      <c r="R3396" s="574">
        <f>P3396*M3396</f>
        <v>4366.6521599999996</v>
      </c>
      <c r="W3396" s="361"/>
    </row>
    <row r="3397" spans="6:23" ht="15.75">
      <c r="F3397" s="574">
        <v>1</v>
      </c>
      <c r="G3397" s="757" t="s">
        <v>151</v>
      </c>
      <c r="H3397" s="759" t="s">
        <v>3029</v>
      </c>
      <c r="I3397" s="574">
        <f t="shared" si="321"/>
        <v>23.1</v>
      </c>
      <c r="J3397" s="577" t="s">
        <v>151</v>
      </c>
      <c r="K3397" s="574">
        <v>20</v>
      </c>
      <c r="M3397" s="783">
        <v>2.1940000000000001E-2</v>
      </c>
      <c r="N3397" s="757" t="s">
        <v>108</v>
      </c>
      <c r="O3397" s="576" t="s">
        <v>1885</v>
      </c>
      <c r="P3397" s="574">
        <f>P3294</f>
        <v>99765.440000000002</v>
      </c>
      <c r="Q3397" s="577" t="s">
        <v>108</v>
      </c>
      <c r="R3397" s="574">
        <f t="shared" ref="R3397:R3406" si="322">P3397*M3397</f>
        <v>2188.8537536000003</v>
      </c>
      <c r="W3397" s="361"/>
    </row>
    <row r="3398" spans="6:23" ht="15.75">
      <c r="F3398" s="574">
        <v>1</v>
      </c>
      <c r="G3398" s="757" t="s">
        <v>151</v>
      </c>
      <c r="H3398" s="759" t="s">
        <v>3030</v>
      </c>
      <c r="I3398" s="574">
        <f t="shared" si="321"/>
        <v>49.55</v>
      </c>
      <c r="J3398" s="577" t="s">
        <v>151</v>
      </c>
      <c r="K3398" s="574">
        <v>37</v>
      </c>
      <c r="M3398" s="783">
        <v>0.86880000000000002</v>
      </c>
      <c r="N3398" s="757" t="s">
        <v>107</v>
      </c>
      <c r="O3398" s="356" t="s">
        <v>988</v>
      </c>
      <c r="P3398" s="574">
        <f>P3364</f>
        <v>387.4</v>
      </c>
      <c r="Q3398" s="577" t="s">
        <v>108</v>
      </c>
      <c r="R3398" s="574">
        <f t="shared" si="322"/>
        <v>336.57311999999996</v>
      </c>
      <c r="W3398" s="361"/>
    </row>
    <row r="3399" spans="6:23" ht="15.75">
      <c r="F3399" s="750"/>
      <c r="G3399" s="751"/>
      <c r="H3399" s="750" t="s">
        <v>2966</v>
      </c>
      <c r="I3399" s="750"/>
      <c r="J3399" s="753"/>
      <c r="K3399" s="880"/>
      <c r="M3399" s="813">
        <v>2.081</v>
      </c>
      <c r="N3399" s="757" t="s">
        <v>107</v>
      </c>
      <c r="O3399" s="576" t="s">
        <v>1880</v>
      </c>
      <c r="P3399" s="574">
        <f>P3296</f>
        <v>1537.2</v>
      </c>
      <c r="Q3399" s="577" t="s">
        <v>107</v>
      </c>
      <c r="R3399" s="574">
        <f t="shared" si="322"/>
        <v>3198.9132</v>
      </c>
      <c r="W3399" s="361"/>
    </row>
    <row r="3400" spans="6:23" ht="15.75">
      <c r="F3400" s="750"/>
      <c r="G3400" s="751"/>
      <c r="H3400" s="750"/>
      <c r="I3400" s="750"/>
      <c r="J3400" s="753"/>
      <c r="K3400" s="758" t="s">
        <v>117</v>
      </c>
      <c r="M3400" s="574">
        <v>2</v>
      </c>
      <c r="N3400" s="757" t="s">
        <v>223</v>
      </c>
      <c r="O3400" s="576" t="s">
        <v>3007</v>
      </c>
      <c r="P3400" s="574">
        <f t="shared" ref="P3400:P3405" si="323">P3297</f>
        <v>57.65</v>
      </c>
      <c r="Q3400" s="577" t="s">
        <v>151</v>
      </c>
      <c r="R3400" s="574">
        <f t="shared" si="322"/>
        <v>115.3</v>
      </c>
      <c r="W3400" s="361"/>
    </row>
    <row r="3401" spans="6:23" ht="15.75">
      <c r="F3401" s="750"/>
      <c r="G3401" s="751"/>
      <c r="H3401" s="576" t="s">
        <v>3089</v>
      </c>
      <c r="I3401" s="750"/>
      <c r="J3401" s="753"/>
      <c r="K3401" s="574">
        <v>6067.81</v>
      </c>
      <c r="M3401" s="574">
        <v>4</v>
      </c>
      <c r="N3401" s="757" t="s">
        <v>151</v>
      </c>
      <c r="O3401" s="576" t="s">
        <v>1882</v>
      </c>
      <c r="P3401" s="574">
        <f t="shared" si="323"/>
        <v>89.6</v>
      </c>
      <c r="Q3401" s="577" t="s">
        <v>151</v>
      </c>
      <c r="R3401" s="574">
        <f t="shared" si="322"/>
        <v>358.4</v>
      </c>
      <c r="W3401" s="361"/>
    </row>
    <row r="3402" spans="6:23" ht="15.75">
      <c r="F3402" s="750"/>
      <c r="G3402" s="751"/>
      <c r="H3402" s="750"/>
      <c r="I3402" s="750"/>
      <c r="J3402" s="753"/>
      <c r="K3402" s="758" t="s">
        <v>117</v>
      </c>
      <c r="M3402" s="574">
        <v>2</v>
      </c>
      <c r="N3402" s="757" t="s">
        <v>151</v>
      </c>
      <c r="O3402" s="576" t="s">
        <v>3027</v>
      </c>
      <c r="P3402" s="574">
        <f t="shared" si="323"/>
        <v>97.85</v>
      </c>
      <c r="Q3402" s="577" t="s">
        <v>151</v>
      </c>
      <c r="R3402" s="574">
        <f t="shared" si="322"/>
        <v>195.7</v>
      </c>
      <c r="W3402" s="361"/>
    </row>
    <row r="3403" spans="6:23" ht="15.75">
      <c r="F3403" s="750"/>
      <c r="G3403" s="751"/>
      <c r="H3403" s="764" t="s">
        <v>177</v>
      </c>
      <c r="I3403" s="750"/>
      <c r="J3403" s="755" t="s">
        <v>2807</v>
      </c>
      <c r="K3403" s="765">
        <v>2915.81</v>
      </c>
      <c r="M3403" s="574">
        <v>1</v>
      </c>
      <c r="N3403" s="757" t="s">
        <v>151</v>
      </c>
      <c r="O3403" s="576" t="s">
        <v>3028</v>
      </c>
      <c r="P3403" s="574">
        <f t="shared" si="323"/>
        <v>209.9</v>
      </c>
      <c r="Q3403" s="577" t="s">
        <v>151</v>
      </c>
      <c r="R3403" s="574">
        <f t="shared" si="322"/>
        <v>209.9</v>
      </c>
      <c r="W3403" s="361"/>
    </row>
    <row r="3404" spans="6:23" ht="15.75">
      <c r="K3404" s="363" t="s">
        <v>156</v>
      </c>
      <c r="M3404" s="574">
        <v>1</v>
      </c>
      <c r="N3404" s="757" t="s">
        <v>151</v>
      </c>
      <c r="O3404" s="576" t="s">
        <v>3029</v>
      </c>
      <c r="P3404" s="574">
        <f t="shared" si="323"/>
        <v>23.1</v>
      </c>
      <c r="Q3404" s="577" t="s">
        <v>151</v>
      </c>
      <c r="R3404" s="574">
        <f t="shared" si="322"/>
        <v>23.1</v>
      </c>
      <c r="W3404" s="361"/>
    </row>
    <row r="3405" spans="6:23" ht="15.75">
      <c r="M3405" s="574">
        <v>1</v>
      </c>
      <c r="N3405" s="757" t="s">
        <v>151</v>
      </c>
      <c r="O3405" s="576" t="s">
        <v>3030</v>
      </c>
      <c r="P3405" s="574">
        <f t="shared" si="323"/>
        <v>49.55</v>
      </c>
      <c r="Q3405" s="577" t="s">
        <v>151</v>
      </c>
      <c r="R3405" s="574">
        <f t="shared" si="322"/>
        <v>49.55</v>
      </c>
      <c r="W3405" s="361"/>
    </row>
    <row r="3406" spans="6:23" ht="15.75">
      <c r="M3406" s="574">
        <v>58</v>
      </c>
      <c r="N3406" s="757" t="s">
        <v>151</v>
      </c>
      <c r="O3406" s="750" t="s">
        <v>2966</v>
      </c>
      <c r="P3406" s="750">
        <f>P3372</f>
        <v>2.41</v>
      </c>
      <c r="Q3406" s="753"/>
      <c r="R3406" s="574">
        <f t="shared" si="322"/>
        <v>139.78</v>
      </c>
      <c r="W3406" s="361"/>
    </row>
    <row r="3407" spans="6:23" ht="15.75">
      <c r="M3407" s="750"/>
      <c r="N3407" s="751"/>
      <c r="O3407" s="750"/>
      <c r="P3407" s="750"/>
      <c r="Q3407" s="753"/>
      <c r="R3407" s="758" t="s">
        <v>117</v>
      </c>
      <c r="W3407" s="361"/>
    </row>
    <row r="3408" spans="6:23" ht="15.75">
      <c r="F3408" s="534"/>
      <c r="G3408" s="533"/>
      <c r="H3408" s="437" t="s">
        <v>3090</v>
      </c>
      <c r="I3408" s="437"/>
      <c r="J3408" s="535"/>
      <c r="K3408" s="534"/>
      <c r="M3408" s="750"/>
      <c r="N3408" s="751"/>
      <c r="O3408" s="576" t="s">
        <v>3089</v>
      </c>
      <c r="P3408" s="750"/>
      <c r="Q3408" s="753"/>
      <c r="R3408" s="574">
        <f>SUM(R3396:R3406)</f>
        <v>11182.7222336</v>
      </c>
      <c r="W3408" s="361"/>
    </row>
    <row r="3409" spans="6:23" ht="15.75">
      <c r="F3409" s="534"/>
      <c r="G3409" s="533"/>
      <c r="H3409" s="534"/>
      <c r="I3409" s="534"/>
      <c r="J3409" s="535"/>
      <c r="K3409" s="534"/>
      <c r="M3409" s="750"/>
      <c r="N3409" s="751"/>
      <c r="O3409" s="750"/>
      <c r="P3409" s="750"/>
      <c r="Q3409" s="753"/>
      <c r="R3409" s="758" t="s">
        <v>117</v>
      </c>
      <c r="W3409" s="361"/>
    </row>
    <row r="3410" spans="6:23" ht="15.75">
      <c r="F3410" s="35" t="s">
        <v>3091</v>
      </c>
      <c r="G3410" s="533"/>
      <c r="H3410" s="534"/>
      <c r="I3410" s="723">
        <f>2*0.95*2.325</f>
        <v>4.4175000000000004</v>
      </c>
      <c r="J3410" s="535"/>
      <c r="K3410" s="534"/>
      <c r="M3410" s="750"/>
      <c r="N3410" s="751"/>
      <c r="O3410" s="764" t="s">
        <v>177</v>
      </c>
      <c r="P3410" s="750"/>
      <c r="Q3410" s="755" t="s">
        <v>2807</v>
      </c>
      <c r="R3410" s="765">
        <f>R3408/M3399</f>
        <v>5373.7252444017295</v>
      </c>
      <c r="W3410" s="361"/>
    </row>
    <row r="3411" spans="6:23" ht="15.75">
      <c r="F3411" s="35" t="s">
        <v>3092</v>
      </c>
      <c r="G3411" s="533"/>
      <c r="H3411" s="534"/>
      <c r="I3411" s="723">
        <f>2*2*2.325*0.075*0.0375</f>
        <v>2.6156249999999999E-2</v>
      </c>
      <c r="J3411" s="535"/>
      <c r="K3411" s="534"/>
      <c r="N3411" s="358"/>
      <c r="Q3411" s="360"/>
      <c r="R3411" s="363" t="s">
        <v>156</v>
      </c>
      <c r="W3411" s="361"/>
    </row>
    <row r="3412" spans="6:23" ht="15.75">
      <c r="F3412" s="534" t="s">
        <v>2752</v>
      </c>
      <c r="G3412" s="533"/>
      <c r="H3412" s="534"/>
      <c r="I3412" s="532">
        <f>2*3*0.95*0.15*0.0375</f>
        <v>3.2062499999999994E-2</v>
      </c>
      <c r="J3412" s="535"/>
      <c r="K3412" s="534"/>
      <c r="W3412" s="361"/>
    </row>
    <row r="3413" spans="6:23" ht="15.75">
      <c r="F3413" s="404" t="s">
        <v>3093</v>
      </c>
      <c r="G3413" s="358" t="s">
        <v>3094</v>
      </c>
      <c r="H3413" s="534"/>
      <c r="I3413" s="532">
        <f>2*2*0.95*0.075*0.0375</f>
        <v>1.0687499999999999E-2</v>
      </c>
      <c r="J3413" s="535"/>
      <c r="K3413" s="534"/>
      <c r="N3413" s="358"/>
      <c r="O3413" s="411"/>
      <c r="Q3413" s="360"/>
      <c r="W3413" s="361"/>
    </row>
    <row r="3414" spans="6:23" ht="15.75">
      <c r="F3414" s="534"/>
      <c r="G3414" s="533"/>
      <c r="H3414" s="534"/>
      <c r="I3414" s="724">
        <f>SUM(I3412:I3413)</f>
        <v>4.2749999999999996E-2</v>
      </c>
      <c r="J3414" s="535"/>
      <c r="K3414" s="534"/>
      <c r="W3414" s="361"/>
    </row>
    <row r="3415" spans="6:23" ht="15.75">
      <c r="F3415" s="534"/>
      <c r="G3415" s="533"/>
      <c r="H3415" s="534"/>
      <c r="I3415" s="534"/>
      <c r="J3415" s="535"/>
      <c r="K3415" s="534"/>
      <c r="W3415" s="361"/>
    </row>
    <row r="3416" spans="6:23" ht="15.75">
      <c r="F3416" s="534"/>
      <c r="G3416" s="533"/>
      <c r="H3416" s="534"/>
      <c r="I3416" s="534"/>
      <c r="J3416" s="535"/>
      <c r="K3416" s="534"/>
      <c r="W3416" s="361"/>
    </row>
    <row r="3417" spans="6:23" ht="15.75">
      <c r="F3417" s="35" t="s">
        <v>3095</v>
      </c>
      <c r="G3417" s="533"/>
      <c r="H3417" s="534"/>
      <c r="I3417" s="532">
        <f>2*4*0.825*0.36*0.01875</f>
        <v>4.4549999999999999E-2</v>
      </c>
      <c r="J3417" s="535"/>
      <c r="K3417" s="534"/>
      <c r="W3417" s="361"/>
    </row>
    <row r="3418" spans="6:23" ht="15.75">
      <c r="F3418" s="35" t="s">
        <v>3096</v>
      </c>
      <c r="G3418" s="533"/>
      <c r="H3418" s="534"/>
      <c r="I3418" s="532">
        <f>2*0.825*0.36*0.01875</f>
        <v>1.11375E-2</v>
      </c>
      <c r="J3418" s="535"/>
      <c r="K3418" s="534"/>
      <c r="W3418" s="361"/>
    </row>
    <row r="3419" spans="6:23" ht="15.75">
      <c r="F3419" s="534"/>
      <c r="G3419" s="533"/>
      <c r="H3419" s="534"/>
      <c r="I3419" s="724">
        <f>SUM(I3417:I3418)</f>
        <v>5.5687500000000001E-2</v>
      </c>
      <c r="J3419" s="535"/>
      <c r="K3419" s="534"/>
      <c r="W3419" s="361"/>
    </row>
    <row r="3420" spans="6:23" ht="15.75">
      <c r="F3420" s="534"/>
      <c r="G3420" s="533"/>
      <c r="H3420" s="411" t="s">
        <v>2748</v>
      </c>
      <c r="I3420" s="534"/>
      <c r="J3420" s="535"/>
      <c r="K3420" s="534"/>
      <c r="M3420" s="577"/>
      <c r="N3420" s="757" t="s">
        <v>122</v>
      </c>
      <c r="O3420" s="576" t="s">
        <v>3014</v>
      </c>
      <c r="P3420" s="750"/>
      <c r="Q3420" s="753"/>
      <c r="R3420" s="750"/>
      <c r="W3420" s="361"/>
    </row>
    <row r="3421" spans="6:23" ht="15.75">
      <c r="F3421" s="534"/>
      <c r="G3421" s="533"/>
      <c r="H3421" s="534"/>
      <c r="I3421" s="534"/>
      <c r="J3421" s="535"/>
      <c r="K3421" s="534"/>
      <c r="M3421" s="750"/>
      <c r="N3421" s="751"/>
      <c r="O3421" s="576" t="s">
        <v>1867</v>
      </c>
      <c r="P3421" s="750"/>
      <c r="Q3421" s="753"/>
      <c r="R3421" s="750"/>
      <c r="W3421" s="361"/>
    </row>
    <row r="3422" spans="6:23" ht="18">
      <c r="F3422" s="532">
        <f>I3411</f>
        <v>2.6156249999999999E-2</v>
      </c>
      <c r="G3422" s="533" t="s">
        <v>108</v>
      </c>
      <c r="H3422" s="534" t="s">
        <v>2749</v>
      </c>
      <c r="I3422" s="534">
        <f>I2635</f>
        <v>111965.44</v>
      </c>
      <c r="J3422" s="535" t="s">
        <v>108</v>
      </c>
      <c r="K3422" s="534">
        <f>F3422*I3422</f>
        <v>2928.5960399999999</v>
      </c>
      <c r="M3422" s="750"/>
      <c r="N3422" s="751"/>
      <c r="O3422" s="855" t="s">
        <v>3031</v>
      </c>
      <c r="P3422" s="750"/>
      <c r="Q3422" s="753"/>
      <c r="R3422" s="750"/>
      <c r="W3422" s="361"/>
    </row>
    <row r="3423" spans="6:23" ht="15.75">
      <c r="F3423" s="532">
        <f>I3414</f>
        <v>4.2749999999999996E-2</v>
      </c>
      <c r="G3423" s="533" t="s">
        <v>108</v>
      </c>
      <c r="H3423" s="534" t="s">
        <v>1979</v>
      </c>
      <c r="I3423" s="534">
        <f>I2636</f>
        <v>99765.440000000002</v>
      </c>
      <c r="J3423" s="535" t="s">
        <v>108</v>
      </c>
      <c r="K3423" s="534">
        <f t="shared" ref="K3423:K3432" si="324">F3423*I3423</f>
        <v>4264.9725600000002</v>
      </c>
      <c r="M3423" s="750"/>
      <c r="N3423" s="751"/>
      <c r="O3423" s="758" t="s">
        <v>117</v>
      </c>
      <c r="P3423" s="750"/>
      <c r="Q3423" s="753"/>
      <c r="R3423" s="750"/>
      <c r="W3423" s="361"/>
    </row>
    <row r="3424" spans="6:23" ht="15.75">
      <c r="F3424" s="536">
        <f>I3419</f>
        <v>5.5687500000000001E-2</v>
      </c>
      <c r="G3424" s="533" t="s">
        <v>108</v>
      </c>
      <c r="H3424" s="35" t="s">
        <v>3097</v>
      </c>
      <c r="I3424" s="534">
        <f>I2637</f>
        <v>107000</v>
      </c>
      <c r="J3424" s="535" t="s">
        <v>108</v>
      </c>
      <c r="K3424" s="534">
        <f t="shared" si="324"/>
        <v>5958.5625</v>
      </c>
      <c r="M3424" s="750"/>
      <c r="N3424" s="751"/>
      <c r="O3424" s="576" t="s">
        <v>3032</v>
      </c>
      <c r="P3424" s="754" t="s">
        <v>156</v>
      </c>
      <c r="Q3424" s="856">
        <v>2.4279999999999999</v>
      </c>
      <c r="R3424" s="750" t="s">
        <v>262</v>
      </c>
      <c r="W3424" s="361"/>
    </row>
    <row r="3425" spans="6:23" ht="15.75">
      <c r="F3425" s="532">
        <f>I3410</f>
        <v>4.4175000000000004</v>
      </c>
      <c r="G3425" s="533" t="s">
        <v>107</v>
      </c>
      <c r="H3425" s="534" t="s">
        <v>1981</v>
      </c>
      <c r="I3425" s="534">
        <f>I2638</f>
        <v>1844.3999999999999</v>
      </c>
      <c r="J3425" s="535" t="s">
        <v>107</v>
      </c>
      <c r="K3425" s="534">
        <f t="shared" si="324"/>
        <v>8147.6370000000006</v>
      </c>
      <c r="M3425" s="750"/>
      <c r="N3425" s="751"/>
      <c r="O3425" s="576"/>
      <c r="P3425" s="754"/>
      <c r="Q3425" s="856"/>
      <c r="R3425" s="750"/>
      <c r="W3425" s="361"/>
    </row>
    <row r="3426" spans="6:23" ht="15.75">
      <c r="F3426" s="534">
        <v>2</v>
      </c>
      <c r="G3426" s="533" t="s">
        <v>3</v>
      </c>
      <c r="H3426" s="35" t="s">
        <v>2773</v>
      </c>
      <c r="I3426" s="465">
        <v>450</v>
      </c>
      <c r="J3426" s="535" t="s">
        <v>194</v>
      </c>
      <c r="K3426" s="534">
        <f t="shared" si="324"/>
        <v>900</v>
      </c>
      <c r="M3426" s="750"/>
      <c r="N3426" s="751"/>
      <c r="O3426" s="576" t="s">
        <v>2997</v>
      </c>
      <c r="P3426" s="754" t="s">
        <v>156</v>
      </c>
      <c r="Q3426" s="857">
        <v>5.1999999999999998E-2</v>
      </c>
      <c r="R3426" s="750" t="s">
        <v>793</v>
      </c>
      <c r="W3426" s="361"/>
    </row>
    <row r="3427" spans="6:23" ht="15.75">
      <c r="F3427" s="534">
        <v>6</v>
      </c>
      <c r="G3427" s="533" t="s">
        <v>3</v>
      </c>
      <c r="H3427" s="35" t="s">
        <v>2774</v>
      </c>
      <c r="I3427" s="465">
        <v>79</v>
      </c>
      <c r="J3427" s="535" t="s">
        <v>194</v>
      </c>
      <c r="K3427" s="534">
        <f t="shared" si="324"/>
        <v>474</v>
      </c>
      <c r="M3427" s="750"/>
      <c r="N3427" s="751"/>
      <c r="O3427" s="576" t="s">
        <v>2998</v>
      </c>
      <c r="Q3427" s="858"/>
      <c r="R3427" s="750"/>
      <c r="W3427" s="361"/>
    </row>
    <row r="3428" spans="6:23" ht="15.75">
      <c r="F3428" s="534">
        <v>4</v>
      </c>
      <c r="G3428" s="533" t="s">
        <v>3</v>
      </c>
      <c r="H3428" s="35" t="s">
        <v>2775</v>
      </c>
      <c r="I3428" s="465">
        <v>130</v>
      </c>
      <c r="J3428" s="535" t="s">
        <v>194</v>
      </c>
      <c r="K3428" s="534">
        <f t="shared" si="324"/>
        <v>520</v>
      </c>
      <c r="M3428" s="750"/>
      <c r="N3428" s="751"/>
      <c r="O3428" s="576" t="s">
        <v>3035</v>
      </c>
      <c r="P3428" s="754" t="s">
        <v>156</v>
      </c>
      <c r="Q3428" s="859">
        <v>1.772E-2</v>
      </c>
      <c r="R3428" s="750"/>
      <c r="W3428" s="361"/>
    </row>
    <row r="3429" spans="6:23" ht="15.75">
      <c r="F3429" s="534">
        <v>1</v>
      </c>
      <c r="G3429" s="533" t="s">
        <v>3</v>
      </c>
      <c r="H3429" s="35" t="s">
        <v>2776</v>
      </c>
      <c r="I3429" s="465">
        <v>985</v>
      </c>
      <c r="J3429" s="535" t="s">
        <v>194</v>
      </c>
      <c r="K3429" s="534">
        <f t="shared" si="324"/>
        <v>985</v>
      </c>
      <c r="M3429" s="750"/>
      <c r="N3429" s="751"/>
      <c r="O3429" s="576" t="s">
        <v>3036</v>
      </c>
      <c r="P3429" s="754" t="s">
        <v>156</v>
      </c>
      <c r="Q3429" s="867">
        <v>7.8750000000000001E-3</v>
      </c>
      <c r="R3429" s="783"/>
      <c r="W3429" s="361"/>
    </row>
    <row r="3430" spans="6:23" ht="15.75">
      <c r="F3430" s="534">
        <v>2</v>
      </c>
      <c r="G3430" s="533" t="s">
        <v>3</v>
      </c>
      <c r="H3430" s="35" t="s">
        <v>2782</v>
      </c>
      <c r="I3430" s="404">
        <f>I3397</f>
        <v>23.1</v>
      </c>
      <c r="J3430" s="535" t="s">
        <v>194</v>
      </c>
      <c r="K3430" s="534">
        <f t="shared" si="324"/>
        <v>46.2</v>
      </c>
      <c r="M3430" s="750"/>
      <c r="N3430" s="751"/>
      <c r="O3430" s="750"/>
      <c r="P3430" s="750"/>
      <c r="Q3430" s="758" t="s">
        <v>117</v>
      </c>
      <c r="W3430" s="361"/>
    </row>
    <row r="3431" spans="6:23" ht="15.75">
      <c r="F3431" s="534">
        <v>2</v>
      </c>
      <c r="G3431" s="533" t="s">
        <v>3</v>
      </c>
      <c r="H3431" s="534" t="s">
        <v>995</v>
      </c>
      <c r="I3431" s="534">
        <f>I3398</f>
        <v>49.55</v>
      </c>
      <c r="J3431" s="535" t="s">
        <v>194</v>
      </c>
      <c r="K3431" s="534">
        <f t="shared" si="324"/>
        <v>99.1</v>
      </c>
      <c r="M3431" s="750"/>
      <c r="N3431" s="751"/>
      <c r="O3431" s="750"/>
      <c r="P3431" s="750"/>
      <c r="Q3431" s="860">
        <v>2.5600000000000001E-2</v>
      </c>
      <c r="R3431" s="35" t="s">
        <v>793</v>
      </c>
      <c r="W3431" s="361"/>
    </row>
    <row r="3432" spans="6:23" ht="15.75">
      <c r="F3432" s="537">
        <v>130</v>
      </c>
      <c r="G3432" s="533" t="s">
        <v>3</v>
      </c>
      <c r="H3432" s="404" t="s">
        <v>1951</v>
      </c>
      <c r="I3432" s="881">
        <f>I3330</f>
        <v>2.41</v>
      </c>
      <c r="J3432" s="535"/>
      <c r="K3432" s="534">
        <f t="shared" si="324"/>
        <v>313.3</v>
      </c>
      <c r="M3432" s="750"/>
      <c r="N3432" s="751"/>
      <c r="O3432" s="750"/>
      <c r="P3432" s="750"/>
      <c r="Q3432" s="758" t="s">
        <v>117</v>
      </c>
      <c r="W3432" s="361"/>
    </row>
    <row r="3433" spans="6:23" ht="15.75">
      <c r="F3433" s="534"/>
      <c r="G3433" s="533"/>
      <c r="H3433" s="534"/>
      <c r="I3433" s="534"/>
      <c r="J3433" s="535"/>
      <c r="K3433" s="538"/>
      <c r="M3433" s="750"/>
      <c r="N3433" s="751"/>
      <c r="O3433" s="576" t="s">
        <v>3098</v>
      </c>
      <c r="P3433" s="750"/>
      <c r="Q3433" s="724">
        <v>0.58750000000000002</v>
      </c>
      <c r="R3433" s="817" t="s">
        <v>262</v>
      </c>
      <c r="W3433" s="361"/>
    </row>
    <row r="3434" spans="6:23" ht="15.75">
      <c r="F3434" s="534"/>
      <c r="G3434" s="455"/>
      <c r="H3434" s="411" t="s">
        <v>3099</v>
      </c>
      <c r="I3434" s="534"/>
      <c r="J3434" s="535"/>
      <c r="K3434" s="411">
        <f>SUM(K3422:K3433)</f>
        <v>24637.3681</v>
      </c>
      <c r="M3434" s="750"/>
      <c r="N3434" s="751"/>
      <c r="O3434" s="576" t="s">
        <v>3100</v>
      </c>
      <c r="P3434" s="750"/>
      <c r="Q3434" s="863">
        <v>5.3E-3</v>
      </c>
      <c r="R3434" s="817" t="s">
        <v>793</v>
      </c>
      <c r="W3434" s="361"/>
    </row>
    <row r="3435" spans="6:23" ht="15.75">
      <c r="F3435" s="534"/>
      <c r="G3435" s="455"/>
      <c r="I3435" s="534"/>
      <c r="J3435" s="535"/>
      <c r="K3435" s="538" t="s">
        <v>1992</v>
      </c>
      <c r="M3435" s="750"/>
      <c r="N3435" s="751"/>
      <c r="O3435" s="576" t="s">
        <v>3101</v>
      </c>
      <c r="P3435" s="750"/>
      <c r="Q3435" s="863">
        <v>6.7</v>
      </c>
      <c r="R3435" s="817" t="s">
        <v>31</v>
      </c>
      <c r="W3435" s="361"/>
    </row>
    <row r="3436" spans="6:23" ht="15.75">
      <c r="F3436" s="534"/>
      <c r="G3436" s="455"/>
      <c r="H3436" s="411" t="s">
        <v>177</v>
      </c>
      <c r="I3436" s="534"/>
      <c r="J3436" s="535"/>
      <c r="K3436" s="411">
        <f>K3434/F3425</f>
        <v>5577.2197170345207</v>
      </c>
      <c r="M3436" s="750"/>
      <c r="N3436" s="751"/>
      <c r="O3436" s="750"/>
      <c r="P3436" s="750"/>
      <c r="Q3436" s="758"/>
      <c r="R3436" s="758"/>
      <c r="W3436" s="361"/>
    </row>
    <row r="3437" spans="6:23" ht="15.75">
      <c r="G3437" s="35"/>
      <c r="J3437" s="35"/>
      <c r="M3437" s="783">
        <v>5.1999999999999998E-2</v>
      </c>
      <c r="N3437" s="757" t="s">
        <v>108</v>
      </c>
      <c r="O3437" s="576" t="s">
        <v>1883</v>
      </c>
      <c r="P3437" s="574">
        <f>P3223</f>
        <v>111965.44</v>
      </c>
      <c r="Q3437" s="577" t="s">
        <v>108</v>
      </c>
      <c r="R3437" s="574">
        <f>P3437*M3437</f>
        <v>5822.2028799999998</v>
      </c>
      <c r="W3437" s="361"/>
    </row>
    <row r="3438" spans="6:23" ht="15.75">
      <c r="M3438" s="783">
        <v>2.5600000000000001E-2</v>
      </c>
      <c r="N3438" s="757" t="s">
        <v>108</v>
      </c>
      <c r="O3438" s="576" t="s">
        <v>1885</v>
      </c>
      <c r="P3438" s="574">
        <f>P3224</f>
        <v>99765.440000000002</v>
      </c>
      <c r="Q3438" s="577" t="s">
        <v>108</v>
      </c>
      <c r="R3438" s="574">
        <f t="shared" ref="R3438:R3450" si="325">P3438*M3438</f>
        <v>2553.9952640000001</v>
      </c>
      <c r="W3438" s="361"/>
    </row>
    <row r="3439" spans="6:23" ht="15.75">
      <c r="M3439" s="783">
        <v>5.3E-3</v>
      </c>
      <c r="N3439" s="757" t="s">
        <v>108</v>
      </c>
      <c r="O3439" s="576" t="s">
        <v>3005</v>
      </c>
      <c r="P3439" s="574">
        <f>P3225</f>
        <v>107000</v>
      </c>
      <c r="Q3439" s="577" t="s">
        <v>108</v>
      </c>
      <c r="R3439" s="574">
        <f t="shared" si="325"/>
        <v>567.1</v>
      </c>
      <c r="W3439" s="361"/>
    </row>
    <row r="3440" spans="6:23" ht="15.75">
      <c r="M3440" s="813"/>
      <c r="N3440" s="751"/>
      <c r="O3440" s="576" t="s">
        <v>1967</v>
      </c>
      <c r="P3440" s="574"/>
      <c r="Q3440" s="753"/>
      <c r="R3440" s="574">
        <f t="shared" si="325"/>
        <v>0</v>
      </c>
      <c r="W3440" s="361"/>
    </row>
    <row r="3441" spans="6:23" ht="15.75">
      <c r="M3441" s="813">
        <v>0.58750000000000002</v>
      </c>
      <c r="N3441" s="757" t="s">
        <v>107</v>
      </c>
      <c r="O3441" s="576" t="s">
        <v>3066</v>
      </c>
      <c r="P3441" s="574">
        <f>P3227</f>
        <v>562.5</v>
      </c>
      <c r="Q3441" s="753" t="s">
        <v>107</v>
      </c>
      <c r="R3441" s="574">
        <f t="shared" si="325"/>
        <v>330.46875</v>
      </c>
      <c r="W3441" s="361"/>
    </row>
    <row r="3442" spans="6:23" ht="15.75">
      <c r="M3442" s="813">
        <v>6.7</v>
      </c>
      <c r="N3442" s="757" t="s">
        <v>110</v>
      </c>
      <c r="O3442" s="576" t="s">
        <v>3067</v>
      </c>
      <c r="P3442" s="574">
        <f>P3228</f>
        <v>15.45</v>
      </c>
      <c r="Q3442" s="753" t="s">
        <v>31</v>
      </c>
      <c r="R3442" s="574">
        <f t="shared" si="325"/>
        <v>103.515</v>
      </c>
      <c r="W3442" s="361"/>
    </row>
    <row r="3443" spans="6:23" ht="15.75">
      <c r="M3443" s="813">
        <v>2.4279999999999999</v>
      </c>
      <c r="N3443" s="757" t="s">
        <v>107</v>
      </c>
      <c r="O3443" s="576" t="s">
        <v>1880</v>
      </c>
      <c r="P3443" s="574">
        <f>P3229</f>
        <v>1723.2</v>
      </c>
      <c r="Q3443" s="577" t="s">
        <v>107</v>
      </c>
      <c r="R3443" s="574">
        <f t="shared" si="325"/>
        <v>4183.9296000000004</v>
      </c>
      <c r="W3443" s="361"/>
    </row>
    <row r="3444" spans="6:23" ht="15.75">
      <c r="M3444" s="574">
        <v>4</v>
      </c>
      <c r="N3444" s="757" t="s">
        <v>223</v>
      </c>
      <c r="O3444" s="576" t="s">
        <v>3007</v>
      </c>
      <c r="P3444" s="574">
        <f t="shared" ref="P3444:P3449" si="326">P3230</f>
        <v>57.65</v>
      </c>
      <c r="Q3444" s="577" t="s">
        <v>151</v>
      </c>
      <c r="R3444" s="574">
        <f t="shared" si="325"/>
        <v>230.6</v>
      </c>
      <c r="W3444" s="361"/>
    </row>
    <row r="3445" spans="6:23" ht="15.75">
      <c r="M3445" s="574">
        <v>8</v>
      </c>
      <c r="N3445" s="757" t="s">
        <v>151</v>
      </c>
      <c r="O3445" s="576" t="s">
        <v>1882</v>
      </c>
      <c r="P3445" s="574">
        <f t="shared" si="326"/>
        <v>89.6</v>
      </c>
      <c r="Q3445" s="577" t="s">
        <v>151</v>
      </c>
      <c r="R3445" s="574">
        <f t="shared" si="325"/>
        <v>716.8</v>
      </c>
      <c r="W3445" s="361"/>
    </row>
    <row r="3446" spans="6:23" ht="15.75">
      <c r="M3446" s="574">
        <v>4</v>
      </c>
      <c r="N3446" s="757" t="s">
        <v>151</v>
      </c>
      <c r="O3446" s="576" t="s">
        <v>3027</v>
      </c>
      <c r="P3446" s="574">
        <f t="shared" si="326"/>
        <v>97.85</v>
      </c>
      <c r="Q3446" s="577" t="s">
        <v>151</v>
      </c>
      <c r="R3446" s="574">
        <f t="shared" si="325"/>
        <v>391.4</v>
      </c>
      <c r="W3446" s="361"/>
    </row>
    <row r="3447" spans="6:23" ht="15.75">
      <c r="M3447" s="574">
        <v>1</v>
      </c>
      <c r="N3447" s="757" t="s">
        <v>151</v>
      </c>
      <c r="O3447" s="576" t="s">
        <v>3028</v>
      </c>
      <c r="P3447" s="574">
        <f t="shared" si="326"/>
        <v>209.9</v>
      </c>
      <c r="Q3447" s="577" t="s">
        <v>151</v>
      </c>
      <c r="R3447" s="574">
        <f t="shared" si="325"/>
        <v>209.9</v>
      </c>
      <c r="W3447" s="361"/>
    </row>
    <row r="3448" spans="6:23" ht="15.75">
      <c r="M3448" s="574">
        <v>2</v>
      </c>
      <c r="N3448" s="757" t="s">
        <v>151</v>
      </c>
      <c r="O3448" s="576" t="s">
        <v>3029</v>
      </c>
      <c r="P3448" s="574">
        <f t="shared" si="326"/>
        <v>23.1</v>
      </c>
      <c r="Q3448" s="577" t="s">
        <v>151</v>
      </c>
      <c r="R3448" s="574">
        <f t="shared" si="325"/>
        <v>46.2</v>
      </c>
      <c r="W3448" s="361"/>
    </row>
    <row r="3449" spans="6:23" ht="15.75">
      <c r="M3449" s="574">
        <v>2</v>
      </c>
      <c r="N3449" s="757" t="s">
        <v>151</v>
      </c>
      <c r="O3449" s="576" t="s">
        <v>3030</v>
      </c>
      <c r="P3449" s="574">
        <f t="shared" si="326"/>
        <v>49.55</v>
      </c>
      <c r="Q3449" s="577" t="s">
        <v>151</v>
      </c>
      <c r="R3449" s="574">
        <f t="shared" si="325"/>
        <v>99.1</v>
      </c>
      <c r="W3449" s="361"/>
    </row>
    <row r="3450" spans="6:23" ht="15.75">
      <c r="M3450" s="750">
        <v>118</v>
      </c>
      <c r="N3450" s="757" t="s">
        <v>151</v>
      </c>
      <c r="O3450" s="750" t="s">
        <v>2966</v>
      </c>
      <c r="P3450" s="750">
        <f>P3406</f>
        <v>2.41</v>
      </c>
      <c r="Q3450" s="577" t="s">
        <v>151</v>
      </c>
      <c r="R3450" s="574">
        <f t="shared" si="325"/>
        <v>284.38</v>
      </c>
      <c r="W3450" s="361"/>
    </row>
    <row r="3451" spans="6:23" ht="15.75">
      <c r="M3451" s="750"/>
      <c r="N3451" s="751"/>
      <c r="O3451" s="750"/>
      <c r="P3451" s="750"/>
      <c r="Q3451" s="753"/>
      <c r="R3451" s="758" t="s">
        <v>117</v>
      </c>
      <c r="W3451" s="361"/>
    </row>
    <row r="3452" spans="6:23" ht="15.75">
      <c r="F3452" s="412">
        <v>29.5</v>
      </c>
      <c r="G3452" s="368" t="s">
        <v>122</v>
      </c>
      <c r="H3452" s="356" t="s">
        <v>3102</v>
      </c>
      <c r="J3452" s="361"/>
      <c r="M3452" s="750"/>
      <c r="N3452" s="751"/>
      <c r="O3452" s="576" t="s">
        <v>3054</v>
      </c>
      <c r="P3452" s="750"/>
      <c r="Q3452" s="753"/>
      <c r="R3452" s="574">
        <f>SUM(R3437:R3451)</f>
        <v>15539.591493999998</v>
      </c>
      <c r="W3452" s="361"/>
    </row>
    <row r="3453" spans="6:23" ht="15.75">
      <c r="H3453" s="356" t="s">
        <v>3103</v>
      </c>
      <c r="J3453" s="361"/>
      <c r="M3453" s="750"/>
      <c r="N3453" s="751"/>
      <c r="O3453" s="750"/>
      <c r="P3453" s="750"/>
      <c r="Q3453" s="753"/>
      <c r="R3453" s="758" t="s">
        <v>117</v>
      </c>
      <c r="W3453" s="361"/>
    </row>
    <row r="3454" spans="6:23" ht="15.75">
      <c r="H3454" s="356" t="s">
        <v>219</v>
      </c>
      <c r="J3454" s="361"/>
      <c r="M3454" s="750"/>
      <c r="N3454" s="751"/>
      <c r="O3454" s="764" t="s">
        <v>177</v>
      </c>
      <c r="P3454" s="750"/>
      <c r="Q3454" s="755" t="s">
        <v>2807</v>
      </c>
      <c r="R3454" s="765">
        <f>R3452/M3443</f>
        <v>6400.1612413509056</v>
      </c>
      <c r="W3454" s="361"/>
    </row>
    <row r="3455" spans="6:23" ht="15">
      <c r="H3455" s="363" t="s">
        <v>117</v>
      </c>
      <c r="I3455" s="363" t="s">
        <v>117</v>
      </c>
      <c r="J3455" s="361"/>
      <c r="K3455" s="370"/>
      <c r="W3455" s="361"/>
    </row>
    <row r="3456" spans="6:23" ht="15.75">
      <c r="F3456" s="370">
        <v>10</v>
      </c>
      <c r="G3456" s="368" t="s">
        <v>107</v>
      </c>
      <c r="H3456" s="359" t="s">
        <v>3104</v>
      </c>
      <c r="I3456" s="882">
        <v>416</v>
      </c>
      <c r="J3456" s="357" t="s">
        <v>107</v>
      </c>
      <c r="K3456" s="370">
        <f>F3456*I3456</f>
        <v>4160</v>
      </c>
      <c r="W3456" s="361"/>
    </row>
    <row r="3457" spans="6:23" ht="15">
      <c r="F3457" s="370">
        <v>0.21</v>
      </c>
      <c r="G3457" s="368" t="s">
        <v>108</v>
      </c>
      <c r="H3457" s="356" t="s">
        <v>221</v>
      </c>
      <c r="I3457" s="370">
        <f>K32</f>
        <v>4976.9571999999998</v>
      </c>
      <c r="J3457" s="357" t="s">
        <v>108</v>
      </c>
      <c r="K3457" s="370">
        <f>(F3457*I3457)</f>
        <v>1045.161012</v>
      </c>
      <c r="W3457" s="361"/>
    </row>
    <row r="3458" spans="6:23" ht="15">
      <c r="H3458" s="356" t="s">
        <v>222</v>
      </c>
      <c r="I3458" s="370"/>
      <c r="J3458" s="361"/>
      <c r="K3458" s="356" t="s">
        <v>114</v>
      </c>
      <c r="M3458" s="412">
        <v>29.5</v>
      </c>
      <c r="N3458" s="368" t="s">
        <v>122</v>
      </c>
      <c r="O3458" s="356" t="s">
        <v>3102</v>
      </c>
      <c r="Q3458" s="361"/>
      <c r="W3458" s="361"/>
    </row>
    <row r="3459" spans="6:23" ht="15">
      <c r="F3459" s="370">
        <v>1.1000000000000001</v>
      </c>
      <c r="G3459" s="368" t="s">
        <v>223</v>
      </c>
      <c r="H3459" s="356" t="s">
        <v>162</v>
      </c>
      <c r="I3459" s="370">
        <f>C10</f>
        <v>1198.8</v>
      </c>
      <c r="J3459" s="357" t="s">
        <v>223</v>
      </c>
      <c r="K3459" s="370">
        <f>(F3459*I3459)</f>
        <v>1318.68</v>
      </c>
      <c r="N3459" s="358"/>
      <c r="O3459" s="356" t="s">
        <v>3103</v>
      </c>
      <c r="Q3459" s="361"/>
      <c r="W3459" s="361"/>
    </row>
    <row r="3460" spans="6:23" ht="15">
      <c r="F3460" s="370">
        <v>1.1000000000000001</v>
      </c>
      <c r="G3460" s="368" t="s">
        <v>223</v>
      </c>
      <c r="H3460" s="356" t="s">
        <v>152</v>
      </c>
      <c r="I3460" s="370">
        <f>C11</f>
        <v>1118.3999999999999</v>
      </c>
      <c r="J3460" s="357" t="s">
        <v>223</v>
      </c>
      <c r="K3460" s="370">
        <f>(F3460*I3460)</f>
        <v>1230.24</v>
      </c>
      <c r="N3460" s="358"/>
      <c r="O3460" s="356" t="s">
        <v>219</v>
      </c>
      <c r="Q3460" s="361"/>
      <c r="W3460" s="361"/>
    </row>
    <row r="3461" spans="6:23" ht="15">
      <c r="F3461" s="370">
        <v>2.2000000000000002</v>
      </c>
      <c r="G3461" s="368" t="s">
        <v>223</v>
      </c>
      <c r="H3461" s="356" t="s">
        <v>153</v>
      </c>
      <c r="I3461" s="370">
        <f>C12</f>
        <v>781.19999999999993</v>
      </c>
      <c r="J3461" s="357" t="s">
        <v>223</v>
      </c>
      <c r="K3461" s="370">
        <f>(F3461*I3461)</f>
        <v>1718.64</v>
      </c>
      <c r="N3461" s="358"/>
      <c r="O3461" s="363" t="s">
        <v>117</v>
      </c>
      <c r="P3461" s="363" t="s">
        <v>117</v>
      </c>
      <c r="Q3461" s="361"/>
      <c r="R3461" s="370"/>
      <c r="W3461" s="361"/>
    </row>
    <row r="3462" spans="6:23" ht="15.75">
      <c r="F3462" s="370">
        <v>2.2000000000000002</v>
      </c>
      <c r="G3462" s="368" t="s">
        <v>223</v>
      </c>
      <c r="H3462" s="356" t="s">
        <v>154</v>
      </c>
      <c r="I3462" s="370">
        <f>C13</f>
        <v>640.79999999999995</v>
      </c>
      <c r="J3462" s="357" t="s">
        <v>223</v>
      </c>
      <c r="K3462" s="370">
        <f>(F3462*I3462)</f>
        <v>1409.76</v>
      </c>
      <c r="M3462" s="370">
        <v>10</v>
      </c>
      <c r="N3462" s="368" t="s">
        <v>107</v>
      </c>
      <c r="O3462" s="359" t="s">
        <v>3104</v>
      </c>
      <c r="P3462" s="883">
        <f>I3456</f>
        <v>416</v>
      </c>
      <c r="Q3462" s="357" t="s">
        <v>107</v>
      </c>
      <c r="R3462" s="370">
        <f>P3462*M3462</f>
        <v>4160</v>
      </c>
      <c r="W3462" s="361"/>
    </row>
    <row r="3463" spans="6:23" ht="15.75">
      <c r="F3463" s="407">
        <v>20</v>
      </c>
      <c r="G3463" s="368" t="s">
        <v>213</v>
      </c>
      <c r="H3463" s="356" t="s">
        <v>125</v>
      </c>
      <c r="I3463" s="370">
        <f>AE31</f>
        <v>6372.14</v>
      </c>
      <c r="J3463" s="357" t="s">
        <v>124</v>
      </c>
      <c r="K3463" s="370">
        <f>(F3463*I3463)/1000</f>
        <v>127.44280000000001</v>
      </c>
      <c r="M3463" s="370">
        <v>0.21</v>
      </c>
      <c r="N3463" s="368" t="s">
        <v>108</v>
      </c>
      <c r="O3463" s="356" t="s">
        <v>221</v>
      </c>
      <c r="P3463" s="884">
        <f t="shared" ref="P3463:P3473" si="327">I3457</f>
        <v>4976.9571999999998</v>
      </c>
      <c r="Q3463" s="357" t="s">
        <v>108</v>
      </c>
      <c r="R3463" s="370">
        <f t="shared" ref="R3463:R3473" si="328">P3463*M3463</f>
        <v>1045.161012</v>
      </c>
      <c r="W3463" s="361"/>
    </row>
    <row r="3464" spans="6:23" ht="15.75">
      <c r="F3464" s="407">
        <v>2</v>
      </c>
      <c r="G3464" s="368" t="s">
        <v>213</v>
      </c>
      <c r="H3464" s="356" t="s">
        <v>228</v>
      </c>
      <c r="I3464" s="370">
        <f>I1258</f>
        <v>36.1</v>
      </c>
      <c r="J3464" s="357" t="s">
        <v>213</v>
      </c>
      <c r="K3464" s="370">
        <f>(F3464*I3464)</f>
        <v>72.2</v>
      </c>
      <c r="N3464" s="358"/>
      <c r="O3464" s="356" t="s">
        <v>222</v>
      </c>
      <c r="P3464" s="884">
        <f t="shared" si="327"/>
        <v>0</v>
      </c>
      <c r="Q3464" s="361"/>
      <c r="R3464" s="370">
        <f t="shared" si="328"/>
        <v>0</v>
      </c>
      <c r="W3464" s="361"/>
    </row>
    <row r="3465" spans="6:23" ht="15.75">
      <c r="F3465" s="370">
        <v>1.6</v>
      </c>
      <c r="G3465" s="368" t="s">
        <v>223</v>
      </c>
      <c r="H3465" s="356" t="s">
        <v>152</v>
      </c>
      <c r="I3465" s="370">
        <f>I3460</f>
        <v>1118.3999999999999</v>
      </c>
      <c r="J3465" s="357" t="s">
        <v>223</v>
      </c>
      <c r="K3465" s="370">
        <f>(F3465*I3465)</f>
        <v>1789.4399999999998</v>
      </c>
      <c r="M3465" s="370">
        <v>1.1000000000000001</v>
      </c>
      <c r="N3465" s="368" t="s">
        <v>223</v>
      </c>
      <c r="O3465" s="356" t="s">
        <v>162</v>
      </c>
      <c r="P3465" s="884">
        <f t="shared" si="327"/>
        <v>1198.8</v>
      </c>
      <c r="Q3465" s="357" t="s">
        <v>223</v>
      </c>
      <c r="R3465" s="370">
        <f t="shared" si="328"/>
        <v>1318.68</v>
      </c>
      <c r="W3465" s="361"/>
    </row>
    <row r="3466" spans="6:23" ht="15.75">
      <c r="F3466" s="370">
        <v>0.5</v>
      </c>
      <c r="G3466" s="368" t="s">
        <v>223</v>
      </c>
      <c r="H3466" s="356" t="s">
        <v>153</v>
      </c>
      <c r="I3466" s="370">
        <f>I3461</f>
        <v>781.19999999999993</v>
      </c>
      <c r="J3466" s="357" t="s">
        <v>223</v>
      </c>
      <c r="K3466" s="370">
        <f>(F3466*I3466)</f>
        <v>390.59999999999997</v>
      </c>
      <c r="M3466" s="370">
        <v>1.1000000000000001</v>
      </c>
      <c r="N3466" s="368" t="s">
        <v>223</v>
      </c>
      <c r="O3466" s="356" t="s">
        <v>152</v>
      </c>
      <c r="P3466" s="884">
        <f t="shared" si="327"/>
        <v>1118.3999999999999</v>
      </c>
      <c r="Q3466" s="357" t="s">
        <v>223</v>
      </c>
      <c r="R3466" s="370">
        <f t="shared" si="328"/>
        <v>1230.24</v>
      </c>
      <c r="W3466" s="361"/>
    </row>
    <row r="3467" spans="6:23" ht="15.75">
      <c r="F3467" s="370">
        <v>1.1000000000000001</v>
      </c>
      <c r="G3467" s="368" t="s">
        <v>223</v>
      </c>
      <c r="H3467" s="356" t="s">
        <v>154</v>
      </c>
      <c r="I3467" s="370">
        <f>I3462</f>
        <v>640.79999999999995</v>
      </c>
      <c r="J3467" s="357" t="s">
        <v>223</v>
      </c>
      <c r="K3467" s="370">
        <f>(F3467*I3467)</f>
        <v>704.88</v>
      </c>
      <c r="M3467" s="370">
        <v>2.2000000000000002</v>
      </c>
      <c r="N3467" s="368" t="s">
        <v>223</v>
      </c>
      <c r="O3467" s="356" t="s">
        <v>153</v>
      </c>
      <c r="P3467" s="884">
        <f t="shared" si="327"/>
        <v>781.19999999999993</v>
      </c>
      <c r="Q3467" s="357" t="s">
        <v>223</v>
      </c>
      <c r="R3467" s="370">
        <f t="shared" si="328"/>
        <v>1718.64</v>
      </c>
      <c r="W3467" s="361"/>
    </row>
    <row r="3468" spans="6:23" ht="15.75">
      <c r="G3468" s="368" t="s">
        <v>128</v>
      </c>
      <c r="H3468" s="356" t="s">
        <v>129</v>
      </c>
      <c r="I3468" s="370">
        <f>I1264</f>
        <v>0</v>
      </c>
      <c r="J3468" s="357" t="s">
        <v>128</v>
      </c>
      <c r="K3468" s="370">
        <v>0</v>
      </c>
      <c r="M3468" s="370">
        <v>2.2000000000000002</v>
      </c>
      <c r="N3468" s="368" t="s">
        <v>223</v>
      </c>
      <c r="O3468" s="356" t="s">
        <v>154</v>
      </c>
      <c r="P3468" s="884">
        <f t="shared" si="327"/>
        <v>640.79999999999995</v>
      </c>
      <c r="Q3468" s="357" t="s">
        <v>223</v>
      </c>
      <c r="R3468" s="370">
        <f t="shared" si="328"/>
        <v>1409.76</v>
      </c>
      <c r="W3468" s="361"/>
    </row>
    <row r="3469" spans="6:23" ht="15.75">
      <c r="J3469" s="361"/>
      <c r="K3469" s="363" t="s">
        <v>117</v>
      </c>
      <c r="M3469" s="407">
        <v>20</v>
      </c>
      <c r="N3469" s="368" t="s">
        <v>213</v>
      </c>
      <c r="O3469" s="356" t="s">
        <v>125</v>
      </c>
      <c r="P3469" s="884">
        <f t="shared" si="327"/>
        <v>6372.14</v>
      </c>
      <c r="Q3469" s="357" t="s">
        <v>124</v>
      </c>
      <c r="R3469" s="370">
        <f>P3469*M3469/1000</f>
        <v>127.44280000000001</v>
      </c>
      <c r="W3469" s="361"/>
    </row>
    <row r="3470" spans="6:23" ht="15.75">
      <c r="H3470" s="356" t="s">
        <v>176</v>
      </c>
      <c r="J3470" s="361"/>
      <c r="K3470" s="370">
        <f>SUM(K3456:K3468)</f>
        <v>13967.043812000002</v>
      </c>
      <c r="M3470" s="407">
        <v>2</v>
      </c>
      <c r="N3470" s="368" t="s">
        <v>213</v>
      </c>
      <c r="O3470" s="356" t="s">
        <v>3105</v>
      </c>
      <c r="P3470" s="884">
        <f>I3646</f>
        <v>24.925000000000001</v>
      </c>
      <c r="Q3470" s="357" t="s">
        <v>213</v>
      </c>
      <c r="R3470" s="370">
        <f t="shared" si="328"/>
        <v>49.85</v>
      </c>
      <c r="W3470" s="361"/>
    </row>
    <row r="3471" spans="6:23" ht="15.75">
      <c r="J3471" s="361"/>
      <c r="K3471" s="363" t="s">
        <v>117</v>
      </c>
      <c r="M3471" s="370">
        <v>1.6</v>
      </c>
      <c r="N3471" s="368" t="s">
        <v>223</v>
      </c>
      <c r="O3471" s="356" t="s">
        <v>152</v>
      </c>
      <c r="P3471" s="884">
        <f t="shared" si="327"/>
        <v>1118.3999999999999</v>
      </c>
      <c r="Q3471" s="357" t="s">
        <v>223</v>
      </c>
      <c r="R3471" s="370">
        <f t="shared" si="328"/>
        <v>1789.4399999999998</v>
      </c>
      <c r="W3471" s="361"/>
    </row>
    <row r="3472" spans="6:23" ht="15.75">
      <c r="H3472" s="356" t="s">
        <v>177</v>
      </c>
      <c r="J3472" s="361"/>
      <c r="K3472" s="369">
        <f>(K3470/10)</f>
        <v>1396.7043812000002</v>
      </c>
      <c r="M3472" s="370">
        <v>0.5</v>
      </c>
      <c r="N3472" s="368" t="s">
        <v>223</v>
      </c>
      <c r="O3472" s="356" t="s">
        <v>153</v>
      </c>
      <c r="P3472" s="884">
        <f t="shared" si="327"/>
        <v>781.19999999999993</v>
      </c>
      <c r="Q3472" s="357" t="s">
        <v>223</v>
      </c>
      <c r="R3472" s="370">
        <f t="shared" si="328"/>
        <v>390.59999999999997</v>
      </c>
      <c r="W3472" s="361"/>
    </row>
    <row r="3473" spans="6:23" ht="15.75">
      <c r="J3473" s="361"/>
      <c r="K3473" s="363" t="s">
        <v>156</v>
      </c>
      <c r="M3473" s="370">
        <v>1.1000000000000001</v>
      </c>
      <c r="N3473" s="368" t="s">
        <v>223</v>
      </c>
      <c r="O3473" s="356" t="s">
        <v>154</v>
      </c>
      <c r="P3473" s="884">
        <f t="shared" si="327"/>
        <v>640.79999999999995</v>
      </c>
      <c r="Q3473" s="357" t="s">
        <v>223</v>
      </c>
      <c r="R3473" s="370">
        <f t="shared" si="328"/>
        <v>704.88</v>
      </c>
      <c r="W3473" s="361"/>
    </row>
    <row r="3474" spans="6:23" ht="15">
      <c r="N3474" s="368" t="s">
        <v>128</v>
      </c>
      <c r="O3474" s="356" t="s">
        <v>129</v>
      </c>
      <c r="P3474" s="370">
        <v>0</v>
      </c>
      <c r="Q3474" s="357" t="s">
        <v>128</v>
      </c>
      <c r="R3474" s="370">
        <v>0</v>
      </c>
      <c r="W3474" s="361"/>
    </row>
    <row r="3475" spans="6:23" ht="15">
      <c r="N3475" s="358"/>
      <c r="Q3475" s="361"/>
      <c r="R3475" s="363" t="s">
        <v>117</v>
      </c>
      <c r="W3475" s="361"/>
    </row>
    <row r="3476" spans="6:23" ht="15">
      <c r="N3476" s="358"/>
      <c r="O3476" s="356" t="s">
        <v>176</v>
      </c>
      <c r="Q3476" s="361"/>
      <c r="R3476" s="370">
        <f>SUM(R3462:R3475)</f>
        <v>13944.693812000001</v>
      </c>
      <c r="W3476" s="361"/>
    </row>
    <row r="3477" spans="6:23" ht="15">
      <c r="N3477" s="358"/>
      <c r="Q3477" s="361"/>
      <c r="R3477" s="363" t="s">
        <v>117</v>
      </c>
      <c r="W3477" s="361"/>
    </row>
    <row r="3478" spans="6:23" ht="49.5">
      <c r="G3478" s="885">
        <v>90</v>
      </c>
      <c r="H3478" s="886" t="s">
        <v>3106</v>
      </c>
      <c r="N3478" s="358"/>
      <c r="O3478" s="356" t="s">
        <v>177</v>
      </c>
      <c r="Q3478" s="361"/>
      <c r="R3478" s="369">
        <f>R3476/10</f>
        <v>1394.4693812</v>
      </c>
      <c r="W3478" s="361"/>
    </row>
    <row r="3479" spans="6:23" ht="15.75">
      <c r="F3479" s="487">
        <v>3.8100000000000002E-2</v>
      </c>
      <c r="G3479" s="533" t="s">
        <v>108</v>
      </c>
      <c r="H3479" s="534" t="s">
        <v>3107</v>
      </c>
      <c r="I3479" s="35">
        <f>I3389</f>
        <v>111965.44</v>
      </c>
      <c r="J3479" s="35">
        <f>J2281</f>
        <v>0</v>
      </c>
      <c r="K3479" s="35">
        <f>F3479*I3479</f>
        <v>4265.8832640000001</v>
      </c>
      <c r="N3479" s="358"/>
      <c r="Q3479" s="361"/>
      <c r="R3479" s="363" t="s">
        <v>156</v>
      </c>
      <c r="W3479" s="361"/>
    </row>
    <row r="3480" spans="6:23" ht="15.75">
      <c r="F3480" s="36">
        <v>2.4E-2</v>
      </c>
      <c r="G3480" s="533" t="s">
        <v>108</v>
      </c>
      <c r="H3480" s="534" t="s">
        <v>3037</v>
      </c>
      <c r="I3480" s="35">
        <f>I3390</f>
        <v>99765.440000000002</v>
      </c>
      <c r="J3480" s="35">
        <f>J2282</f>
        <v>0</v>
      </c>
      <c r="K3480" s="35">
        <f t="shared" ref="K3480:K3493" si="329">F3480*I3480</f>
        <v>2394.3705600000003</v>
      </c>
      <c r="W3480" s="361"/>
    </row>
    <row r="3481" spans="6:23" ht="15.75">
      <c r="F3481" s="35">
        <v>0.01</v>
      </c>
      <c r="G3481" s="533" t="s">
        <v>108</v>
      </c>
      <c r="H3481" s="356" t="s">
        <v>1887</v>
      </c>
      <c r="I3481" s="35">
        <f>I2817</f>
        <v>95365.440000000002</v>
      </c>
      <c r="J3481" s="35">
        <f>J2283</f>
        <v>0</v>
      </c>
      <c r="K3481" s="35">
        <f t="shared" si="329"/>
        <v>953.65440000000001</v>
      </c>
      <c r="W3481" s="361"/>
    </row>
    <row r="3482" spans="6:23" ht="15">
      <c r="H3482" s="356" t="s">
        <v>1889</v>
      </c>
      <c r="W3482" s="361"/>
    </row>
    <row r="3483" spans="6:23" ht="15.75">
      <c r="F3483" s="35">
        <v>1.05</v>
      </c>
      <c r="G3483" s="368" t="s">
        <v>107</v>
      </c>
      <c r="H3483" s="495" t="s">
        <v>3108</v>
      </c>
      <c r="I3483" s="448">
        <v>362.5</v>
      </c>
      <c r="J3483" s="360" t="s">
        <v>107</v>
      </c>
      <c r="K3483" s="35">
        <f t="shared" si="329"/>
        <v>380.625</v>
      </c>
      <c r="W3483" s="361"/>
    </row>
    <row r="3484" spans="6:23" ht="15.75">
      <c r="F3484" s="35">
        <v>12</v>
      </c>
      <c r="G3484" s="368" t="s">
        <v>109</v>
      </c>
      <c r="H3484" s="35" t="s">
        <v>3109</v>
      </c>
      <c r="I3484" s="35">
        <f>I2539</f>
        <v>70.150000000000006</v>
      </c>
      <c r="J3484" s="360" t="s">
        <v>109</v>
      </c>
      <c r="K3484" s="35">
        <f t="shared" si="329"/>
        <v>841.80000000000007</v>
      </c>
      <c r="S3484" s="868" t="s">
        <v>3110</v>
      </c>
      <c r="W3484" s="361"/>
    </row>
    <row r="3485" spans="6:23" ht="15">
      <c r="F3485" s="35">
        <v>2.85</v>
      </c>
      <c r="G3485" s="368" t="s">
        <v>107</v>
      </c>
      <c r="H3485" s="35" t="s">
        <v>3111</v>
      </c>
      <c r="I3485" s="35">
        <f>D31</f>
        <v>1723.2</v>
      </c>
      <c r="J3485" s="360" t="s">
        <v>107</v>
      </c>
      <c r="K3485" s="35">
        <f t="shared" si="329"/>
        <v>4911.12</v>
      </c>
      <c r="W3485" s="361"/>
    </row>
    <row r="3486" spans="6:23" ht="15">
      <c r="F3486" s="35">
        <v>6</v>
      </c>
      <c r="G3486" s="368" t="s">
        <v>292</v>
      </c>
      <c r="H3486" s="356" t="s">
        <v>1882</v>
      </c>
      <c r="I3486" s="35">
        <f>I2821</f>
        <v>214.1</v>
      </c>
      <c r="J3486" s="360" t="s">
        <v>223</v>
      </c>
      <c r="K3486" s="35">
        <f t="shared" si="329"/>
        <v>1284.5999999999999</v>
      </c>
      <c r="W3486" s="361"/>
    </row>
    <row r="3487" spans="6:23" ht="15">
      <c r="F3487" s="35">
        <v>1</v>
      </c>
      <c r="G3487" s="368" t="s">
        <v>292</v>
      </c>
      <c r="H3487" s="35" t="s">
        <v>3112</v>
      </c>
      <c r="I3487" s="35">
        <f>I2823</f>
        <v>836</v>
      </c>
      <c r="J3487" s="360" t="s">
        <v>223</v>
      </c>
      <c r="K3487" s="35">
        <f t="shared" si="329"/>
        <v>836</v>
      </c>
      <c r="W3487" s="361"/>
    </row>
    <row r="3488" spans="6:23" ht="15">
      <c r="F3488" s="35">
        <v>3</v>
      </c>
      <c r="G3488" s="368" t="s">
        <v>292</v>
      </c>
      <c r="H3488" s="356" t="s">
        <v>1884</v>
      </c>
      <c r="I3488" s="35">
        <f>I2822</f>
        <v>408</v>
      </c>
      <c r="J3488" s="360" t="s">
        <v>223</v>
      </c>
      <c r="K3488" s="35">
        <f t="shared" si="329"/>
        <v>1224</v>
      </c>
      <c r="W3488" s="361"/>
    </row>
    <row r="3489" spans="6:23" ht="15">
      <c r="F3489" s="35">
        <v>2</v>
      </c>
      <c r="G3489" s="368" t="s">
        <v>292</v>
      </c>
      <c r="H3489" s="356" t="s">
        <v>3113</v>
      </c>
      <c r="I3489" s="35">
        <f>I2822</f>
        <v>408</v>
      </c>
      <c r="J3489" s="360" t="s">
        <v>223</v>
      </c>
      <c r="K3489" s="35">
        <f t="shared" si="329"/>
        <v>816</v>
      </c>
      <c r="W3489" s="361"/>
    </row>
    <row r="3490" spans="6:23" ht="15">
      <c r="F3490" s="35">
        <v>2</v>
      </c>
      <c r="G3490" s="368" t="s">
        <v>292</v>
      </c>
      <c r="H3490" s="356" t="s">
        <v>995</v>
      </c>
      <c r="I3490" s="35">
        <f>I2825</f>
        <v>49.55</v>
      </c>
      <c r="J3490" s="360" t="s">
        <v>223</v>
      </c>
      <c r="K3490" s="35">
        <f t="shared" si="329"/>
        <v>99.1</v>
      </c>
      <c r="W3490" s="361"/>
    </row>
    <row r="3491" spans="6:23" ht="15">
      <c r="F3491" s="35">
        <v>2</v>
      </c>
      <c r="G3491" s="368" t="s">
        <v>292</v>
      </c>
      <c r="H3491" s="356" t="s">
        <v>1888</v>
      </c>
      <c r="I3491" s="35">
        <f>I2824</f>
        <v>7.3</v>
      </c>
      <c r="J3491" s="360" t="s">
        <v>223</v>
      </c>
      <c r="K3491" s="35">
        <f t="shared" si="329"/>
        <v>14.6</v>
      </c>
      <c r="W3491" s="361"/>
    </row>
    <row r="3492" spans="6:23" ht="15">
      <c r="F3492" s="35">
        <v>1.05</v>
      </c>
      <c r="G3492" s="368" t="s">
        <v>107</v>
      </c>
      <c r="H3492" s="356" t="s">
        <v>3114</v>
      </c>
      <c r="I3492" s="35">
        <f>K1555</f>
        <v>155.88119999999998</v>
      </c>
      <c r="J3492" s="360" t="s">
        <v>107</v>
      </c>
      <c r="K3492" s="35">
        <f t="shared" si="329"/>
        <v>163.67525999999998</v>
      </c>
      <c r="W3492" s="361"/>
    </row>
    <row r="3493" spans="6:23" ht="15.75">
      <c r="F3493" s="887">
        <v>3.15</v>
      </c>
      <c r="G3493" s="368" t="s">
        <v>107</v>
      </c>
      <c r="H3493" s="356" t="s">
        <v>3115</v>
      </c>
      <c r="I3493" s="35">
        <f>K1169</f>
        <v>226.08</v>
      </c>
      <c r="J3493" s="360" t="s">
        <v>107</v>
      </c>
      <c r="K3493" s="35">
        <f t="shared" si="329"/>
        <v>712.15200000000004</v>
      </c>
      <c r="W3493" s="361"/>
    </row>
    <row r="3494" spans="6:23" ht="15">
      <c r="G3494" s="368"/>
      <c r="H3494" s="356" t="s">
        <v>3116</v>
      </c>
      <c r="I3494" s="888" t="s">
        <v>128</v>
      </c>
      <c r="J3494" s="888"/>
      <c r="K3494" s="35">
        <f>R3201</f>
        <v>284.38</v>
      </c>
      <c r="W3494" s="361"/>
    </row>
    <row r="3495" spans="6:23" ht="15">
      <c r="K3495" s="889" t="s">
        <v>156</v>
      </c>
      <c r="W3495" s="361"/>
    </row>
    <row r="3496" spans="6:23" ht="15.75">
      <c r="H3496" s="359" t="s">
        <v>3117</v>
      </c>
      <c r="I3496" s="411"/>
      <c r="J3496" s="436"/>
      <c r="K3496" s="411">
        <f>SUM(K3479:K3495)</f>
        <v>19181.960483999999</v>
      </c>
      <c r="W3496" s="361"/>
    </row>
    <row r="3497" spans="6:23" ht="15">
      <c r="K3497" s="889" t="s">
        <v>156</v>
      </c>
      <c r="W3497" s="361"/>
    </row>
    <row r="3498" spans="6:23" ht="15">
      <c r="W3498" s="361"/>
    </row>
    <row r="3499" spans="6:23" ht="15">
      <c r="J3499" s="361"/>
      <c r="W3499" s="361"/>
    </row>
    <row r="3500" spans="6:23" ht="15.75">
      <c r="G3500" s="360" t="s">
        <v>3118</v>
      </c>
      <c r="J3500" s="361"/>
      <c r="W3500" s="361"/>
    </row>
    <row r="3501" spans="6:23" ht="15">
      <c r="J3501" s="361"/>
      <c r="W3501" s="361"/>
    </row>
    <row r="3502" spans="6:23" ht="15.75">
      <c r="F3502" s="487">
        <v>1.8</v>
      </c>
      <c r="G3502" s="358" t="s">
        <v>108</v>
      </c>
      <c r="H3502" s="35" t="s">
        <v>3119</v>
      </c>
      <c r="I3502" s="448">
        <f>((512.5+591.7)/2)+AA15</f>
        <v>748.28</v>
      </c>
      <c r="J3502" s="361" t="s">
        <v>108</v>
      </c>
      <c r="K3502" s="471">
        <f>I3502*F3502</f>
        <v>1346.904</v>
      </c>
      <c r="W3502" s="361"/>
    </row>
    <row r="3503" spans="6:23" ht="15.75">
      <c r="I3503" s="448"/>
      <c r="J3503" s="361"/>
      <c r="K3503" s="471"/>
      <c r="W3503" s="361"/>
    </row>
    <row r="3504" spans="6:23" ht="15.75">
      <c r="F3504" s="487">
        <v>1.2</v>
      </c>
      <c r="G3504" s="358" t="s">
        <v>108</v>
      </c>
      <c r="H3504" s="35" t="s">
        <v>3120</v>
      </c>
      <c r="I3504" s="448">
        <f>((1069.8+919+1489+1382+1016)/5)+AA15</f>
        <v>1371.3400000000001</v>
      </c>
      <c r="J3504" s="361" t="s">
        <v>108</v>
      </c>
      <c r="K3504" s="471">
        <f t="shared" ref="K3504:K3512" si="330">I3504*F3504</f>
        <v>1645.6080000000002</v>
      </c>
      <c r="W3504" s="361"/>
    </row>
    <row r="3505" spans="6:25" ht="15">
      <c r="J3505" s="361"/>
      <c r="K3505" s="471"/>
      <c r="W3505" s="361"/>
    </row>
    <row r="3506" spans="6:25" ht="15.75">
      <c r="F3506" s="487">
        <v>0.6</v>
      </c>
      <c r="G3506" s="358" t="s">
        <v>108</v>
      </c>
      <c r="H3506" s="35" t="s">
        <v>3121</v>
      </c>
      <c r="I3506" s="35">
        <f>AE16</f>
        <v>1779.13</v>
      </c>
      <c r="J3506" s="361" t="s">
        <v>108</v>
      </c>
      <c r="K3506" s="471">
        <f t="shared" si="330"/>
        <v>1067.4780000000001</v>
      </c>
      <c r="O3506" s="411" t="s">
        <v>3122</v>
      </c>
      <c r="W3506" s="361"/>
    </row>
    <row r="3507" spans="6:25" ht="15">
      <c r="J3507" s="361"/>
      <c r="K3507" s="471"/>
      <c r="W3507" s="361"/>
    </row>
    <row r="3508" spans="6:25" ht="15">
      <c r="F3508" s="487">
        <v>3</v>
      </c>
      <c r="G3508" s="358" t="s">
        <v>108</v>
      </c>
      <c r="H3508" s="35" t="s">
        <v>3123</v>
      </c>
      <c r="I3508" s="35">
        <f>R3521</f>
        <v>2487.5639999999994</v>
      </c>
      <c r="J3508" s="361" t="s">
        <v>108</v>
      </c>
      <c r="K3508" s="471">
        <f t="shared" si="330"/>
        <v>7462.6919999999982</v>
      </c>
      <c r="W3508" s="361"/>
    </row>
    <row r="3509" spans="6:25" ht="15">
      <c r="F3509" s="487"/>
      <c r="J3509" s="361"/>
      <c r="K3509" s="471"/>
      <c r="M3509" s="35">
        <f>(1.08/8)</f>
        <v>0.13500000000000001</v>
      </c>
      <c r="N3509" s="35" t="s">
        <v>108</v>
      </c>
      <c r="O3509" s="35" t="s">
        <v>153</v>
      </c>
      <c r="P3509" s="35">
        <f>P3517</f>
        <v>781.19999999999993</v>
      </c>
      <c r="Q3509" s="35" t="s">
        <v>108</v>
      </c>
      <c r="R3509" s="35">
        <f>P3509*M3509</f>
        <v>105.462</v>
      </c>
      <c r="W3509" s="361"/>
    </row>
    <row r="3510" spans="6:25" ht="23.25">
      <c r="F3510" s="487">
        <v>3</v>
      </c>
      <c r="G3510" s="358" t="s">
        <v>108</v>
      </c>
      <c r="H3510" s="35" t="s">
        <v>3124</v>
      </c>
      <c r="I3510" s="35">
        <f>AI67</f>
        <v>40.645000000000003</v>
      </c>
      <c r="J3510" s="361" t="s">
        <v>108</v>
      </c>
      <c r="K3510" s="471">
        <f t="shared" si="330"/>
        <v>121.935</v>
      </c>
      <c r="L3510" s="890"/>
      <c r="W3510" s="361"/>
    </row>
    <row r="3511" spans="6:25" ht="15">
      <c r="F3511" s="487"/>
      <c r="J3511" s="361"/>
      <c r="K3511" s="471"/>
      <c r="O3511" s="471" t="s">
        <v>3125</v>
      </c>
      <c r="R3511" s="35">
        <f>R3509</f>
        <v>105.462</v>
      </c>
      <c r="W3511" s="361"/>
    </row>
    <row r="3512" spans="6:25" ht="15">
      <c r="F3512" s="487">
        <v>3</v>
      </c>
      <c r="G3512" s="358" t="s">
        <v>108</v>
      </c>
      <c r="H3512" s="35" t="s">
        <v>3126</v>
      </c>
      <c r="I3512" s="35">
        <f>AG26</f>
        <v>83.759999999999991</v>
      </c>
      <c r="J3512" s="361" t="s">
        <v>108</v>
      </c>
      <c r="K3512" s="471">
        <f t="shared" si="330"/>
        <v>251.27999999999997</v>
      </c>
      <c r="O3512" s="471" t="s">
        <v>3127</v>
      </c>
      <c r="R3512" s="35">
        <f>R3511/0.75</f>
        <v>140.61600000000001</v>
      </c>
      <c r="W3512" s="361"/>
    </row>
    <row r="3513" spans="6:25" ht="15">
      <c r="J3513" s="361"/>
      <c r="K3513" s="471"/>
      <c r="W3513" s="361"/>
    </row>
    <row r="3514" spans="6:25" ht="15.75">
      <c r="H3514" s="35" t="s">
        <v>3128</v>
      </c>
      <c r="J3514" s="361" t="s">
        <v>128</v>
      </c>
      <c r="K3514" s="471">
        <v>1.84</v>
      </c>
      <c r="O3514" s="411" t="s">
        <v>3129</v>
      </c>
      <c r="W3514" s="361"/>
    </row>
    <row r="3515" spans="6:25" ht="15">
      <c r="J3515" s="361"/>
      <c r="K3515" s="471"/>
      <c r="W3515" s="361"/>
    </row>
    <row r="3516" spans="6:25" ht="18">
      <c r="H3516" s="471" t="s">
        <v>3130</v>
      </c>
      <c r="J3516" s="361"/>
      <c r="K3516" s="580">
        <f>SUM(K3502:K3515)</f>
        <v>11897.736999999999</v>
      </c>
      <c r="M3516" s="35">
        <v>1.8</v>
      </c>
      <c r="N3516" s="35" t="s">
        <v>192</v>
      </c>
      <c r="O3516" s="35" t="s">
        <v>3131</v>
      </c>
      <c r="P3516" s="35">
        <f>AG10</f>
        <v>1118.3999999999999</v>
      </c>
      <c r="Q3516" s="35" t="s">
        <v>194</v>
      </c>
      <c r="R3516" s="35">
        <f>P3516*M3516</f>
        <v>2013.12</v>
      </c>
      <c r="W3516" s="361"/>
    </row>
    <row r="3517" spans="6:25" ht="15.75">
      <c r="H3517" s="471" t="s">
        <v>3132</v>
      </c>
      <c r="J3517" s="361"/>
      <c r="K3517" s="411">
        <f>K3516/F3508</f>
        <v>3965.9123333333332</v>
      </c>
      <c r="M3517" s="35">
        <v>17.7</v>
      </c>
      <c r="N3517" s="35" t="s">
        <v>192</v>
      </c>
      <c r="O3517" s="35" t="s">
        <v>3133</v>
      </c>
      <c r="P3517" s="35">
        <f>AG11</f>
        <v>781.19999999999993</v>
      </c>
      <c r="Q3517" s="35" t="s">
        <v>194</v>
      </c>
      <c r="R3517" s="35">
        <f>P3517*M3517</f>
        <v>13827.239999999998</v>
      </c>
      <c r="W3517" s="361"/>
    </row>
    <row r="3518" spans="6:25" ht="18">
      <c r="J3518" s="361"/>
      <c r="K3518" s="889" t="s">
        <v>156</v>
      </c>
      <c r="M3518" s="35">
        <v>14.1</v>
      </c>
      <c r="N3518" s="35" t="s">
        <v>192</v>
      </c>
      <c r="O3518" s="35" t="s">
        <v>3134</v>
      </c>
      <c r="P3518" s="35">
        <f>AG12</f>
        <v>640.79999999999995</v>
      </c>
      <c r="Q3518" s="35" t="s">
        <v>194</v>
      </c>
      <c r="R3518" s="35">
        <f>P3518*M3518</f>
        <v>9035.2799999999988</v>
      </c>
      <c r="S3518" s="891"/>
      <c r="T3518" s="892"/>
      <c r="U3518" s="891" t="s">
        <v>3135</v>
      </c>
      <c r="V3518" s="891"/>
      <c r="W3518" s="893"/>
    </row>
    <row r="3519" spans="6:25" ht="18">
      <c r="S3519" s="35"/>
      <c r="T3519" s="358"/>
      <c r="U3519" s="891" t="s">
        <v>3136</v>
      </c>
      <c r="V3519" s="35">
        <f>1.1*2.325</f>
        <v>2.5575000000000006</v>
      </c>
      <c r="W3519" s="361"/>
    </row>
    <row r="3520" spans="6:25" ht="18">
      <c r="O3520" s="471" t="s">
        <v>3137</v>
      </c>
      <c r="R3520" s="35">
        <f>SUM(R3516:R3519)</f>
        <v>24875.639999999996</v>
      </c>
      <c r="S3520" s="891">
        <f>V3519</f>
        <v>2.5575000000000006</v>
      </c>
      <c r="T3520" s="892" t="s">
        <v>107</v>
      </c>
      <c r="U3520" s="891" t="s">
        <v>3138</v>
      </c>
      <c r="V3520" s="891">
        <f>V3540</f>
        <v>2255</v>
      </c>
      <c r="W3520" s="893" t="s">
        <v>107</v>
      </c>
      <c r="X3520" s="891">
        <f>V3520*S3520</f>
        <v>5767.1625000000013</v>
      </c>
      <c r="Y3520" s="891"/>
    </row>
    <row r="3521" spans="6:25" ht="18">
      <c r="O3521" s="471" t="s">
        <v>3127</v>
      </c>
      <c r="R3521" s="35">
        <f>R3520/10</f>
        <v>2487.5639999999994</v>
      </c>
      <c r="S3521" s="891">
        <f>V3519</f>
        <v>2.5575000000000006</v>
      </c>
      <c r="T3521" s="892" t="s">
        <v>107</v>
      </c>
      <c r="U3521" s="891" t="s">
        <v>3139</v>
      </c>
      <c r="V3521" s="891">
        <f t="shared" ref="V3521:V3529" si="331">V3541</f>
        <v>256.91999999999996</v>
      </c>
      <c r="W3521" s="893" t="s">
        <v>107</v>
      </c>
      <c r="X3521" s="891">
        <f t="shared" ref="X3521:X3528" si="332">V3521*S3521</f>
        <v>657.0729</v>
      </c>
      <c r="Y3521" s="891"/>
    </row>
    <row r="3522" spans="6:25" ht="18">
      <c r="F3522" s="891"/>
      <c r="G3522" s="892"/>
      <c r="H3522" s="891" t="s">
        <v>3140</v>
      </c>
      <c r="I3522" s="891"/>
      <c r="J3522" s="894"/>
      <c r="O3522" s="471"/>
      <c r="S3522" s="891">
        <v>2</v>
      </c>
      <c r="T3522" s="892" t="s">
        <v>223</v>
      </c>
      <c r="U3522" s="891" t="s">
        <v>3141</v>
      </c>
      <c r="V3522" s="891">
        <f t="shared" si="331"/>
        <v>57.65</v>
      </c>
      <c r="W3522" s="893" t="s">
        <v>223</v>
      </c>
      <c r="X3522" s="891">
        <f t="shared" si="332"/>
        <v>115.3</v>
      </c>
      <c r="Y3522" s="891"/>
    </row>
    <row r="3523" spans="6:25" ht="18">
      <c r="H3523" s="585" t="s">
        <v>3142</v>
      </c>
      <c r="I3523" s="891">
        <f>1.1*2.325</f>
        <v>2.5575000000000006</v>
      </c>
      <c r="O3523" s="411" t="s">
        <v>3143</v>
      </c>
      <c r="R3523" s="411">
        <f>AH67</f>
        <v>36.950000000000003</v>
      </c>
      <c r="S3523" s="891">
        <v>4</v>
      </c>
      <c r="T3523" s="892" t="s">
        <v>223</v>
      </c>
      <c r="U3523" s="891" t="s">
        <v>3144</v>
      </c>
      <c r="V3523" s="891">
        <f t="shared" si="331"/>
        <v>89.6</v>
      </c>
      <c r="W3523" s="893" t="s">
        <v>223</v>
      </c>
      <c r="X3523" s="891">
        <f t="shared" si="332"/>
        <v>358.4</v>
      </c>
      <c r="Y3523" s="891"/>
    </row>
    <row r="3524" spans="6:25" ht="18">
      <c r="F3524" s="891">
        <f>I3523</f>
        <v>2.5575000000000006</v>
      </c>
      <c r="G3524" s="892" t="s">
        <v>107</v>
      </c>
      <c r="H3524" s="891" t="s">
        <v>3145</v>
      </c>
      <c r="I3524" s="895">
        <v>2255</v>
      </c>
      <c r="J3524" s="892" t="s">
        <v>107</v>
      </c>
      <c r="K3524" s="891">
        <f>I3524*F3524</f>
        <v>5767.1625000000013</v>
      </c>
      <c r="S3524" s="891">
        <v>2</v>
      </c>
      <c r="T3524" s="892" t="s">
        <v>223</v>
      </c>
      <c r="U3524" s="891" t="s">
        <v>3146</v>
      </c>
      <c r="V3524" s="891">
        <f t="shared" si="331"/>
        <v>64.8</v>
      </c>
      <c r="W3524" s="893" t="s">
        <v>223</v>
      </c>
      <c r="X3524" s="891">
        <f t="shared" si="332"/>
        <v>129.6</v>
      </c>
      <c r="Y3524" s="891"/>
    </row>
    <row r="3525" spans="6:25" ht="18">
      <c r="F3525" s="891">
        <f>F3524</f>
        <v>2.5575000000000006</v>
      </c>
      <c r="G3525" s="892" t="s">
        <v>107</v>
      </c>
      <c r="H3525" s="891" t="s">
        <v>3147</v>
      </c>
      <c r="I3525" s="891">
        <f>AG53</f>
        <v>396.23999999999995</v>
      </c>
      <c r="J3525" s="892" t="s">
        <v>107</v>
      </c>
      <c r="K3525" s="891">
        <f t="shared" ref="K3525:K3532" si="333">I3525*F3525</f>
        <v>1013.3838000000001</v>
      </c>
      <c r="S3525" s="891">
        <v>1</v>
      </c>
      <c r="T3525" s="892" t="s">
        <v>223</v>
      </c>
      <c r="U3525" s="891" t="s">
        <v>3112</v>
      </c>
      <c r="V3525" s="891">
        <f t="shared" si="331"/>
        <v>181</v>
      </c>
      <c r="W3525" s="893" t="s">
        <v>223</v>
      </c>
      <c r="X3525" s="891">
        <f t="shared" si="332"/>
        <v>181</v>
      </c>
      <c r="Y3525" s="891"/>
    </row>
    <row r="3526" spans="6:25" ht="18">
      <c r="F3526" s="891">
        <v>4</v>
      </c>
      <c r="G3526" s="892" t="s">
        <v>223</v>
      </c>
      <c r="H3526" s="891" t="s">
        <v>3148</v>
      </c>
      <c r="I3526" s="891">
        <f>P3230</f>
        <v>57.65</v>
      </c>
      <c r="J3526" s="892" t="s">
        <v>223</v>
      </c>
      <c r="K3526" s="891">
        <f t="shared" si="333"/>
        <v>230.6</v>
      </c>
      <c r="M3526" s="891"/>
      <c r="N3526" s="892"/>
      <c r="O3526" s="896" t="s">
        <v>3149</v>
      </c>
      <c r="P3526" s="891"/>
      <c r="Q3526" s="894"/>
      <c r="S3526" s="891">
        <v>92</v>
      </c>
      <c r="T3526" s="892" t="s">
        <v>223</v>
      </c>
      <c r="U3526" s="891" t="s">
        <v>3150</v>
      </c>
      <c r="V3526" s="891">
        <f t="shared" si="331"/>
        <v>2.41</v>
      </c>
      <c r="W3526" s="893" t="s">
        <v>223</v>
      </c>
      <c r="X3526" s="891">
        <f t="shared" si="332"/>
        <v>221.72000000000003</v>
      </c>
      <c r="Y3526" s="891"/>
    </row>
    <row r="3527" spans="6:25" ht="18">
      <c r="F3527" s="891">
        <v>8</v>
      </c>
      <c r="G3527" s="892" t="s">
        <v>223</v>
      </c>
      <c r="H3527" s="891" t="s">
        <v>3151</v>
      </c>
      <c r="I3527" s="891">
        <f>P3231</f>
        <v>89.6</v>
      </c>
      <c r="J3527" s="892" t="s">
        <v>223</v>
      </c>
      <c r="K3527" s="891">
        <f t="shared" si="333"/>
        <v>716.8</v>
      </c>
      <c r="N3527" s="358"/>
      <c r="O3527" s="897" t="s">
        <v>3152</v>
      </c>
      <c r="P3527" s="897">
        <f>1.4*2.325</f>
        <v>3.2549999999999999</v>
      </c>
      <c r="Q3527" s="360"/>
      <c r="S3527" s="891">
        <v>1</v>
      </c>
      <c r="T3527" s="892" t="s">
        <v>223</v>
      </c>
      <c r="U3527" s="891" t="s">
        <v>3153</v>
      </c>
      <c r="V3527" s="891">
        <f t="shared" si="331"/>
        <v>23.1</v>
      </c>
      <c r="W3527" s="893" t="s">
        <v>223</v>
      </c>
      <c r="X3527" s="891">
        <f t="shared" si="332"/>
        <v>23.1</v>
      </c>
      <c r="Y3527" s="891"/>
    </row>
    <row r="3528" spans="6:25" ht="18">
      <c r="F3528" s="891">
        <v>4</v>
      </c>
      <c r="G3528" s="892" t="s">
        <v>223</v>
      </c>
      <c r="H3528" s="891" t="s">
        <v>3154</v>
      </c>
      <c r="I3528" s="891">
        <f>C286</f>
        <v>64.8</v>
      </c>
      <c r="J3528" s="892" t="s">
        <v>223</v>
      </c>
      <c r="K3528" s="891">
        <f t="shared" si="333"/>
        <v>259.2</v>
      </c>
      <c r="M3528" s="891">
        <f>P3527</f>
        <v>3.2549999999999999</v>
      </c>
      <c r="N3528" s="892" t="s">
        <v>107</v>
      </c>
      <c r="O3528" s="891" t="s">
        <v>3155</v>
      </c>
      <c r="P3528" s="891">
        <f>I3524</f>
        <v>2255</v>
      </c>
      <c r="Q3528" s="892" t="s">
        <v>107</v>
      </c>
      <c r="R3528" s="891">
        <f t="shared" ref="R3528:R3536" si="334">P3528*M3528</f>
        <v>7340.0249999999996</v>
      </c>
      <c r="S3528" s="891">
        <v>1</v>
      </c>
      <c r="T3528" s="892" t="s">
        <v>223</v>
      </c>
      <c r="U3528" s="891" t="s">
        <v>3156</v>
      </c>
      <c r="V3528" s="891">
        <f t="shared" si="331"/>
        <v>49.55</v>
      </c>
      <c r="W3528" s="893" t="s">
        <v>223</v>
      </c>
      <c r="X3528" s="891">
        <f t="shared" si="332"/>
        <v>49.55</v>
      </c>
      <c r="Y3528" s="891"/>
    </row>
    <row r="3529" spans="6:25" ht="18">
      <c r="F3529" s="891">
        <v>1</v>
      </c>
      <c r="G3529" s="892" t="s">
        <v>223</v>
      </c>
      <c r="H3529" s="891" t="s">
        <v>3157</v>
      </c>
      <c r="I3529" s="891">
        <f>C288</f>
        <v>181</v>
      </c>
      <c r="J3529" s="892" t="s">
        <v>223</v>
      </c>
      <c r="K3529" s="891">
        <f t="shared" si="333"/>
        <v>181</v>
      </c>
      <c r="M3529" s="891">
        <f>M3528</f>
        <v>3.2549999999999999</v>
      </c>
      <c r="N3529" s="892" t="s">
        <v>107</v>
      </c>
      <c r="O3529" s="891" t="s">
        <v>3158</v>
      </c>
      <c r="P3529" s="891">
        <f t="shared" ref="P3529:P3536" si="335">I3525</f>
        <v>396.23999999999995</v>
      </c>
      <c r="Q3529" s="892" t="s">
        <v>107</v>
      </c>
      <c r="R3529" s="891">
        <f t="shared" si="334"/>
        <v>1289.7611999999997</v>
      </c>
      <c r="S3529" s="898">
        <v>0.39</v>
      </c>
      <c r="T3529" s="899" t="s">
        <v>107</v>
      </c>
      <c r="U3529" s="895" t="s">
        <v>3159</v>
      </c>
      <c r="V3529" s="891">
        <f t="shared" si="331"/>
        <v>264.02549999999997</v>
      </c>
      <c r="W3529" s="900" t="s">
        <v>107</v>
      </c>
      <c r="X3529" s="895"/>
      <c r="Y3529" s="895"/>
    </row>
    <row r="3530" spans="6:25" ht="18">
      <c r="F3530" s="891">
        <v>118</v>
      </c>
      <c r="G3530" s="892" t="s">
        <v>223</v>
      </c>
      <c r="H3530" s="891" t="s">
        <v>3150</v>
      </c>
      <c r="I3530" s="891">
        <f>P3450</f>
        <v>2.41</v>
      </c>
      <c r="J3530" s="892" t="s">
        <v>223</v>
      </c>
      <c r="K3530" s="891">
        <f t="shared" si="333"/>
        <v>284.38</v>
      </c>
      <c r="M3530" s="891">
        <v>4</v>
      </c>
      <c r="N3530" s="892" t="s">
        <v>223</v>
      </c>
      <c r="O3530" s="891" t="s">
        <v>3141</v>
      </c>
      <c r="P3530" s="891">
        <f t="shared" si="335"/>
        <v>57.65</v>
      </c>
      <c r="Q3530" s="892" t="s">
        <v>223</v>
      </c>
      <c r="R3530" s="891">
        <f t="shared" si="334"/>
        <v>230.6</v>
      </c>
      <c r="S3530" s="891"/>
      <c r="T3530" s="892"/>
      <c r="U3530" s="891" t="s">
        <v>3160</v>
      </c>
      <c r="V3530" s="891"/>
      <c r="W3530" s="893"/>
      <c r="X3530" s="891">
        <f>SUM(X3520:X3529)</f>
        <v>7502.9054000000024</v>
      </c>
      <c r="Y3530" s="891"/>
    </row>
    <row r="3531" spans="6:25" ht="18">
      <c r="F3531" s="891">
        <v>2</v>
      </c>
      <c r="G3531" s="892" t="s">
        <v>223</v>
      </c>
      <c r="H3531" s="891" t="s">
        <v>3161</v>
      </c>
      <c r="I3531" s="891">
        <f>P3199</f>
        <v>23.1</v>
      </c>
      <c r="J3531" s="892" t="s">
        <v>223</v>
      </c>
      <c r="K3531" s="891">
        <f t="shared" si="333"/>
        <v>46.2</v>
      </c>
      <c r="M3531" s="891">
        <v>10</v>
      </c>
      <c r="N3531" s="892" t="s">
        <v>223</v>
      </c>
      <c r="O3531" s="891" t="s">
        <v>3144</v>
      </c>
      <c r="P3531" s="891">
        <f t="shared" si="335"/>
        <v>89.6</v>
      </c>
      <c r="Q3531" s="892" t="s">
        <v>223</v>
      </c>
      <c r="R3531" s="891">
        <f t="shared" si="334"/>
        <v>896</v>
      </c>
      <c r="S3531" s="891"/>
      <c r="T3531" s="892"/>
      <c r="U3531" s="891" t="s">
        <v>2671</v>
      </c>
      <c r="V3531" s="891"/>
      <c r="W3531" s="893"/>
      <c r="X3531" s="891">
        <f>X3530/S3521</f>
        <v>2933.6873509286415</v>
      </c>
      <c r="Y3531" s="891"/>
    </row>
    <row r="3532" spans="6:25" ht="18">
      <c r="F3532" s="891">
        <v>2</v>
      </c>
      <c r="G3532" s="892" t="s">
        <v>223</v>
      </c>
      <c r="H3532" s="891" t="s">
        <v>3156</v>
      </c>
      <c r="I3532" s="891">
        <f>P3405</f>
        <v>49.55</v>
      </c>
      <c r="J3532" s="892" t="s">
        <v>223</v>
      </c>
      <c r="K3532" s="891">
        <f t="shared" si="333"/>
        <v>99.1</v>
      </c>
      <c r="M3532" s="891">
        <v>3</v>
      </c>
      <c r="N3532" s="892" t="s">
        <v>223</v>
      </c>
      <c r="O3532" s="891" t="s">
        <v>3146</v>
      </c>
      <c r="P3532" s="891">
        <f t="shared" si="335"/>
        <v>64.8</v>
      </c>
      <c r="Q3532" s="892" t="s">
        <v>223</v>
      </c>
      <c r="R3532" s="891">
        <f t="shared" si="334"/>
        <v>194.39999999999998</v>
      </c>
      <c r="W3532" s="361"/>
    </row>
    <row r="3533" spans="6:25" ht="18">
      <c r="F3533" s="901">
        <v>0.41099999999999998</v>
      </c>
      <c r="G3533" s="892" t="s">
        <v>107</v>
      </c>
      <c r="H3533" s="891" t="s">
        <v>3162</v>
      </c>
      <c r="I3533" s="891">
        <f>I1138</f>
        <v>226.08</v>
      </c>
      <c r="J3533" s="892" t="s">
        <v>107</v>
      </c>
      <c r="K3533" s="891"/>
      <c r="M3533" s="891">
        <v>1</v>
      </c>
      <c r="N3533" s="892" t="s">
        <v>223</v>
      </c>
      <c r="O3533" s="891" t="s">
        <v>3112</v>
      </c>
      <c r="P3533" s="891">
        <f t="shared" si="335"/>
        <v>181</v>
      </c>
      <c r="Q3533" s="892" t="s">
        <v>223</v>
      </c>
      <c r="R3533" s="891">
        <f t="shared" si="334"/>
        <v>181</v>
      </c>
      <c r="W3533" s="361"/>
    </row>
    <row r="3534" spans="6:25" ht="18">
      <c r="F3534" s="891"/>
      <c r="G3534" s="892"/>
      <c r="H3534" s="891" t="s">
        <v>3163</v>
      </c>
      <c r="I3534" s="891"/>
      <c r="J3534" s="894"/>
      <c r="K3534" s="891">
        <f>SUM(K3524:K3533)</f>
        <v>8597.8263000000024</v>
      </c>
      <c r="M3534" s="891">
        <v>162</v>
      </c>
      <c r="N3534" s="892" t="s">
        <v>223</v>
      </c>
      <c r="O3534" s="891" t="s">
        <v>3150</v>
      </c>
      <c r="P3534" s="891">
        <f t="shared" si="335"/>
        <v>2.41</v>
      </c>
      <c r="Q3534" s="892" t="s">
        <v>223</v>
      </c>
      <c r="R3534" s="891">
        <f t="shared" si="334"/>
        <v>390.42</v>
      </c>
      <c r="W3534" s="361"/>
    </row>
    <row r="3535" spans="6:25" ht="18">
      <c r="F3535" s="891"/>
      <c r="G3535" s="892"/>
      <c r="H3535" s="891" t="s">
        <v>2671</v>
      </c>
      <c r="I3535" s="891"/>
      <c r="J3535" s="894"/>
      <c r="K3535" s="891">
        <f>K3534/F3525</f>
        <v>3361.8089149560119</v>
      </c>
      <c r="M3535" s="891">
        <v>2</v>
      </c>
      <c r="N3535" s="892" t="s">
        <v>223</v>
      </c>
      <c r="O3535" s="891" t="s">
        <v>3153</v>
      </c>
      <c r="P3535" s="891">
        <f t="shared" si="335"/>
        <v>23.1</v>
      </c>
      <c r="Q3535" s="892" t="s">
        <v>223</v>
      </c>
      <c r="R3535" s="891">
        <f t="shared" si="334"/>
        <v>46.2</v>
      </c>
      <c r="W3535" s="361"/>
    </row>
    <row r="3536" spans="6:25" ht="18">
      <c r="H3536" s="891"/>
      <c r="K3536" s="891"/>
      <c r="M3536" s="891">
        <v>2</v>
      </c>
      <c r="N3536" s="892" t="s">
        <v>223</v>
      </c>
      <c r="O3536" s="891" t="s">
        <v>3156</v>
      </c>
      <c r="P3536" s="891">
        <f t="shared" si="335"/>
        <v>49.55</v>
      </c>
      <c r="Q3536" s="892" t="s">
        <v>223</v>
      </c>
      <c r="R3536" s="891">
        <f t="shared" si="334"/>
        <v>99.1</v>
      </c>
      <c r="W3536" s="361"/>
    </row>
    <row r="3537" spans="6:35" ht="18">
      <c r="M3537" s="901">
        <v>0</v>
      </c>
      <c r="N3537" s="892" t="s">
        <v>107</v>
      </c>
      <c r="O3537" s="891" t="s">
        <v>3162</v>
      </c>
      <c r="P3537" s="891">
        <f>I3533</f>
        <v>226.08</v>
      </c>
      <c r="Q3537" s="892" t="s">
        <v>107</v>
      </c>
      <c r="R3537" s="891">
        <f>P3537*M3537</f>
        <v>0</v>
      </c>
      <c r="W3537" s="361"/>
    </row>
    <row r="3538" spans="6:35" ht="18">
      <c r="F3538" s="891"/>
      <c r="G3538" s="892"/>
      <c r="H3538" s="891" t="s">
        <v>3164</v>
      </c>
      <c r="I3538" s="891"/>
      <c r="J3538" s="894"/>
      <c r="M3538" s="891"/>
      <c r="N3538" s="892"/>
      <c r="O3538" s="891" t="s">
        <v>3165</v>
      </c>
      <c r="P3538" s="891"/>
      <c r="Q3538" s="894"/>
      <c r="R3538" s="891">
        <f>SUM(R3528:R3537)</f>
        <v>10667.5062</v>
      </c>
      <c r="S3538" s="891"/>
      <c r="T3538" s="892"/>
      <c r="U3538" s="891" t="s">
        <v>3135</v>
      </c>
      <c r="V3538" s="891"/>
      <c r="W3538" s="893"/>
      <c r="AD3538" s="891"/>
      <c r="AE3538" s="892"/>
      <c r="AF3538" s="891" t="s">
        <v>3166</v>
      </c>
      <c r="AG3538" s="891"/>
      <c r="AH3538" s="894"/>
    </row>
    <row r="3539" spans="6:35" ht="18">
      <c r="H3539" s="891" t="s">
        <v>3167</v>
      </c>
      <c r="I3539" s="35">
        <f>0.9*2.025</f>
        <v>1.8225</v>
      </c>
      <c r="M3539" s="891"/>
      <c r="N3539" s="892"/>
      <c r="O3539" s="891" t="s">
        <v>2671</v>
      </c>
      <c r="P3539" s="891"/>
      <c r="Q3539" s="894"/>
      <c r="R3539" s="891">
        <f>R3538/M3529</f>
        <v>3277.2676497695852</v>
      </c>
      <c r="S3539" s="35"/>
      <c r="T3539" s="358"/>
      <c r="U3539" s="891" t="s">
        <v>3168</v>
      </c>
      <c r="V3539" s="35">
        <f>0.9*2.325</f>
        <v>2.0925000000000002</v>
      </c>
      <c r="W3539" s="361"/>
      <c r="AE3539" s="358"/>
      <c r="AF3539" s="891" t="s">
        <v>3169</v>
      </c>
      <c r="AG3539" s="35">
        <f>0.8*2.025</f>
        <v>1.62</v>
      </c>
      <c r="AH3539" s="360"/>
    </row>
    <row r="3540" spans="6:35" ht="18">
      <c r="F3540" s="891">
        <f>I3539</f>
        <v>1.8225</v>
      </c>
      <c r="G3540" s="892" t="s">
        <v>107</v>
      </c>
      <c r="H3540" s="891" t="s">
        <v>3138</v>
      </c>
      <c r="I3540" s="895">
        <f>I3524</f>
        <v>2255</v>
      </c>
      <c r="J3540" s="892" t="s">
        <v>107</v>
      </c>
      <c r="K3540" s="891">
        <f>I3540*F3540</f>
        <v>4109.7375000000002</v>
      </c>
      <c r="Q3540" s="892"/>
      <c r="R3540" s="896"/>
      <c r="S3540" s="891">
        <f>V3539</f>
        <v>2.0925000000000002</v>
      </c>
      <c r="T3540" s="892" t="s">
        <v>107</v>
      </c>
      <c r="U3540" s="891" t="s">
        <v>3138</v>
      </c>
      <c r="V3540" s="891">
        <f>I3540</f>
        <v>2255</v>
      </c>
      <c r="W3540" s="893" t="s">
        <v>107</v>
      </c>
      <c r="X3540" s="891">
        <f>V3540*S3540</f>
        <v>4718.5875000000005</v>
      </c>
      <c r="Y3540" s="891"/>
      <c r="AD3540" s="891">
        <f>AG3539</f>
        <v>1.62</v>
      </c>
      <c r="AE3540" s="892" t="s">
        <v>107</v>
      </c>
      <c r="AF3540" s="891" t="s">
        <v>3170</v>
      </c>
      <c r="AG3540" s="895">
        <f>I3524</f>
        <v>2255</v>
      </c>
      <c r="AH3540" s="892" t="s">
        <v>107</v>
      </c>
      <c r="AI3540" s="891">
        <f>AG3540*AD3540</f>
        <v>3653.1000000000004</v>
      </c>
    </row>
    <row r="3541" spans="6:35" ht="18">
      <c r="F3541" s="891">
        <f>I3539</f>
        <v>1.8225</v>
      </c>
      <c r="G3541" s="892" t="s">
        <v>107</v>
      </c>
      <c r="H3541" s="891" t="s">
        <v>3171</v>
      </c>
      <c r="I3541" s="895">
        <f>AG52</f>
        <v>256.91999999999996</v>
      </c>
      <c r="J3541" s="892" t="s">
        <v>107</v>
      </c>
      <c r="K3541" s="891">
        <f t="shared" ref="K3541:K3548" si="336">I3541*F3541</f>
        <v>468.23669999999993</v>
      </c>
      <c r="S3541" s="891">
        <f>V3539</f>
        <v>2.0925000000000002</v>
      </c>
      <c r="T3541" s="892" t="s">
        <v>107</v>
      </c>
      <c r="U3541" s="891" t="s">
        <v>3139</v>
      </c>
      <c r="V3541" s="891">
        <f t="shared" ref="V3541:V3549" si="337">I3541</f>
        <v>256.91999999999996</v>
      </c>
      <c r="W3541" s="893" t="s">
        <v>107</v>
      </c>
      <c r="X3541" s="891">
        <f t="shared" ref="X3541:X3548" si="338">V3541*S3541</f>
        <v>537.60509999999999</v>
      </c>
      <c r="Y3541" s="891"/>
      <c r="AD3541" s="891">
        <f>AG3539</f>
        <v>1.62</v>
      </c>
      <c r="AE3541" s="892" t="s">
        <v>107</v>
      </c>
      <c r="AF3541" s="891" t="s">
        <v>3172</v>
      </c>
      <c r="AG3541" s="895">
        <f>I3541</f>
        <v>256.91999999999996</v>
      </c>
      <c r="AH3541" s="892" t="s">
        <v>107</v>
      </c>
      <c r="AI3541" s="891">
        <f t="shared" ref="AI3541:AI3548" si="339">AG3541*AD3541</f>
        <v>416.21039999999994</v>
      </c>
    </row>
    <row r="3542" spans="6:35" ht="18">
      <c r="F3542" s="891">
        <v>2</v>
      </c>
      <c r="G3542" s="892" t="s">
        <v>223</v>
      </c>
      <c r="H3542" s="891" t="s">
        <v>3141</v>
      </c>
      <c r="I3542" s="891">
        <f t="shared" ref="I3542:I3548" si="340">I3526</f>
        <v>57.65</v>
      </c>
      <c r="J3542" s="892" t="s">
        <v>223</v>
      </c>
      <c r="K3542" s="891">
        <f t="shared" si="336"/>
        <v>115.3</v>
      </c>
      <c r="M3542" s="891"/>
      <c r="N3542" s="892"/>
      <c r="O3542" s="891" t="s">
        <v>3173</v>
      </c>
      <c r="P3542" s="891"/>
      <c r="Q3542" s="894"/>
      <c r="S3542" s="891">
        <v>2</v>
      </c>
      <c r="T3542" s="892" t="s">
        <v>223</v>
      </c>
      <c r="U3542" s="891" t="s">
        <v>3141</v>
      </c>
      <c r="V3542" s="891">
        <f t="shared" si="337"/>
        <v>57.65</v>
      </c>
      <c r="W3542" s="893" t="s">
        <v>223</v>
      </c>
      <c r="X3542" s="891">
        <f t="shared" si="338"/>
        <v>115.3</v>
      </c>
      <c r="Y3542" s="891"/>
      <c r="AD3542" s="891">
        <v>2</v>
      </c>
      <c r="AE3542" s="892" t="s">
        <v>223</v>
      </c>
      <c r="AF3542" s="891" t="s">
        <v>3141</v>
      </c>
      <c r="AG3542" s="895">
        <f t="shared" ref="AG3542:AG3549" si="341">I3542</f>
        <v>57.65</v>
      </c>
      <c r="AH3542" s="892" t="s">
        <v>223</v>
      </c>
      <c r="AI3542" s="891">
        <f t="shared" si="339"/>
        <v>115.3</v>
      </c>
    </row>
    <row r="3543" spans="6:35" ht="18">
      <c r="F3543" s="891">
        <v>3</v>
      </c>
      <c r="G3543" s="892" t="s">
        <v>223</v>
      </c>
      <c r="H3543" s="891" t="s">
        <v>3144</v>
      </c>
      <c r="I3543" s="891">
        <f t="shared" si="340"/>
        <v>89.6</v>
      </c>
      <c r="J3543" s="892" t="s">
        <v>223</v>
      </c>
      <c r="K3543" s="891">
        <f t="shared" si="336"/>
        <v>268.79999999999995</v>
      </c>
      <c r="N3543" s="358"/>
      <c r="O3543" s="897" t="s">
        <v>3174</v>
      </c>
      <c r="P3543" s="897">
        <f>1.1*2.325</f>
        <v>2.5575000000000006</v>
      </c>
      <c r="Q3543" s="360"/>
      <c r="S3543" s="891">
        <v>4</v>
      </c>
      <c r="T3543" s="892" t="s">
        <v>223</v>
      </c>
      <c r="U3543" s="891" t="s">
        <v>3144</v>
      </c>
      <c r="V3543" s="891">
        <f t="shared" si="337"/>
        <v>89.6</v>
      </c>
      <c r="W3543" s="893" t="s">
        <v>223</v>
      </c>
      <c r="X3543" s="891">
        <f t="shared" si="338"/>
        <v>358.4</v>
      </c>
      <c r="Y3543" s="891"/>
      <c r="AD3543" s="891">
        <v>3</v>
      </c>
      <c r="AE3543" s="892" t="s">
        <v>223</v>
      </c>
      <c r="AF3543" s="891" t="s">
        <v>3144</v>
      </c>
      <c r="AG3543" s="895">
        <f t="shared" si="341"/>
        <v>89.6</v>
      </c>
      <c r="AH3543" s="892" t="s">
        <v>223</v>
      </c>
      <c r="AI3543" s="891">
        <f t="shared" si="339"/>
        <v>268.79999999999995</v>
      </c>
    </row>
    <row r="3544" spans="6:35" ht="18">
      <c r="F3544" s="891">
        <v>2</v>
      </c>
      <c r="G3544" s="892" t="s">
        <v>223</v>
      </c>
      <c r="H3544" s="891" t="s">
        <v>3146</v>
      </c>
      <c r="I3544" s="891">
        <f t="shared" si="340"/>
        <v>64.8</v>
      </c>
      <c r="J3544" s="892" t="s">
        <v>223</v>
      </c>
      <c r="K3544" s="891">
        <f t="shared" si="336"/>
        <v>129.6</v>
      </c>
      <c r="M3544" s="891">
        <f>P3543</f>
        <v>2.5575000000000006</v>
      </c>
      <c r="N3544" s="892" t="s">
        <v>107</v>
      </c>
      <c r="O3544" s="891" t="s">
        <v>3138</v>
      </c>
      <c r="P3544" s="891">
        <f>I3540</f>
        <v>2255</v>
      </c>
      <c r="Q3544" s="892" t="s">
        <v>107</v>
      </c>
      <c r="R3544" s="891">
        <f>P3544*M3544</f>
        <v>5767.1625000000013</v>
      </c>
      <c r="S3544" s="891">
        <v>2</v>
      </c>
      <c r="T3544" s="892" t="s">
        <v>223</v>
      </c>
      <c r="U3544" s="891" t="s">
        <v>3146</v>
      </c>
      <c r="V3544" s="891">
        <f t="shared" si="337"/>
        <v>64.8</v>
      </c>
      <c r="W3544" s="893" t="s">
        <v>223</v>
      </c>
      <c r="X3544" s="891">
        <f t="shared" si="338"/>
        <v>129.6</v>
      </c>
      <c r="Y3544" s="891"/>
      <c r="AD3544" s="891">
        <v>2</v>
      </c>
      <c r="AE3544" s="892" t="s">
        <v>223</v>
      </c>
      <c r="AF3544" s="891" t="s">
        <v>3146</v>
      </c>
      <c r="AG3544" s="895">
        <f t="shared" si="341"/>
        <v>64.8</v>
      </c>
      <c r="AH3544" s="892" t="s">
        <v>223</v>
      </c>
      <c r="AI3544" s="891">
        <f t="shared" si="339"/>
        <v>129.6</v>
      </c>
    </row>
    <row r="3545" spans="6:35" ht="18">
      <c r="F3545" s="891">
        <v>1</v>
      </c>
      <c r="G3545" s="892" t="s">
        <v>223</v>
      </c>
      <c r="H3545" s="891" t="s">
        <v>3112</v>
      </c>
      <c r="I3545" s="891">
        <f t="shared" si="340"/>
        <v>181</v>
      </c>
      <c r="J3545" s="892" t="s">
        <v>223</v>
      </c>
      <c r="K3545" s="891">
        <f t="shared" si="336"/>
        <v>181</v>
      </c>
      <c r="M3545" s="891">
        <f>P3543</f>
        <v>2.5575000000000006</v>
      </c>
      <c r="N3545" s="892" t="s">
        <v>107</v>
      </c>
      <c r="O3545" s="891" t="s">
        <v>3175</v>
      </c>
      <c r="P3545" s="891">
        <f t="shared" ref="P3545:P3553" si="342">I3541</f>
        <v>256.91999999999996</v>
      </c>
      <c r="Q3545" s="892" t="s">
        <v>107</v>
      </c>
      <c r="R3545" s="891">
        <f t="shared" ref="R3545:R3553" si="343">P3545*M3545</f>
        <v>657.0729</v>
      </c>
      <c r="S3545" s="891">
        <v>1</v>
      </c>
      <c r="T3545" s="892" t="s">
        <v>223</v>
      </c>
      <c r="U3545" s="891" t="s">
        <v>3112</v>
      </c>
      <c r="V3545" s="891">
        <f t="shared" si="337"/>
        <v>181</v>
      </c>
      <c r="W3545" s="893" t="s">
        <v>223</v>
      </c>
      <c r="X3545" s="891">
        <f t="shared" si="338"/>
        <v>181</v>
      </c>
      <c r="Y3545" s="891"/>
      <c r="AD3545" s="891">
        <v>1</v>
      </c>
      <c r="AE3545" s="892" t="s">
        <v>223</v>
      </c>
      <c r="AF3545" s="891" t="s">
        <v>3112</v>
      </c>
      <c r="AG3545" s="895">
        <f t="shared" si="341"/>
        <v>181</v>
      </c>
      <c r="AH3545" s="892" t="s">
        <v>223</v>
      </c>
      <c r="AI3545" s="891">
        <f t="shared" si="339"/>
        <v>181</v>
      </c>
    </row>
    <row r="3546" spans="6:35" ht="18">
      <c r="F3546" s="891">
        <v>92</v>
      </c>
      <c r="G3546" s="892" t="s">
        <v>223</v>
      </c>
      <c r="H3546" s="891" t="s">
        <v>3150</v>
      </c>
      <c r="I3546" s="891">
        <f t="shared" si="340"/>
        <v>2.41</v>
      </c>
      <c r="J3546" s="892" t="s">
        <v>223</v>
      </c>
      <c r="K3546" s="891">
        <f t="shared" si="336"/>
        <v>221.72000000000003</v>
      </c>
      <c r="M3546" s="891">
        <f>F3542</f>
        <v>2</v>
      </c>
      <c r="N3546" s="892" t="s">
        <v>223</v>
      </c>
      <c r="O3546" s="891" t="s">
        <v>3141</v>
      </c>
      <c r="P3546" s="891">
        <f t="shared" si="342"/>
        <v>57.65</v>
      </c>
      <c r="Q3546" s="892" t="s">
        <v>223</v>
      </c>
      <c r="R3546" s="891">
        <f t="shared" si="343"/>
        <v>115.3</v>
      </c>
      <c r="S3546" s="891">
        <v>92</v>
      </c>
      <c r="T3546" s="892" t="s">
        <v>223</v>
      </c>
      <c r="U3546" s="891" t="s">
        <v>3150</v>
      </c>
      <c r="V3546" s="891">
        <f t="shared" si="337"/>
        <v>2.41</v>
      </c>
      <c r="W3546" s="893" t="s">
        <v>223</v>
      </c>
      <c r="X3546" s="891">
        <f t="shared" si="338"/>
        <v>221.72000000000003</v>
      </c>
      <c r="Y3546" s="891"/>
      <c r="AD3546" s="891">
        <v>92</v>
      </c>
      <c r="AE3546" s="892" t="s">
        <v>223</v>
      </c>
      <c r="AF3546" s="891" t="s">
        <v>3150</v>
      </c>
      <c r="AG3546" s="895">
        <f t="shared" si="341"/>
        <v>2.41</v>
      </c>
      <c r="AH3546" s="892" t="s">
        <v>223</v>
      </c>
      <c r="AI3546" s="891">
        <f t="shared" si="339"/>
        <v>221.72000000000003</v>
      </c>
    </row>
    <row r="3547" spans="6:35" ht="18">
      <c r="F3547" s="891">
        <v>1</v>
      </c>
      <c r="G3547" s="892" t="s">
        <v>223</v>
      </c>
      <c r="H3547" s="891" t="s">
        <v>3153</v>
      </c>
      <c r="I3547" s="891">
        <f t="shared" si="340"/>
        <v>23.1</v>
      </c>
      <c r="J3547" s="892" t="s">
        <v>223</v>
      </c>
      <c r="K3547" s="891">
        <f t="shared" si="336"/>
        <v>23.1</v>
      </c>
      <c r="M3547" s="891">
        <f t="shared" ref="M3547:M3552" si="344">F3543</f>
        <v>3</v>
      </c>
      <c r="N3547" s="892" t="s">
        <v>223</v>
      </c>
      <c r="O3547" s="891" t="s">
        <v>3144</v>
      </c>
      <c r="P3547" s="891">
        <f t="shared" si="342"/>
        <v>89.6</v>
      </c>
      <c r="Q3547" s="892" t="s">
        <v>223</v>
      </c>
      <c r="R3547" s="891">
        <f t="shared" si="343"/>
        <v>268.79999999999995</v>
      </c>
      <c r="S3547" s="891">
        <v>1</v>
      </c>
      <c r="T3547" s="892" t="s">
        <v>223</v>
      </c>
      <c r="U3547" s="891" t="s">
        <v>3153</v>
      </c>
      <c r="V3547" s="891">
        <f t="shared" si="337"/>
        <v>23.1</v>
      </c>
      <c r="W3547" s="893" t="s">
        <v>223</v>
      </c>
      <c r="X3547" s="891">
        <f t="shared" si="338"/>
        <v>23.1</v>
      </c>
      <c r="Y3547" s="891"/>
      <c r="AD3547" s="891">
        <v>1</v>
      </c>
      <c r="AE3547" s="892" t="s">
        <v>223</v>
      </c>
      <c r="AF3547" s="891" t="s">
        <v>3153</v>
      </c>
      <c r="AG3547" s="895">
        <f t="shared" si="341"/>
        <v>23.1</v>
      </c>
      <c r="AH3547" s="892" t="s">
        <v>223</v>
      </c>
      <c r="AI3547" s="891">
        <f t="shared" si="339"/>
        <v>23.1</v>
      </c>
    </row>
    <row r="3548" spans="6:35" ht="18">
      <c r="F3548" s="891">
        <v>1</v>
      </c>
      <c r="G3548" s="892" t="s">
        <v>223</v>
      </c>
      <c r="H3548" s="891" t="s">
        <v>3156</v>
      </c>
      <c r="I3548" s="891">
        <f t="shared" si="340"/>
        <v>49.55</v>
      </c>
      <c r="J3548" s="892" t="s">
        <v>223</v>
      </c>
      <c r="K3548" s="891">
        <f t="shared" si="336"/>
        <v>49.55</v>
      </c>
      <c r="M3548" s="891">
        <f t="shared" si="344"/>
        <v>2</v>
      </c>
      <c r="N3548" s="892" t="s">
        <v>223</v>
      </c>
      <c r="O3548" s="891" t="s">
        <v>3146</v>
      </c>
      <c r="P3548" s="891">
        <f t="shared" si="342"/>
        <v>64.8</v>
      </c>
      <c r="Q3548" s="892" t="s">
        <v>223</v>
      </c>
      <c r="R3548" s="891">
        <f t="shared" si="343"/>
        <v>129.6</v>
      </c>
      <c r="S3548" s="891">
        <v>1</v>
      </c>
      <c r="T3548" s="892" t="s">
        <v>223</v>
      </c>
      <c r="U3548" s="891" t="s">
        <v>3156</v>
      </c>
      <c r="V3548" s="891">
        <f t="shared" si="337"/>
        <v>49.55</v>
      </c>
      <c r="W3548" s="893" t="s">
        <v>223</v>
      </c>
      <c r="X3548" s="891">
        <f t="shared" si="338"/>
        <v>49.55</v>
      </c>
      <c r="Y3548" s="891"/>
      <c r="AD3548" s="891">
        <v>1</v>
      </c>
      <c r="AE3548" s="892" t="s">
        <v>223</v>
      </c>
      <c r="AF3548" s="891" t="s">
        <v>3156</v>
      </c>
      <c r="AG3548" s="895">
        <f t="shared" si="341"/>
        <v>49.55</v>
      </c>
      <c r="AH3548" s="892" t="s">
        <v>223</v>
      </c>
      <c r="AI3548" s="891">
        <f t="shared" si="339"/>
        <v>49.55</v>
      </c>
    </row>
    <row r="3549" spans="6:35" ht="18">
      <c r="F3549" s="898">
        <v>0.35</v>
      </c>
      <c r="G3549" s="899" t="s">
        <v>107</v>
      </c>
      <c r="H3549" s="895" t="s">
        <v>3159</v>
      </c>
      <c r="I3549" s="895">
        <f>K1542</f>
        <v>264.02549999999997</v>
      </c>
      <c r="J3549" s="899" t="s">
        <v>107</v>
      </c>
      <c r="K3549" s="895"/>
      <c r="M3549" s="891">
        <f t="shared" si="344"/>
        <v>1</v>
      </c>
      <c r="N3549" s="892" t="s">
        <v>223</v>
      </c>
      <c r="O3549" s="891" t="s">
        <v>3112</v>
      </c>
      <c r="P3549" s="891">
        <f t="shared" si="342"/>
        <v>181</v>
      </c>
      <c r="Q3549" s="892" t="s">
        <v>223</v>
      </c>
      <c r="R3549" s="891">
        <f t="shared" si="343"/>
        <v>181</v>
      </c>
      <c r="S3549" s="898">
        <v>0.39</v>
      </c>
      <c r="T3549" s="899" t="s">
        <v>107</v>
      </c>
      <c r="U3549" s="895" t="s">
        <v>3159</v>
      </c>
      <c r="V3549" s="891">
        <f t="shared" si="337"/>
        <v>264.02549999999997</v>
      </c>
      <c r="W3549" s="900" t="s">
        <v>107</v>
      </c>
      <c r="X3549" s="895"/>
      <c r="Y3549" s="895"/>
      <c r="AD3549" s="898">
        <v>0.35</v>
      </c>
      <c r="AE3549" s="899" t="s">
        <v>107</v>
      </c>
      <c r="AF3549" s="895" t="s">
        <v>3159</v>
      </c>
      <c r="AG3549" s="895">
        <f t="shared" si="341"/>
        <v>264.02549999999997</v>
      </c>
      <c r="AH3549" s="899" t="s">
        <v>107</v>
      </c>
      <c r="AI3549" s="891"/>
    </row>
    <row r="3550" spans="6:35" ht="18">
      <c r="F3550" s="891"/>
      <c r="G3550" s="892"/>
      <c r="H3550" s="891" t="s">
        <v>3176</v>
      </c>
      <c r="I3550" s="891"/>
      <c r="J3550" s="894"/>
      <c r="K3550" s="891">
        <f>SUM(K3540:K3549)</f>
        <v>5567.0442000000021</v>
      </c>
      <c r="M3550" s="891">
        <f t="shared" si="344"/>
        <v>92</v>
      </c>
      <c r="N3550" s="892" t="s">
        <v>223</v>
      </c>
      <c r="O3550" s="891" t="s">
        <v>3150</v>
      </c>
      <c r="P3550" s="891">
        <f t="shared" si="342"/>
        <v>2.41</v>
      </c>
      <c r="Q3550" s="892" t="s">
        <v>223</v>
      </c>
      <c r="R3550" s="891">
        <f t="shared" si="343"/>
        <v>221.72000000000003</v>
      </c>
      <c r="S3550" s="891"/>
      <c r="T3550" s="892"/>
      <c r="U3550" s="891" t="s">
        <v>3160</v>
      </c>
      <c r="V3550" s="891"/>
      <c r="W3550" s="893"/>
      <c r="X3550" s="891">
        <f>SUM(X3540:X3549)</f>
        <v>6334.8626000000013</v>
      </c>
      <c r="Y3550" s="891"/>
      <c r="AD3550" s="891"/>
      <c r="AE3550" s="892"/>
      <c r="AF3550" s="891" t="s">
        <v>3177</v>
      </c>
      <c r="AG3550" s="891"/>
      <c r="AH3550" s="894"/>
      <c r="AI3550" s="891">
        <f>SUM(AI3540:AI3549)</f>
        <v>5058.3804000000018</v>
      </c>
    </row>
    <row r="3551" spans="6:35" ht="18">
      <c r="F3551" s="891"/>
      <c r="G3551" s="892"/>
      <c r="H3551" s="891" t="s">
        <v>2671</v>
      </c>
      <c r="I3551" s="891"/>
      <c r="J3551" s="894"/>
      <c r="K3551" s="891">
        <f>K3550/F3541</f>
        <v>3054.6195884773674</v>
      </c>
      <c r="M3551" s="891">
        <f t="shared" si="344"/>
        <v>1</v>
      </c>
      <c r="N3551" s="892" t="s">
        <v>223</v>
      </c>
      <c r="O3551" s="891" t="s">
        <v>3153</v>
      </c>
      <c r="P3551" s="891">
        <f t="shared" si="342"/>
        <v>23.1</v>
      </c>
      <c r="Q3551" s="892" t="s">
        <v>223</v>
      </c>
      <c r="R3551" s="891">
        <f t="shared" si="343"/>
        <v>23.1</v>
      </c>
      <c r="S3551" s="891"/>
      <c r="T3551" s="892"/>
      <c r="U3551" s="891" t="s">
        <v>2671</v>
      </c>
      <c r="V3551" s="891"/>
      <c r="W3551" s="893"/>
      <c r="X3551" s="891">
        <f>X3550/S3541</f>
        <v>3027.4134289127842</v>
      </c>
      <c r="Y3551" s="891"/>
      <c r="AD3551" s="891"/>
      <c r="AE3551" s="892"/>
      <c r="AF3551" s="891" t="s">
        <v>2671</v>
      </c>
      <c r="AG3551" s="891"/>
      <c r="AH3551" s="894"/>
      <c r="AI3551" s="891">
        <f>AI3550/AD3541</f>
        <v>3122.4570370370379</v>
      </c>
    </row>
    <row r="3552" spans="6:35" ht="18">
      <c r="M3552" s="891">
        <f t="shared" si="344"/>
        <v>1</v>
      </c>
      <c r="N3552" s="892" t="s">
        <v>223</v>
      </c>
      <c r="O3552" s="891" t="s">
        <v>3156</v>
      </c>
      <c r="P3552" s="891">
        <f t="shared" si="342"/>
        <v>49.55</v>
      </c>
      <c r="Q3552" s="892" t="s">
        <v>223</v>
      </c>
      <c r="R3552" s="891">
        <f t="shared" si="343"/>
        <v>49.55</v>
      </c>
      <c r="W3552" s="361"/>
      <c r="AE3552" s="358"/>
      <c r="AH3552" s="360"/>
    </row>
    <row r="3553" spans="6:35" ht="18">
      <c r="M3553" s="901"/>
      <c r="N3553" s="892" t="s">
        <v>107</v>
      </c>
      <c r="O3553" s="891" t="s">
        <v>3162</v>
      </c>
      <c r="P3553" s="891">
        <f t="shared" si="342"/>
        <v>264.02549999999997</v>
      </c>
      <c r="Q3553" s="892" t="s">
        <v>107</v>
      </c>
      <c r="R3553" s="891">
        <f t="shared" si="343"/>
        <v>0</v>
      </c>
      <c r="W3553" s="361"/>
    </row>
    <row r="3554" spans="6:35" ht="18">
      <c r="F3554" s="412"/>
      <c r="G3554" s="368" t="s">
        <v>122</v>
      </c>
      <c r="H3554" s="356" t="s">
        <v>2391</v>
      </c>
      <c r="M3554" s="891"/>
      <c r="N3554" s="892"/>
      <c r="O3554" s="891" t="s">
        <v>3163</v>
      </c>
      <c r="P3554" s="891"/>
      <c r="Q3554" s="894"/>
      <c r="R3554" s="891">
        <f>SUM(R3544:R3553)</f>
        <v>7413.3054000000029</v>
      </c>
      <c r="S3554" s="891"/>
      <c r="T3554" s="892"/>
      <c r="U3554" s="891" t="s">
        <v>3178</v>
      </c>
      <c r="V3554" s="891"/>
      <c r="W3554" s="893"/>
      <c r="AD3554" s="891"/>
      <c r="AE3554" s="892"/>
      <c r="AF3554" s="891" t="s">
        <v>3179</v>
      </c>
      <c r="AG3554" s="891"/>
      <c r="AH3554" s="894"/>
    </row>
    <row r="3555" spans="6:35" ht="18">
      <c r="H3555" s="359" t="s">
        <v>3180</v>
      </c>
      <c r="M3555" s="891"/>
      <c r="N3555" s="892"/>
      <c r="O3555" s="891" t="s">
        <v>2671</v>
      </c>
      <c r="P3555" s="891"/>
      <c r="Q3555" s="894"/>
      <c r="R3555" s="891">
        <f>R3554/M3545</f>
        <v>2898.6531378299123</v>
      </c>
      <c r="S3555" s="35"/>
      <c r="T3555" s="358"/>
      <c r="U3555" s="891" t="s">
        <v>3181</v>
      </c>
      <c r="V3555" s="35">
        <f>1.4*2.025</f>
        <v>2.8349999999999995</v>
      </c>
      <c r="W3555" s="361"/>
      <c r="AE3555" s="358"/>
      <c r="AF3555" s="891" t="s">
        <v>3182</v>
      </c>
      <c r="AG3555" s="35">
        <f>0.8*2.325</f>
        <v>1.8600000000000003</v>
      </c>
      <c r="AH3555" s="360"/>
    </row>
    <row r="3556" spans="6:35" ht="18">
      <c r="H3556" s="356" t="s">
        <v>2393</v>
      </c>
      <c r="N3556" s="358"/>
      <c r="Q3556" s="360"/>
      <c r="S3556" s="891">
        <f>V3555</f>
        <v>2.8349999999999995</v>
      </c>
      <c r="T3556" s="892" t="s">
        <v>107</v>
      </c>
      <c r="U3556" s="891" t="s">
        <v>3138</v>
      </c>
      <c r="V3556" s="891">
        <f>P3528</f>
        <v>2255</v>
      </c>
      <c r="W3556" s="893" t="s">
        <v>107</v>
      </c>
      <c r="X3556" s="891">
        <f>V3556*S3556</f>
        <v>6392.9249999999993</v>
      </c>
      <c r="Y3556" s="891"/>
      <c r="AD3556" s="891">
        <f>AG3555</f>
        <v>1.8600000000000003</v>
      </c>
      <c r="AE3556" s="892" t="s">
        <v>107</v>
      </c>
      <c r="AF3556" s="891" t="s">
        <v>3138</v>
      </c>
      <c r="AG3556" s="891">
        <f>AG3540</f>
        <v>2255</v>
      </c>
      <c r="AH3556" s="892" t="s">
        <v>107</v>
      </c>
      <c r="AI3556" s="891">
        <f>AG3556*AD3556</f>
        <v>4194.3000000000011</v>
      </c>
    </row>
    <row r="3557" spans="6:35" ht="18">
      <c r="H3557" s="356" t="s">
        <v>2394</v>
      </c>
      <c r="M3557" s="412"/>
      <c r="N3557" s="368" t="s">
        <v>122</v>
      </c>
      <c r="O3557" s="356" t="s">
        <v>2391</v>
      </c>
      <c r="Q3557" s="360"/>
      <c r="S3557" s="891">
        <f>V3555</f>
        <v>2.8349999999999995</v>
      </c>
      <c r="T3557" s="892" t="s">
        <v>107</v>
      </c>
      <c r="U3557" s="891" t="s">
        <v>3139</v>
      </c>
      <c r="V3557" s="891">
        <f>P3529</f>
        <v>396.23999999999995</v>
      </c>
      <c r="W3557" s="893" t="s">
        <v>107</v>
      </c>
      <c r="X3557" s="891">
        <f t="shared" ref="X3557:X3564" si="345">V3557*S3557</f>
        <v>1123.3403999999996</v>
      </c>
      <c r="Y3557" s="891"/>
      <c r="AD3557" s="891">
        <f>AG3555</f>
        <v>1.8600000000000003</v>
      </c>
      <c r="AE3557" s="892" t="s">
        <v>107</v>
      </c>
      <c r="AF3557" s="891" t="s">
        <v>3139</v>
      </c>
      <c r="AG3557" s="891">
        <f t="shared" ref="AG3557:AG3565" si="346">AG3541</f>
        <v>256.91999999999996</v>
      </c>
      <c r="AH3557" s="892" t="s">
        <v>107</v>
      </c>
      <c r="AI3557" s="891">
        <f t="shared" ref="AI3557:AI3564" si="347">AG3557*AD3557</f>
        <v>477.87119999999999</v>
      </c>
    </row>
    <row r="3558" spans="6:35" ht="18">
      <c r="H3558" s="363" t="s">
        <v>117</v>
      </c>
      <c r="N3558" s="358"/>
      <c r="O3558" s="359" t="s">
        <v>3180</v>
      </c>
      <c r="Q3558" s="360"/>
      <c r="S3558" s="891">
        <v>4</v>
      </c>
      <c r="T3558" s="892" t="s">
        <v>223</v>
      </c>
      <c r="U3558" s="891" t="s">
        <v>3141</v>
      </c>
      <c r="V3558" s="891">
        <f t="shared" ref="V3558:V3565" si="348">V3542</f>
        <v>57.65</v>
      </c>
      <c r="W3558" s="893" t="s">
        <v>223</v>
      </c>
      <c r="X3558" s="891">
        <f t="shared" si="345"/>
        <v>230.6</v>
      </c>
      <c r="Y3558" s="891"/>
      <c r="AD3558" s="891">
        <v>2</v>
      </c>
      <c r="AE3558" s="892" t="s">
        <v>223</v>
      </c>
      <c r="AF3558" s="891" t="s">
        <v>3141</v>
      </c>
      <c r="AG3558" s="891">
        <f t="shared" si="346"/>
        <v>57.65</v>
      </c>
      <c r="AH3558" s="892" t="s">
        <v>223</v>
      </c>
      <c r="AI3558" s="891">
        <f t="shared" si="347"/>
        <v>115.3</v>
      </c>
    </row>
    <row r="3559" spans="6:35" ht="60">
      <c r="F3559" s="640">
        <v>1</v>
      </c>
      <c r="G3559" s="640" t="s">
        <v>151</v>
      </c>
      <c r="H3559" s="440" t="s">
        <v>3183</v>
      </c>
      <c r="I3559" s="641">
        <v>1672</v>
      </c>
      <c r="J3559" s="642" t="s">
        <v>151</v>
      </c>
      <c r="K3559" s="640">
        <f>(F3559*I3559)</f>
        <v>1672</v>
      </c>
      <c r="N3559" s="358"/>
      <c r="O3559" s="356" t="s">
        <v>2393</v>
      </c>
      <c r="Q3559" s="360"/>
      <c r="S3559" s="891">
        <v>6</v>
      </c>
      <c r="T3559" s="892" t="s">
        <v>223</v>
      </c>
      <c r="U3559" s="891" t="s">
        <v>3144</v>
      </c>
      <c r="V3559" s="891">
        <f t="shared" si="348"/>
        <v>89.6</v>
      </c>
      <c r="W3559" s="893" t="s">
        <v>223</v>
      </c>
      <c r="X3559" s="891">
        <f t="shared" si="345"/>
        <v>537.59999999999991</v>
      </c>
      <c r="Y3559" s="891"/>
      <c r="AD3559" s="891">
        <v>4</v>
      </c>
      <c r="AE3559" s="892" t="s">
        <v>223</v>
      </c>
      <c r="AF3559" s="891" t="s">
        <v>3144</v>
      </c>
      <c r="AG3559" s="891">
        <f t="shared" si="346"/>
        <v>89.6</v>
      </c>
      <c r="AH3559" s="892" t="s">
        <v>223</v>
      </c>
      <c r="AI3559" s="891">
        <f t="shared" si="347"/>
        <v>358.4</v>
      </c>
    </row>
    <row r="3560" spans="6:35" ht="18">
      <c r="F3560" s="370"/>
      <c r="G3560" s="368"/>
      <c r="H3560" s="643"/>
      <c r="I3560" s="370"/>
      <c r="J3560" s="356"/>
      <c r="K3560" s="370"/>
      <c r="N3560" s="358"/>
      <c r="O3560" s="356" t="s">
        <v>2394</v>
      </c>
      <c r="Q3560" s="360"/>
      <c r="S3560" s="891">
        <v>4</v>
      </c>
      <c r="T3560" s="892" t="s">
        <v>223</v>
      </c>
      <c r="U3560" s="891" t="s">
        <v>3146</v>
      </c>
      <c r="V3560" s="891">
        <f t="shared" si="348"/>
        <v>64.8</v>
      </c>
      <c r="W3560" s="893" t="s">
        <v>223</v>
      </c>
      <c r="X3560" s="891">
        <f t="shared" si="345"/>
        <v>259.2</v>
      </c>
      <c r="Y3560" s="891"/>
      <c r="AD3560" s="891">
        <v>2</v>
      </c>
      <c r="AE3560" s="892" t="s">
        <v>223</v>
      </c>
      <c r="AF3560" s="891" t="s">
        <v>3146</v>
      </c>
      <c r="AG3560" s="891">
        <f t="shared" si="346"/>
        <v>64.8</v>
      </c>
      <c r="AH3560" s="892" t="s">
        <v>223</v>
      </c>
      <c r="AI3560" s="891">
        <f t="shared" si="347"/>
        <v>129.6</v>
      </c>
    </row>
    <row r="3561" spans="6:35" ht="18">
      <c r="F3561" s="370"/>
      <c r="G3561" s="368"/>
      <c r="H3561" s="643"/>
      <c r="I3561" s="370"/>
      <c r="J3561" s="357"/>
      <c r="K3561" s="370"/>
      <c r="N3561" s="358"/>
      <c r="O3561" s="363" t="s">
        <v>117</v>
      </c>
      <c r="Q3561" s="360"/>
      <c r="S3561" s="891">
        <v>1</v>
      </c>
      <c r="T3561" s="892" t="s">
        <v>223</v>
      </c>
      <c r="U3561" s="891" t="s">
        <v>3112</v>
      </c>
      <c r="V3561" s="891">
        <f t="shared" si="348"/>
        <v>181</v>
      </c>
      <c r="W3561" s="893" t="s">
        <v>223</v>
      </c>
      <c r="X3561" s="891">
        <f t="shared" si="345"/>
        <v>181</v>
      </c>
      <c r="Y3561" s="891"/>
      <c r="AD3561" s="891">
        <v>1</v>
      </c>
      <c r="AE3561" s="892" t="s">
        <v>223</v>
      </c>
      <c r="AF3561" s="891" t="s">
        <v>3112</v>
      </c>
      <c r="AG3561" s="891">
        <f t="shared" si="346"/>
        <v>181</v>
      </c>
      <c r="AH3561" s="892" t="s">
        <v>223</v>
      </c>
      <c r="AI3561" s="891">
        <f t="shared" si="347"/>
        <v>181</v>
      </c>
    </row>
    <row r="3562" spans="6:35" ht="60">
      <c r="F3562" s="644">
        <v>1</v>
      </c>
      <c r="G3562" s="644" t="s">
        <v>151</v>
      </c>
      <c r="H3562" s="643" t="s">
        <v>3184</v>
      </c>
      <c r="I3562" s="680">
        <f>I1941</f>
        <v>-169</v>
      </c>
      <c r="J3562" s="643" t="s">
        <v>151</v>
      </c>
      <c r="K3562" s="644">
        <f>(F3562*I3562)</f>
        <v>-169</v>
      </c>
      <c r="M3562" s="640">
        <v>1</v>
      </c>
      <c r="N3562" s="640" t="s">
        <v>151</v>
      </c>
      <c r="O3562" s="440" t="s">
        <v>3183</v>
      </c>
      <c r="P3562" s="641">
        <v>1672</v>
      </c>
      <c r="Q3562" s="642" t="s">
        <v>151</v>
      </c>
      <c r="R3562" s="640">
        <f>(M3562*P3562)</f>
        <v>1672</v>
      </c>
      <c r="S3562" s="891">
        <v>118</v>
      </c>
      <c r="T3562" s="892" t="s">
        <v>223</v>
      </c>
      <c r="U3562" s="891" t="s">
        <v>3150</v>
      </c>
      <c r="V3562" s="891">
        <f t="shared" si="348"/>
        <v>2.41</v>
      </c>
      <c r="W3562" s="893" t="s">
        <v>223</v>
      </c>
      <c r="X3562" s="891">
        <f t="shared" si="345"/>
        <v>284.38</v>
      </c>
      <c r="Y3562" s="891"/>
      <c r="AD3562" s="891">
        <v>92</v>
      </c>
      <c r="AE3562" s="892" t="s">
        <v>223</v>
      </c>
      <c r="AF3562" s="891" t="s">
        <v>3150</v>
      </c>
      <c r="AG3562" s="891">
        <f t="shared" si="346"/>
        <v>2.41</v>
      </c>
      <c r="AH3562" s="892" t="s">
        <v>223</v>
      </c>
      <c r="AI3562" s="891">
        <f t="shared" si="347"/>
        <v>221.72000000000003</v>
      </c>
    </row>
    <row r="3563" spans="6:35" ht="18">
      <c r="F3563" s="443"/>
      <c r="G3563" s="646"/>
      <c r="H3563" s="643"/>
      <c r="I3563" s="443"/>
      <c r="J3563" s="458"/>
      <c r="K3563" s="443"/>
      <c r="M3563" s="370"/>
      <c r="N3563" s="368"/>
      <c r="O3563" s="643"/>
      <c r="P3563" s="370"/>
      <c r="Q3563" s="356"/>
      <c r="R3563" s="370"/>
      <c r="S3563" s="891">
        <v>2</v>
      </c>
      <c r="T3563" s="892" t="s">
        <v>223</v>
      </c>
      <c r="U3563" s="891" t="s">
        <v>3153</v>
      </c>
      <c r="V3563" s="891">
        <f t="shared" si="348"/>
        <v>23.1</v>
      </c>
      <c r="W3563" s="893" t="s">
        <v>223</v>
      </c>
      <c r="X3563" s="891">
        <f t="shared" si="345"/>
        <v>46.2</v>
      </c>
      <c r="Y3563" s="891"/>
      <c r="AD3563" s="891">
        <v>1</v>
      </c>
      <c r="AE3563" s="892" t="s">
        <v>223</v>
      </c>
      <c r="AF3563" s="891" t="s">
        <v>3153</v>
      </c>
      <c r="AG3563" s="891">
        <f t="shared" si="346"/>
        <v>23.1</v>
      </c>
      <c r="AH3563" s="892" t="s">
        <v>223</v>
      </c>
      <c r="AI3563" s="891">
        <f t="shared" si="347"/>
        <v>23.1</v>
      </c>
    </row>
    <row r="3564" spans="6:35" ht="18">
      <c r="F3564" s="443">
        <v>1</v>
      </c>
      <c r="G3564" s="646" t="s">
        <v>151</v>
      </c>
      <c r="H3564" s="643" t="s">
        <v>2397</v>
      </c>
      <c r="I3564" s="902">
        <v>250</v>
      </c>
      <c r="J3564" s="643" t="s">
        <v>151</v>
      </c>
      <c r="K3564" s="903">
        <f>(F3564*I3564)</f>
        <v>250</v>
      </c>
      <c r="M3564" s="370"/>
      <c r="N3564" s="368"/>
      <c r="O3564" s="643"/>
      <c r="P3564" s="370"/>
      <c r="Q3564" s="357"/>
      <c r="R3564" s="370"/>
      <c r="S3564" s="891">
        <v>2</v>
      </c>
      <c r="T3564" s="892" t="s">
        <v>223</v>
      </c>
      <c r="U3564" s="891" t="s">
        <v>3156</v>
      </c>
      <c r="V3564" s="891">
        <f t="shared" si="348"/>
        <v>49.55</v>
      </c>
      <c r="W3564" s="893" t="s">
        <v>223</v>
      </c>
      <c r="X3564" s="891">
        <f t="shared" si="345"/>
        <v>99.1</v>
      </c>
      <c r="Y3564" s="891"/>
      <c r="AD3564" s="891">
        <v>1</v>
      </c>
      <c r="AE3564" s="892" t="s">
        <v>223</v>
      </c>
      <c r="AF3564" s="891" t="s">
        <v>3156</v>
      </c>
      <c r="AG3564" s="891">
        <f t="shared" si="346"/>
        <v>49.55</v>
      </c>
      <c r="AH3564" s="892" t="s">
        <v>223</v>
      </c>
      <c r="AI3564" s="891">
        <f t="shared" si="347"/>
        <v>49.55</v>
      </c>
    </row>
    <row r="3565" spans="6:35" ht="18">
      <c r="F3565" s="370"/>
      <c r="G3565" s="368"/>
      <c r="H3565" s="356"/>
      <c r="I3565" s="370"/>
      <c r="J3565" s="356"/>
      <c r="K3565" s="370"/>
      <c r="M3565" s="644">
        <v>1</v>
      </c>
      <c r="N3565" s="644" t="s">
        <v>151</v>
      </c>
      <c r="O3565" s="643" t="s">
        <v>3184</v>
      </c>
      <c r="P3565" s="680">
        <f>I3562</f>
        <v>-169</v>
      </c>
      <c r="Q3565" s="643" t="s">
        <v>151</v>
      </c>
      <c r="R3565" s="644">
        <f>(M3565*P3565)</f>
        <v>-169</v>
      </c>
      <c r="S3565" s="898">
        <v>0.65</v>
      </c>
      <c r="T3565" s="899" t="s">
        <v>107</v>
      </c>
      <c r="U3565" s="895" t="s">
        <v>3159</v>
      </c>
      <c r="V3565" s="891">
        <f t="shared" si="348"/>
        <v>264.02549999999997</v>
      </c>
      <c r="W3565" s="900" t="s">
        <v>107</v>
      </c>
      <c r="X3565" s="895"/>
      <c r="Y3565" s="895"/>
      <c r="AD3565" s="898">
        <v>0.39</v>
      </c>
      <c r="AE3565" s="899" t="s">
        <v>107</v>
      </c>
      <c r="AF3565" s="895" t="s">
        <v>3159</v>
      </c>
      <c r="AG3565" s="891">
        <f t="shared" si="346"/>
        <v>264.02549999999997</v>
      </c>
      <c r="AH3565" s="899" t="s">
        <v>107</v>
      </c>
      <c r="AI3565" s="895"/>
    </row>
    <row r="3566" spans="6:35" ht="18">
      <c r="F3566" s="370">
        <v>0.5</v>
      </c>
      <c r="G3566" s="368" t="s">
        <v>151</v>
      </c>
      <c r="H3566" s="356" t="s">
        <v>187</v>
      </c>
      <c r="I3566" s="370">
        <f>I1945</f>
        <v>1039.2</v>
      </c>
      <c r="J3566" s="356" t="s">
        <v>151</v>
      </c>
      <c r="K3566" s="370">
        <f>(F3566*I3566)</f>
        <v>519.6</v>
      </c>
      <c r="M3566" s="443"/>
      <c r="N3566" s="646"/>
      <c r="O3566" s="643"/>
      <c r="P3566" s="443"/>
      <c r="Q3566" s="458"/>
      <c r="R3566" s="443"/>
      <c r="S3566" s="891"/>
      <c r="T3566" s="892"/>
      <c r="U3566" s="891" t="s">
        <v>3185</v>
      </c>
      <c r="V3566" s="891"/>
      <c r="W3566" s="893"/>
      <c r="X3566" s="891">
        <f>SUM(X3556:X3565)</f>
        <v>9154.3454000000002</v>
      </c>
      <c r="Y3566" s="891"/>
      <c r="AD3566" s="891"/>
      <c r="AE3566" s="892"/>
      <c r="AF3566" s="891" t="s">
        <v>3186</v>
      </c>
      <c r="AG3566" s="891"/>
      <c r="AH3566" s="894"/>
      <c r="AI3566" s="891">
        <f>SUM(AI3556:AI3565)</f>
        <v>5750.8412000000017</v>
      </c>
    </row>
    <row r="3567" spans="6:35" ht="18">
      <c r="F3567" s="370">
        <v>1</v>
      </c>
      <c r="G3567" s="368" t="s">
        <v>151</v>
      </c>
      <c r="H3567" s="356" t="s">
        <v>153</v>
      </c>
      <c r="I3567" s="370">
        <f>I1946</f>
        <v>781.19999999999993</v>
      </c>
      <c r="J3567" s="356" t="s">
        <v>151</v>
      </c>
      <c r="K3567" s="370">
        <f>(F3567*I3567)</f>
        <v>781.19999999999993</v>
      </c>
      <c r="M3567" s="443">
        <v>1</v>
      </c>
      <c r="N3567" s="646" t="s">
        <v>151</v>
      </c>
      <c r="O3567" s="643" t="s">
        <v>2397</v>
      </c>
      <c r="P3567" s="902">
        <v>250</v>
      </c>
      <c r="Q3567" s="643" t="s">
        <v>151</v>
      </c>
      <c r="R3567" s="903">
        <f>(M3567*P3567)</f>
        <v>250</v>
      </c>
      <c r="S3567" s="891"/>
      <c r="T3567" s="892"/>
      <c r="U3567" s="891" t="s">
        <v>2671</v>
      </c>
      <c r="V3567" s="891"/>
      <c r="W3567" s="893"/>
      <c r="X3567" s="891">
        <f>X3566/S3557</f>
        <v>3229.0459964726638</v>
      </c>
      <c r="Y3567" s="891"/>
      <c r="AD3567" s="891"/>
      <c r="AE3567" s="892"/>
      <c r="AF3567" s="891" t="s">
        <v>2671</v>
      </c>
      <c r="AG3567" s="891"/>
      <c r="AH3567" s="894"/>
      <c r="AI3567" s="891">
        <f>AI3566/AD3557</f>
        <v>3091.8501075268819</v>
      </c>
    </row>
    <row r="3568" spans="6:35" ht="15">
      <c r="F3568" s="370">
        <v>0.5</v>
      </c>
      <c r="G3568" s="368" t="s">
        <v>151</v>
      </c>
      <c r="H3568" s="356" t="s">
        <v>162</v>
      </c>
      <c r="I3568" s="370">
        <f>I1947</f>
        <v>1198.8</v>
      </c>
      <c r="J3568" s="356" t="s">
        <v>151</v>
      </c>
      <c r="K3568" s="370">
        <f>(F3568*I3568)</f>
        <v>599.4</v>
      </c>
      <c r="M3568" s="370"/>
      <c r="N3568" s="368"/>
      <c r="O3568" s="356"/>
      <c r="P3568" s="370"/>
      <c r="Q3568" s="356"/>
      <c r="R3568" s="370"/>
      <c r="W3568" s="361"/>
    </row>
    <row r="3569" spans="1:121" ht="15">
      <c r="G3569" s="368" t="s">
        <v>128</v>
      </c>
      <c r="H3569" s="356" t="s">
        <v>2398</v>
      </c>
      <c r="J3569" s="356" t="s">
        <v>128</v>
      </c>
      <c r="K3569" s="370">
        <v>0.82</v>
      </c>
      <c r="M3569" s="370">
        <v>0.5</v>
      </c>
      <c r="N3569" s="368" t="s">
        <v>151</v>
      </c>
      <c r="O3569" s="356" t="s">
        <v>187</v>
      </c>
      <c r="P3569" s="370">
        <f>I3566</f>
        <v>1039.2</v>
      </c>
      <c r="Q3569" s="356" t="s">
        <v>151</v>
      </c>
      <c r="R3569" s="370">
        <f>(M3569*P3569)</f>
        <v>519.6</v>
      </c>
      <c r="W3569" s="361"/>
    </row>
    <row r="3570" spans="1:121" ht="18">
      <c r="K3570" s="363" t="s">
        <v>117</v>
      </c>
      <c r="M3570" s="370">
        <v>1</v>
      </c>
      <c r="N3570" s="368" t="s">
        <v>151</v>
      </c>
      <c r="O3570" s="356" t="s">
        <v>153</v>
      </c>
      <c r="P3570" s="370">
        <f>I3567</f>
        <v>781.19999999999993</v>
      </c>
      <c r="Q3570" s="356" t="s">
        <v>151</v>
      </c>
      <c r="R3570" s="370">
        <f>(M3570*P3570)</f>
        <v>781.19999999999993</v>
      </c>
      <c r="S3570" s="891"/>
      <c r="T3570" s="892"/>
      <c r="U3570" s="891" t="s">
        <v>3187</v>
      </c>
      <c r="V3570" s="891"/>
      <c r="W3570" s="893"/>
    </row>
    <row r="3571" spans="1:121" ht="18">
      <c r="H3571" s="356" t="s">
        <v>188</v>
      </c>
      <c r="K3571" s="369">
        <f>SUM(K3559:K3569)</f>
        <v>3654.02</v>
      </c>
      <c r="M3571" s="370">
        <v>0.5</v>
      </c>
      <c r="N3571" s="368" t="s">
        <v>151</v>
      </c>
      <c r="O3571" s="356" t="s">
        <v>162</v>
      </c>
      <c r="P3571" s="370">
        <f>I3568</f>
        <v>1198.8</v>
      </c>
      <c r="Q3571" s="356" t="s">
        <v>151</v>
      </c>
      <c r="R3571" s="370">
        <f>(M3571*P3571)</f>
        <v>599.4</v>
      </c>
      <c r="S3571" s="35"/>
      <c r="T3571" s="358"/>
      <c r="U3571" s="891" t="s">
        <v>3188</v>
      </c>
      <c r="V3571" s="35">
        <f>1.4*2.325</f>
        <v>3.2549999999999999</v>
      </c>
      <c r="W3571" s="361"/>
    </row>
    <row r="3572" spans="1:121" ht="18">
      <c r="K3572" s="363" t="s">
        <v>117</v>
      </c>
      <c r="N3572" s="368" t="s">
        <v>128</v>
      </c>
      <c r="O3572" s="356" t="s">
        <v>2398</v>
      </c>
      <c r="Q3572" s="356" t="s">
        <v>128</v>
      </c>
      <c r="R3572" s="370">
        <v>0.82</v>
      </c>
      <c r="S3572" s="891">
        <f>V3571</f>
        <v>3.2549999999999999</v>
      </c>
      <c r="T3572" s="892" t="s">
        <v>107</v>
      </c>
      <c r="U3572" s="891" t="s">
        <v>3138</v>
      </c>
      <c r="V3572" s="891">
        <f>V3556</f>
        <v>2255</v>
      </c>
      <c r="W3572" s="893" t="s">
        <v>107</v>
      </c>
      <c r="X3572" s="891">
        <f>V3572*S3572</f>
        <v>7340.0249999999996</v>
      </c>
      <c r="Y3572" s="891"/>
    </row>
    <row r="3573" spans="1:121" ht="18">
      <c r="G3573" s="35"/>
      <c r="I3573" s="36"/>
      <c r="J3573" s="35"/>
      <c r="N3573" s="358"/>
      <c r="Q3573" s="360"/>
      <c r="R3573" s="363" t="s">
        <v>117</v>
      </c>
      <c r="S3573" s="891">
        <f>V3571</f>
        <v>3.2549999999999999</v>
      </c>
      <c r="T3573" s="892" t="s">
        <v>107</v>
      </c>
      <c r="U3573" s="891" t="s">
        <v>3139</v>
      </c>
      <c r="V3573" s="891">
        <f t="shared" ref="V3573:V3581" si="349">V3557</f>
        <v>396.23999999999995</v>
      </c>
      <c r="W3573" s="893" t="s">
        <v>107</v>
      </c>
      <c r="X3573" s="891">
        <f t="shared" ref="X3573:X3580" si="350">V3573*S3573</f>
        <v>1289.7611999999997</v>
      </c>
      <c r="Y3573" s="891"/>
    </row>
    <row r="3574" spans="1:121" ht="18">
      <c r="G3574" s="35"/>
      <c r="H3574" s="904" t="s">
        <v>3189</v>
      </c>
      <c r="I3574" s="36"/>
      <c r="J3574" s="35"/>
      <c r="N3574" s="358"/>
      <c r="O3574" s="356" t="s">
        <v>188</v>
      </c>
      <c r="Q3574" s="360"/>
      <c r="R3574" s="369">
        <f>SUM(R3562:R3572)</f>
        <v>3654.02</v>
      </c>
      <c r="S3574" s="891">
        <v>4</v>
      </c>
      <c r="T3574" s="892" t="s">
        <v>223</v>
      </c>
      <c r="U3574" s="891" t="s">
        <v>3141</v>
      </c>
      <c r="V3574" s="891">
        <f t="shared" si="349"/>
        <v>57.65</v>
      </c>
      <c r="W3574" s="893" t="s">
        <v>223</v>
      </c>
      <c r="X3574" s="891">
        <f t="shared" si="350"/>
        <v>230.6</v>
      </c>
      <c r="Y3574" s="891"/>
    </row>
    <row r="3575" spans="1:121" ht="18">
      <c r="F3575" s="35">
        <v>70</v>
      </c>
      <c r="G3575" s="358" t="s">
        <v>31</v>
      </c>
      <c r="H3575" s="495" t="s">
        <v>3190</v>
      </c>
      <c r="I3575" s="404">
        <f>P1355</f>
        <v>33</v>
      </c>
      <c r="J3575" s="360" t="s">
        <v>291</v>
      </c>
      <c r="K3575" s="35">
        <f>I3575*F3575</f>
        <v>2310</v>
      </c>
      <c r="N3575" s="358"/>
      <c r="Q3575" s="360"/>
      <c r="R3575" s="363" t="s">
        <v>117</v>
      </c>
      <c r="S3575" s="891">
        <v>6</v>
      </c>
      <c r="T3575" s="892" t="s">
        <v>223</v>
      </c>
      <c r="U3575" s="891" t="s">
        <v>3144</v>
      </c>
      <c r="V3575" s="891">
        <f t="shared" si="349"/>
        <v>89.6</v>
      </c>
      <c r="W3575" s="893" t="s">
        <v>223</v>
      </c>
      <c r="X3575" s="891">
        <f t="shared" si="350"/>
        <v>537.59999999999991</v>
      </c>
      <c r="Y3575" s="891"/>
    </row>
    <row r="3576" spans="1:121" ht="18">
      <c r="F3576" s="35">
        <v>0.3</v>
      </c>
      <c r="G3576" s="358" t="s">
        <v>405</v>
      </c>
      <c r="H3576" s="495" t="s">
        <v>3191</v>
      </c>
      <c r="I3576" s="404">
        <f>P1357</f>
        <v>17600</v>
      </c>
      <c r="J3576" s="360" t="s">
        <v>3192</v>
      </c>
      <c r="K3576" s="35">
        <f>I3576*F3576</f>
        <v>5280</v>
      </c>
      <c r="S3576" s="891">
        <v>4</v>
      </c>
      <c r="T3576" s="892" t="s">
        <v>223</v>
      </c>
      <c r="U3576" s="891" t="s">
        <v>3146</v>
      </c>
      <c r="V3576" s="891">
        <f t="shared" si="349"/>
        <v>64.8</v>
      </c>
      <c r="W3576" s="893" t="s">
        <v>223</v>
      </c>
      <c r="X3576" s="891">
        <f t="shared" si="350"/>
        <v>259.2</v>
      </c>
      <c r="Y3576" s="891"/>
    </row>
    <row r="3577" spans="1:121" ht="18">
      <c r="H3577" s="35" t="s">
        <v>3193</v>
      </c>
      <c r="K3577" s="35">
        <f>SUM(K3575:K3576)</f>
        <v>7590</v>
      </c>
      <c r="S3577" s="891">
        <v>1</v>
      </c>
      <c r="T3577" s="892" t="s">
        <v>223</v>
      </c>
      <c r="U3577" s="891" t="s">
        <v>3112</v>
      </c>
      <c r="V3577" s="891">
        <f t="shared" si="349"/>
        <v>181</v>
      </c>
      <c r="W3577" s="893" t="s">
        <v>223</v>
      </c>
      <c r="X3577" s="891">
        <f t="shared" si="350"/>
        <v>181</v>
      </c>
      <c r="Y3577" s="891"/>
    </row>
    <row r="3578" spans="1:121" ht="18">
      <c r="H3578" s="411" t="s">
        <v>3194</v>
      </c>
      <c r="I3578" s="411"/>
      <c r="J3578" s="436"/>
      <c r="K3578" s="411">
        <f>K3577/10</f>
        <v>759</v>
      </c>
      <c r="S3578" s="891">
        <v>118</v>
      </c>
      <c r="T3578" s="892" t="s">
        <v>223</v>
      </c>
      <c r="U3578" s="891" t="s">
        <v>3150</v>
      </c>
      <c r="V3578" s="891">
        <f t="shared" si="349"/>
        <v>2.41</v>
      </c>
      <c r="W3578" s="893" t="s">
        <v>223</v>
      </c>
      <c r="X3578" s="891">
        <f t="shared" si="350"/>
        <v>284.38</v>
      </c>
      <c r="Y3578" s="891"/>
    </row>
    <row r="3579" spans="1:121" ht="18">
      <c r="F3579" s="35">
        <v>1</v>
      </c>
      <c r="G3579" s="358" t="s">
        <v>3195</v>
      </c>
      <c r="H3579" s="35" t="s">
        <v>3196</v>
      </c>
      <c r="I3579" s="35">
        <f>K3578</f>
        <v>759</v>
      </c>
      <c r="J3579" s="360" t="s">
        <v>3195</v>
      </c>
      <c r="K3579" s="35">
        <f>I3579*F3579</f>
        <v>759</v>
      </c>
      <c r="S3579" s="891">
        <v>2</v>
      </c>
      <c r="T3579" s="892" t="s">
        <v>223</v>
      </c>
      <c r="U3579" s="891" t="s">
        <v>3153</v>
      </c>
      <c r="V3579" s="891">
        <f t="shared" si="349"/>
        <v>23.1</v>
      </c>
      <c r="W3579" s="893" t="s">
        <v>223</v>
      </c>
      <c r="X3579" s="891">
        <f t="shared" si="350"/>
        <v>46.2</v>
      </c>
      <c r="Y3579" s="891"/>
    </row>
    <row r="3580" spans="1:121" ht="18">
      <c r="F3580" s="35">
        <v>2</v>
      </c>
      <c r="G3580" s="358" t="s">
        <v>192</v>
      </c>
      <c r="H3580" s="495" t="s">
        <v>2614</v>
      </c>
      <c r="I3580" s="404">
        <f>I2351</f>
        <v>781.19999999999993</v>
      </c>
      <c r="J3580" s="360" t="s">
        <v>194</v>
      </c>
      <c r="K3580" s="35">
        <f>I3580*F3580</f>
        <v>1562.3999999999999</v>
      </c>
      <c r="S3580" s="891">
        <v>2</v>
      </c>
      <c r="T3580" s="892" t="s">
        <v>223</v>
      </c>
      <c r="U3580" s="891" t="s">
        <v>3156</v>
      </c>
      <c r="V3580" s="891">
        <f t="shared" si="349"/>
        <v>49.55</v>
      </c>
      <c r="W3580" s="893" t="s">
        <v>223</v>
      </c>
      <c r="X3580" s="891">
        <f t="shared" si="350"/>
        <v>99.1</v>
      </c>
      <c r="Y3580" s="891"/>
    </row>
    <row r="3581" spans="1:121" ht="18">
      <c r="H3581" s="35" t="s">
        <v>3197</v>
      </c>
      <c r="K3581" s="35">
        <v>10.3</v>
      </c>
      <c r="S3581" s="898">
        <v>0.73</v>
      </c>
      <c r="T3581" s="899" t="s">
        <v>107</v>
      </c>
      <c r="U3581" s="895" t="s">
        <v>3159</v>
      </c>
      <c r="V3581" s="891">
        <f t="shared" si="349"/>
        <v>264.02549999999997</v>
      </c>
      <c r="W3581" s="900" t="s">
        <v>107</v>
      </c>
      <c r="X3581" s="895"/>
      <c r="Y3581" s="895"/>
    </row>
    <row r="3582" spans="1:121" ht="18">
      <c r="H3582" s="35" t="s">
        <v>3198</v>
      </c>
      <c r="K3582" s="35">
        <f>SUM(K3579:K3581)</f>
        <v>2331.6999999999998</v>
      </c>
      <c r="S3582" s="891"/>
      <c r="T3582" s="892"/>
      <c r="U3582" s="891" t="s">
        <v>3165</v>
      </c>
      <c r="V3582" s="891"/>
      <c r="W3582" s="893"/>
      <c r="X3582" s="891">
        <f>SUM(X3572:X3581)</f>
        <v>10267.8662</v>
      </c>
      <c r="Y3582" s="891"/>
    </row>
    <row r="3583" spans="1:121" ht="18">
      <c r="A3583" s="411"/>
      <c r="B3583" s="411"/>
      <c r="C3583" s="411"/>
      <c r="D3583" s="411"/>
      <c r="E3583" s="411"/>
      <c r="F3583" s="411"/>
      <c r="G3583" s="455"/>
      <c r="H3583" s="411" t="s">
        <v>3199</v>
      </c>
      <c r="I3583" s="411"/>
      <c r="J3583" s="436"/>
      <c r="K3583" s="411">
        <f>K3582/6</f>
        <v>388.61666666666662</v>
      </c>
      <c r="L3583" s="411"/>
      <c r="M3583" s="411"/>
      <c r="N3583" s="411"/>
      <c r="O3583" s="411"/>
      <c r="P3583" s="411"/>
      <c r="Q3583" s="411"/>
      <c r="R3583" s="411"/>
      <c r="S3583" s="891"/>
      <c r="T3583" s="892"/>
      <c r="U3583" s="891" t="s">
        <v>2671</v>
      </c>
      <c r="V3583" s="891"/>
      <c r="W3583" s="893"/>
      <c r="X3583" s="891">
        <f>X3582/S3573</f>
        <v>3154.4903840245779</v>
      </c>
      <c r="Y3583" s="891"/>
      <c r="Z3583" s="411"/>
      <c r="AA3583" s="411"/>
      <c r="AB3583" s="411"/>
      <c r="AC3583" s="411"/>
      <c r="AD3583" s="411"/>
      <c r="AE3583" s="411"/>
      <c r="AF3583" s="411"/>
      <c r="AG3583" s="411"/>
      <c r="AH3583" s="411"/>
      <c r="AI3583" s="411"/>
      <c r="AJ3583" s="411"/>
      <c r="AK3583" s="411"/>
      <c r="AL3583" s="411"/>
      <c r="AM3583" s="411"/>
      <c r="AN3583" s="411"/>
      <c r="AO3583" s="411"/>
      <c r="AP3583" s="411"/>
      <c r="AQ3583" s="411"/>
      <c r="AR3583" s="411"/>
      <c r="AS3583" s="411"/>
      <c r="AT3583" s="411"/>
      <c r="AU3583" s="411"/>
      <c r="AV3583" s="411"/>
      <c r="AW3583" s="411"/>
      <c r="AX3583" s="411"/>
      <c r="AY3583" s="411"/>
      <c r="AZ3583" s="411"/>
      <c r="BA3583" s="411"/>
      <c r="BB3583" s="411"/>
      <c r="BC3583" s="411"/>
      <c r="BD3583" s="411"/>
      <c r="BE3583" s="411"/>
      <c r="BF3583" s="411"/>
      <c r="BG3583" s="411"/>
      <c r="BH3583" s="411"/>
      <c r="BI3583" s="411"/>
      <c r="BJ3583" s="411"/>
      <c r="BK3583" s="411"/>
      <c r="BL3583" s="411"/>
      <c r="BM3583" s="411"/>
      <c r="BN3583" s="411"/>
      <c r="BO3583" s="411"/>
      <c r="BP3583" s="411"/>
      <c r="BQ3583" s="411"/>
      <c r="BR3583" s="411"/>
      <c r="BS3583" s="411"/>
      <c r="BT3583" s="411"/>
      <c r="BU3583" s="411"/>
      <c r="BV3583" s="411"/>
      <c r="BW3583" s="411"/>
      <c r="BX3583" s="411"/>
      <c r="BY3583" s="411"/>
      <c r="BZ3583" s="411"/>
      <c r="CA3583" s="411"/>
      <c r="CB3583" s="411"/>
      <c r="CC3583" s="411"/>
      <c r="CD3583" s="411"/>
      <c r="CE3583" s="411"/>
      <c r="CF3583" s="411"/>
      <c r="CG3583" s="411"/>
      <c r="CH3583" s="411"/>
      <c r="CI3583" s="411"/>
      <c r="CJ3583" s="411"/>
      <c r="CK3583" s="411"/>
      <c r="CL3583" s="411"/>
      <c r="CM3583" s="411"/>
      <c r="CN3583" s="411"/>
      <c r="CO3583" s="411"/>
      <c r="CP3583" s="411"/>
      <c r="CQ3583" s="411"/>
      <c r="CR3583" s="411"/>
      <c r="CS3583" s="411"/>
      <c r="CT3583" s="411"/>
      <c r="CU3583" s="411"/>
      <c r="CV3583" s="411"/>
      <c r="CW3583" s="411"/>
      <c r="CX3583" s="411"/>
      <c r="CY3583" s="411"/>
      <c r="CZ3583" s="411"/>
      <c r="DA3583" s="411"/>
      <c r="DB3583" s="411"/>
      <c r="DC3583" s="411"/>
      <c r="DD3583" s="411"/>
      <c r="DE3583" s="411"/>
      <c r="DF3583" s="411"/>
      <c r="DG3583" s="411"/>
      <c r="DH3583" s="411"/>
      <c r="DI3583" s="411"/>
      <c r="DJ3583" s="411"/>
      <c r="DK3583" s="411"/>
      <c r="DL3583" s="411"/>
      <c r="DM3583" s="411"/>
      <c r="DN3583" s="411"/>
      <c r="DO3583" s="411"/>
      <c r="DP3583" s="411"/>
      <c r="DQ3583" s="411"/>
    </row>
    <row r="3584" spans="1:121" s="411" customFormat="1" ht="15.75">
      <c r="A3584" s="35"/>
      <c r="B3584" s="35"/>
      <c r="C3584" s="35"/>
      <c r="D3584" s="35"/>
      <c r="E3584" s="35"/>
      <c r="F3584" s="35"/>
      <c r="G3584" s="358"/>
      <c r="H3584" s="411" t="s">
        <v>3200</v>
      </c>
      <c r="I3584" s="35"/>
      <c r="J3584" s="360"/>
      <c r="K3584" s="35"/>
      <c r="L3584" s="35"/>
      <c r="M3584" s="35"/>
      <c r="N3584" s="35"/>
      <c r="O3584" s="35"/>
      <c r="P3584" s="35"/>
      <c r="Q3584" s="35"/>
      <c r="R3584" s="35"/>
      <c r="S3584" s="36"/>
      <c r="T3584" s="35"/>
      <c r="U3584" s="35"/>
      <c r="V3584" s="35"/>
      <c r="W3584" s="361"/>
      <c r="X3584" s="35"/>
      <c r="Y3584" s="35"/>
      <c r="Z3584" s="35"/>
      <c r="AA3584" s="35"/>
      <c r="AB3584" s="35"/>
      <c r="AC3584" s="35"/>
      <c r="AD3584" s="35"/>
      <c r="AE3584" s="35"/>
      <c r="AF3584" s="35"/>
      <c r="AG3584" s="35"/>
      <c r="AH3584" s="35"/>
      <c r="AI3584" s="35"/>
      <c r="AJ3584" s="35"/>
      <c r="AK3584" s="35"/>
      <c r="AL3584" s="35"/>
      <c r="AM3584" s="35"/>
      <c r="AN3584" s="35"/>
      <c r="AO3584" s="35"/>
      <c r="AP3584" s="35"/>
      <c r="AQ3584" s="35"/>
      <c r="AR3584" s="35"/>
      <c r="AS3584" s="35"/>
      <c r="AT3584" s="35"/>
      <c r="AU3584" s="35"/>
      <c r="AV3584" s="35"/>
      <c r="AW3584" s="35"/>
      <c r="AX3584" s="35"/>
      <c r="AY3584" s="35"/>
      <c r="AZ3584" s="35"/>
      <c r="BA3584" s="35"/>
      <c r="BB3584" s="35"/>
      <c r="BC3584" s="35"/>
      <c r="BD3584" s="35"/>
      <c r="BE3584" s="35"/>
      <c r="BF3584" s="35"/>
      <c r="BG3584" s="35"/>
      <c r="BH3584" s="35"/>
      <c r="BI3584" s="35"/>
      <c r="BJ3584" s="35"/>
      <c r="BK3584" s="35"/>
      <c r="BL3584" s="35"/>
      <c r="BM3584" s="35"/>
      <c r="BN3584" s="35"/>
      <c r="BO3584" s="35"/>
      <c r="BP3584" s="35"/>
      <c r="BQ3584" s="35"/>
      <c r="BR3584" s="35"/>
      <c r="BS3584" s="35"/>
      <c r="BT3584" s="35"/>
      <c r="BU3584" s="35"/>
      <c r="BV3584" s="35"/>
      <c r="BW3584" s="35"/>
      <c r="BX3584" s="35"/>
      <c r="BY3584" s="35"/>
      <c r="BZ3584" s="35"/>
      <c r="CA3584" s="35"/>
      <c r="CB3584" s="35"/>
      <c r="CC3584" s="35"/>
      <c r="CD3584" s="35"/>
      <c r="CE3584" s="35"/>
      <c r="CF3584" s="35"/>
      <c r="CG3584" s="35"/>
      <c r="CH3584" s="35"/>
      <c r="CI3584" s="35"/>
      <c r="CJ3584" s="35"/>
      <c r="CK3584" s="35"/>
      <c r="CL3584" s="35"/>
      <c r="CM3584" s="35"/>
      <c r="CN3584" s="35"/>
      <c r="CO3584" s="35"/>
      <c r="CP3584" s="35"/>
      <c r="CQ3584" s="35"/>
      <c r="CR3584" s="35"/>
      <c r="CS3584" s="35"/>
      <c r="CT3584" s="35"/>
      <c r="CU3584" s="35"/>
      <c r="CV3584" s="35"/>
      <c r="CW3584" s="35"/>
      <c r="CX3584" s="35"/>
      <c r="CY3584" s="35"/>
      <c r="CZ3584" s="35"/>
      <c r="DA3584" s="35"/>
      <c r="DB3584" s="35"/>
      <c r="DC3584" s="35"/>
      <c r="DD3584" s="35"/>
      <c r="DE3584" s="35"/>
      <c r="DF3584" s="35"/>
      <c r="DG3584" s="35"/>
      <c r="DH3584" s="35"/>
      <c r="DI3584" s="35"/>
      <c r="DJ3584" s="35"/>
      <c r="DK3584" s="35"/>
      <c r="DL3584" s="35"/>
      <c r="DM3584" s="35"/>
      <c r="DN3584" s="35"/>
      <c r="DO3584" s="35"/>
      <c r="DP3584" s="35"/>
      <c r="DQ3584" s="35"/>
    </row>
    <row r="3585" spans="1:121" ht="18">
      <c r="F3585" s="35">
        <v>49</v>
      </c>
      <c r="G3585" s="358" t="s">
        <v>3201</v>
      </c>
      <c r="H3585" s="35" t="s">
        <v>3202</v>
      </c>
      <c r="I3585" s="35">
        <f>I3575</f>
        <v>33</v>
      </c>
      <c r="J3585" s="360" t="s">
        <v>291</v>
      </c>
      <c r="K3585" s="35">
        <f>F3585*I3585</f>
        <v>1617</v>
      </c>
      <c r="S3585" s="891"/>
      <c r="T3585" s="892"/>
      <c r="U3585" s="891" t="s">
        <v>3203</v>
      </c>
      <c r="V3585" s="891"/>
      <c r="W3585" s="893"/>
    </row>
    <row r="3586" spans="1:121" ht="18">
      <c r="F3586" s="35">
        <v>0.3</v>
      </c>
      <c r="G3586" s="358" t="s">
        <v>405</v>
      </c>
      <c r="H3586" s="35" t="s">
        <v>3204</v>
      </c>
      <c r="I3586" s="35">
        <f>I3576</f>
        <v>17600</v>
      </c>
      <c r="J3586" s="360" t="s">
        <v>405</v>
      </c>
      <c r="K3586" s="35">
        <f>F3586*I3586</f>
        <v>5280</v>
      </c>
      <c r="S3586" s="35"/>
      <c r="T3586" s="358"/>
      <c r="U3586" s="585" t="s">
        <v>3205</v>
      </c>
      <c r="V3586" s="891">
        <f>1.7*2.325</f>
        <v>3.9525000000000001</v>
      </c>
      <c r="W3586" s="361"/>
    </row>
    <row r="3587" spans="1:121" ht="18">
      <c r="H3587" s="411" t="s">
        <v>3206</v>
      </c>
      <c r="K3587" s="411">
        <f>SUM(K3585:K3586)</f>
        <v>6897</v>
      </c>
      <c r="S3587" s="891">
        <f>V3586</f>
        <v>3.9525000000000001</v>
      </c>
      <c r="T3587" s="892" t="s">
        <v>107</v>
      </c>
      <c r="U3587" s="891" t="s">
        <v>3138</v>
      </c>
      <c r="V3587" s="891">
        <f>V3572</f>
        <v>2255</v>
      </c>
      <c r="W3587" s="893" t="s">
        <v>107</v>
      </c>
      <c r="X3587" s="891">
        <f>V3587*S3587</f>
        <v>8912.8875000000007</v>
      </c>
      <c r="Y3587" s="891"/>
    </row>
    <row r="3588" spans="1:121" ht="18">
      <c r="H3588" s="411" t="s">
        <v>3194</v>
      </c>
      <c r="K3588" s="411">
        <f>K3587/10</f>
        <v>689.7</v>
      </c>
      <c r="S3588" s="891">
        <f>S3587</f>
        <v>3.9525000000000001</v>
      </c>
      <c r="T3588" s="892" t="s">
        <v>107</v>
      </c>
      <c r="U3588" s="891" t="s">
        <v>3139</v>
      </c>
      <c r="V3588" s="891">
        <f t="shared" ref="V3588:V3595" si="351">V3573</f>
        <v>396.23999999999995</v>
      </c>
      <c r="W3588" s="893" t="s">
        <v>107</v>
      </c>
      <c r="X3588" s="891">
        <f t="shared" ref="X3588:X3595" si="352">V3588*S3588</f>
        <v>1566.1385999999998</v>
      </c>
      <c r="Y3588" s="891"/>
    </row>
    <row r="3589" spans="1:121" ht="18">
      <c r="F3589" s="35">
        <v>2</v>
      </c>
      <c r="G3589" s="358" t="s">
        <v>260</v>
      </c>
      <c r="H3589" s="404" t="s">
        <v>2614</v>
      </c>
      <c r="I3589" s="35">
        <f>I3580</f>
        <v>781.19999999999993</v>
      </c>
      <c r="J3589" s="360" t="s">
        <v>260</v>
      </c>
      <c r="K3589" s="35">
        <f>F3589*I3589</f>
        <v>1562.3999999999999</v>
      </c>
      <c r="S3589" s="891">
        <v>4</v>
      </c>
      <c r="T3589" s="892" t="s">
        <v>223</v>
      </c>
      <c r="U3589" s="891" t="s">
        <v>3141</v>
      </c>
      <c r="V3589" s="891">
        <f t="shared" si="351"/>
        <v>57.65</v>
      </c>
      <c r="W3589" s="893" t="s">
        <v>223</v>
      </c>
      <c r="X3589" s="891">
        <f t="shared" si="352"/>
        <v>230.6</v>
      </c>
      <c r="Y3589" s="891"/>
    </row>
    <row r="3590" spans="1:121" ht="18">
      <c r="H3590" s="404" t="s">
        <v>3207</v>
      </c>
      <c r="K3590" s="35">
        <v>4.3499999999999996</v>
      </c>
      <c r="S3590" s="891">
        <v>8</v>
      </c>
      <c r="T3590" s="892" t="s">
        <v>223</v>
      </c>
      <c r="U3590" s="891" t="s">
        <v>3144</v>
      </c>
      <c r="V3590" s="891">
        <f t="shared" si="351"/>
        <v>89.6</v>
      </c>
      <c r="W3590" s="893" t="s">
        <v>223</v>
      </c>
      <c r="X3590" s="891">
        <f t="shared" si="352"/>
        <v>716.8</v>
      </c>
      <c r="Y3590" s="891"/>
    </row>
    <row r="3591" spans="1:121" ht="18">
      <c r="H3591" s="404" t="s">
        <v>3208</v>
      </c>
      <c r="K3591" s="35">
        <f>SUM(K3588:K3590)</f>
        <v>2256.4499999999998</v>
      </c>
      <c r="S3591" s="891">
        <v>4</v>
      </c>
      <c r="T3591" s="892" t="s">
        <v>223</v>
      </c>
      <c r="U3591" s="891" t="s">
        <v>3146</v>
      </c>
      <c r="V3591" s="891">
        <f t="shared" si="351"/>
        <v>64.8</v>
      </c>
      <c r="W3591" s="893" t="s">
        <v>223</v>
      </c>
      <c r="X3591" s="891">
        <f t="shared" si="352"/>
        <v>259.2</v>
      </c>
      <c r="Y3591" s="891"/>
    </row>
    <row r="3592" spans="1:121" ht="18">
      <c r="H3592" s="411" t="s">
        <v>3209</v>
      </c>
      <c r="I3592" s="411"/>
      <c r="J3592" s="436"/>
      <c r="K3592" s="411">
        <f>K3591/6</f>
        <v>376.07499999999999</v>
      </c>
      <c r="S3592" s="891">
        <v>1</v>
      </c>
      <c r="T3592" s="892" t="s">
        <v>223</v>
      </c>
      <c r="U3592" s="891" t="s">
        <v>3112</v>
      </c>
      <c r="V3592" s="891">
        <f t="shared" si="351"/>
        <v>181</v>
      </c>
      <c r="W3592" s="893" t="s">
        <v>223</v>
      </c>
      <c r="X3592" s="891">
        <f t="shared" si="352"/>
        <v>181</v>
      </c>
      <c r="Y3592" s="891"/>
    </row>
    <row r="3593" spans="1:121" ht="18">
      <c r="A3593" s="411"/>
      <c r="B3593" s="411"/>
      <c r="C3593" s="411"/>
      <c r="D3593" s="411"/>
      <c r="E3593" s="411"/>
      <c r="F3593" s="411"/>
      <c r="G3593" s="455"/>
      <c r="H3593" s="404" t="s">
        <v>3210</v>
      </c>
      <c r="I3593" s="404"/>
      <c r="J3593" s="905"/>
      <c r="K3593" s="404">
        <f>K3583</f>
        <v>388.61666666666662</v>
      </c>
      <c r="L3593" s="411"/>
      <c r="M3593" s="411"/>
      <c r="N3593" s="411"/>
      <c r="O3593" s="411"/>
      <c r="P3593" s="411"/>
      <c r="Q3593" s="411"/>
      <c r="R3593" s="411"/>
      <c r="S3593" s="891">
        <v>118</v>
      </c>
      <c r="T3593" s="892" t="s">
        <v>223</v>
      </c>
      <c r="U3593" s="891" t="s">
        <v>3150</v>
      </c>
      <c r="V3593" s="891">
        <f t="shared" si="351"/>
        <v>2.41</v>
      </c>
      <c r="W3593" s="893" t="s">
        <v>223</v>
      </c>
      <c r="X3593" s="891">
        <f t="shared" si="352"/>
        <v>284.38</v>
      </c>
      <c r="Y3593" s="891"/>
      <c r="AA3593" s="411"/>
      <c r="AB3593" s="411"/>
      <c r="AC3593" s="411"/>
      <c r="AD3593" s="411"/>
      <c r="AE3593" s="411"/>
      <c r="AF3593" s="411"/>
      <c r="AG3593" s="411"/>
      <c r="AH3593" s="411"/>
      <c r="AI3593" s="411"/>
      <c r="AJ3593" s="411"/>
      <c r="AK3593" s="411"/>
      <c r="AL3593" s="411"/>
      <c r="AM3593" s="411"/>
      <c r="AN3593" s="411"/>
      <c r="AO3593" s="411"/>
      <c r="AP3593" s="411"/>
      <c r="AQ3593" s="411"/>
      <c r="AR3593" s="411"/>
      <c r="AS3593" s="411"/>
      <c r="AT3593" s="411"/>
      <c r="AU3593" s="411"/>
      <c r="AV3593" s="411"/>
      <c r="AW3593" s="411"/>
      <c r="AX3593" s="411"/>
      <c r="AY3593" s="411"/>
      <c r="AZ3593" s="411"/>
      <c r="BA3593" s="411"/>
      <c r="BB3593" s="411"/>
      <c r="BC3593" s="411"/>
      <c r="BD3593" s="411"/>
      <c r="BE3593" s="411"/>
      <c r="BF3593" s="411"/>
      <c r="BG3593" s="411"/>
      <c r="BH3593" s="411"/>
      <c r="BI3593" s="411"/>
      <c r="BJ3593" s="411"/>
      <c r="BK3593" s="411"/>
      <c r="BL3593" s="411"/>
      <c r="BM3593" s="411"/>
      <c r="BN3593" s="411"/>
      <c r="BO3593" s="411"/>
      <c r="BP3593" s="411"/>
      <c r="BQ3593" s="411"/>
      <c r="BR3593" s="411"/>
      <c r="BS3593" s="411"/>
      <c r="BT3593" s="411"/>
      <c r="BU3593" s="411"/>
      <c r="BV3593" s="411"/>
      <c r="BW3593" s="411"/>
      <c r="BX3593" s="411"/>
      <c r="BY3593" s="411"/>
      <c r="BZ3593" s="411"/>
      <c r="CA3593" s="411"/>
      <c r="CB3593" s="411"/>
      <c r="CC3593" s="411"/>
      <c r="CD3593" s="411"/>
      <c r="CE3593" s="411"/>
      <c r="CF3593" s="411"/>
      <c r="CG3593" s="411"/>
      <c r="CH3593" s="411"/>
      <c r="CI3593" s="411"/>
      <c r="CJ3593" s="411"/>
      <c r="CK3593" s="411"/>
      <c r="CL3593" s="411"/>
      <c r="CM3593" s="411"/>
      <c r="CN3593" s="411"/>
      <c r="CO3593" s="411"/>
      <c r="CP3593" s="411"/>
      <c r="CQ3593" s="411"/>
      <c r="CR3593" s="411"/>
      <c r="CS3593" s="411"/>
      <c r="CT3593" s="411"/>
      <c r="CU3593" s="411"/>
      <c r="CV3593" s="411"/>
      <c r="CW3593" s="411"/>
      <c r="CX3593" s="411"/>
      <c r="CY3593" s="411"/>
      <c r="CZ3593" s="411"/>
      <c r="DA3593" s="411"/>
      <c r="DB3593" s="411"/>
      <c r="DC3593" s="411"/>
      <c r="DD3593" s="411"/>
      <c r="DE3593" s="411"/>
      <c r="DF3593" s="411"/>
      <c r="DG3593" s="411"/>
      <c r="DH3593" s="411"/>
      <c r="DI3593" s="411"/>
      <c r="DJ3593" s="411"/>
      <c r="DK3593" s="411"/>
      <c r="DL3593" s="411"/>
      <c r="DM3593" s="411"/>
      <c r="DN3593" s="411"/>
      <c r="DO3593" s="411"/>
      <c r="DP3593" s="411"/>
      <c r="DQ3593" s="411"/>
    </row>
    <row r="3594" spans="1:121" s="411" customFormat="1" ht="18">
      <c r="G3594" s="455"/>
      <c r="H3594" s="404" t="s">
        <v>3211</v>
      </c>
      <c r="I3594" s="404">
        <f>K3593</f>
        <v>388.61666666666662</v>
      </c>
      <c r="J3594" s="905">
        <f>K3592</f>
        <v>376.07499999999999</v>
      </c>
      <c r="K3594" s="404">
        <f>SUM(I3594:J3594)</f>
        <v>764.69166666666661</v>
      </c>
      <c r="S3594" s="891">
        <v>2</v>
      </c>
      <c r="T3594" s="892" t="s">
        <v>223</v>
      </c>
      <c r="U3594" s="891" t="s">
        <v>3153</v>
      </c>
      <c r="V3594" s="891">
        <f t="shared" si="351"/>
        <v>23.1</v>
      </c>
      <c r="W3594" s="893" t="s">
        <v>223</v>
      </c>
      <c r="X3594" s="891">
        <f t="shared" si="352"/>
        <v>46.2</v>
      </c>
      <c r="Y3594" s="891"/>
      <c r="Z3594" s="35"/>
    </row>
    <row r="3595" spans="1:121" s="411" customFormat="1" ht="18">
      <c r="G3595" s="455"/>
      <c r="H3595" s="404" t="s">
        <v>3212</v>
      </c>
      <c r="I3595" s="404">
        <f>K3594</f>
        <v>764.69166666666661</v>
      </c>
      <c r="J3595" s="905">
        <f>J3594</f>
        <v>376.07499999999999</v>
      </c>
      <c r="K3595" s="404">
        <f>SUM(I3595:J3595)</f>
        <v>1140.7666666666667</v>
      </c>
      <c r="S3595" s="891">
        <v>2</v>
      </c>
      <c r="T3595" s="892" t="s">
        <v>223</v>
      </c>
      <c r="U3595" s="891" t="s">
        <v>3156</v>
      </c>
      <c r="V3595" s="891">
        <f t="shared" si="351"/>
        <v>49.55</v>
      </c>
      <c r="W3595" s="893" t="s">
        <v>223</v>
      </c>
      <c r="X3595" s="891">
        <f t="shared" si="352"/>
        <v>99.1</v>
      </c>
      <c r="Y3595" s="891"/>
      <c r="Z3595" s="35"/>
    </row>
    <row r="3596" spans="1:121" s="411" customFormat="1" ht="18">
      <c r="G3596" s="455"/>
      <c r="H3596" s="404" t="s">
        <v>3213</v>
      </c>
      <c r="I3596" s="404">
        <f>K3595</f>
        <v>1140.7666666666667</v>
      </c>
      <c r="J3596" s="905">
        <f>J3595</f>
        <v>376.07499999999999</v>
      </c>
      <c r="K3596" s="404">
        <f>SUM(I3596:J3596)</f>
        <v>1516.8416666666667</v>
      </c>
      <c r="S3596" s="901"/>
      <c r="T3596" s="892"/>
      <c r="U3596" s="891"/>
      <c r="V3596" s="891"/>
      <c r="W3596" s="893" t="s">
        <v>107</v>
      </c>
      <c r="X3596" s="891">
        <f>V3596*S3596</f>
        <v>0</v>
      </c>
      <c r="Y3596" s="891"/>
      <c r="Z3596" s="35"/>
    </row>
    <row r="3597" spans="1:121" s="411" customFormat="1" ht="18">
      <c r="G3597" s="455"/>
      <c r="H3597" s="404" t="s">
        <v>3214</v>
      </c>
      <c r="I3597" s="404">
        <f>K3596</f>
        <v>1516.8416666666667</v>
      </c>
      <c r="J3597" s="905">
        <f>J3596</f>
        <v>376.07499999999999</v>
      </c>
      <c r="K3597" s="404">
        <f>SUM(I3597:J3597)</f>
        <v>1892.9166666666667</v>
      </c>
      <c r="S3597" s="891"/>
      <c r="T3597" s="892"/>
      <c r="U3597" s="891" t="s">
        <v>3215</v>
      </c>
      <c r="V3597" s="891"/>
      <c r="W3597" s="893"/>
      <c r="X3597" s="891">
        <f>SUM(X3587:X3596)</f>
        <v>12296.306100000002</v>
      </c>
      <c r="Y3597" s="891"/>
      <c r="Z3597" s="35"/>
    </row>
    <row r="3598" spans="1:121" s="411" customFormat="1" ht="18">
      <c r="A3598" s="35"/>
      <c r="B3598" s="35"/>
      <c r="C3598" s="35"/>
      <c r="D3598" s="35"/>
      <c r="E3598" s="35"/>
      <c r="F3598" s="35"/>
      <c r="G3598" s="358"/>
      <c r="H3598" s="35"/>
      <c r="I3598" s="35"/>
      <c r="J3598" s="360"/>
      <c r="K3598" s="35"/>
      <c r="L3598" s="35"/>
      <c r="M3598" s="35"/>
      <c r="N3598" s="35"/>
      <c r="O3598" s="35"/>
      <c r="P3598" s="35"/>
      <c r="Q3598" s="35"/>
      <c r="R3598" s="35"/>
      <c r="S3598" s="891"/>
      <c r="T3598" s="892"/>
      <c r="U3598" s="891" t="s">
        <v>2671</v>
      </c>
      <c r="V3598" s="891"/>
      <c r="W3598" s="893"/>
      <c r="X3598" s="891">
        <f>X3597/S3588</f>
        <v>3111.019886148008</v>
      </c>
      <c r="Y3598" s="891"/>
      <c r="Z3598" s="35">
        <f>[8]Data!X3597</f>
        <v>213.6</v>
      </c>
      <c r="AA3598" s="35"/>
      <c r="AB3598" s="35"/>
      <c r="AC3598" s="35"/>
      <c r="AD3598" s="35"/>
      <c r="AE3598" s="35"/>
      <c r="AF3598" s="35"/>
      <c r="AG3598" s="35"/>
      <c r="AH3598" s="35"/>
      <c r="AI3598" s="35"/>
      <c r="AJ3598" s="35"/>
      <c r="AK3598" s="35"/>
      <c r="AL3598" s="35"/>
      <c r="AM3598" s="35"/>
      <c r="AN3598" s="35"/>
      <c r="AO3598" s="35"/>
      <c r="AP3598" s="35"/>
      <c r="AQ3598" s="35"/>
      <c r="AR3598" s="35"/>
      <c r="AS3598" s="35"/>
      <c r="AT3598" s="35"/>
      <c r="AU3598" s="35"/>
      <c r="AV3598" s="35"/>
      <c r="AW3598" s="35"/>
      <c r="AX3598" s="35"/>
      <c r="AY3598" s="35"/>
      <c r="AZ3598" s="35"/>
      <c r="BA3598" s="35"/>
      <c r="BB3598" s="35"/>
      <c r="BC3598" s="35"/>
      <c r="BD3598" s="35"/>
      <c r="BE3598" s="35"/>
      <c r="BF3598" s="35"/>
      <c r="BG3598" s="35"/>
      <c r="BH3598" s="35"/>
      <c r="BI3598" s="35"/>
      <c r="BJ3598" s="35"/>
      <c r="BK3598" s="35"/>
      <c r="BL3598" s="35"/>
      <c r="BM3598" s="35"/>
      <c r="BN3598" s="35"/>
      <c r="BO3598" s="35"/>
      <c r="BP3598" s="35"/>
      <c r="BQ3598" s="35"/>
      <c r="BR3598" s="35"/>
      <c r="BS3598" s="35"/>
      <c r="BT3598" s="35"/>
      <c r="BU3598" s="35"/>
      <c r="BV3598" s="35"/>
      <c r="BW3598" s="35"/>
      <c r="BX3598" s="35"/>
      <c r="BY3598" s="35"/>
      <c r="BZ3598" s="35"/>
      <c r="CA3598" s="35"/>
      <c r="CB3598" s="35"/>
      <c r="CC3598" s="35"/>
      <c r="CD3598" s="35"/>
      <c r="CE3598" s="35"/>
      <c r="CF3598" s="35"/>
      <c r="CG3598" s="35"/>
      <c r="CH3598" s="35"/>
      <c r="CI3598" s="35"/>
      <c r="CJ3598" s="35"/>
      <c r="CK3598" s="35"/>
      <c r="CL3598" s="35"/>
      <c r="CM3598" s="35"/>
      <c r="CN3598" s="35"/>
      <c r="CO3598" s="35"/>
      <c r="CP3598" s="35"/>
      <c r="CQ3598" s="35"/>
      <c r="CR3598" s="35"/>
      <c r="CS3598" s="35"/>
      <c r="CT3598" s="35"/>
      <c r="CU3598" s="35"/>
      <c r="CV3598" s="35"/>
      <c r="CW3598" s="35"/>
      <c r="CX3598" s="35"/>
      <c r="CY3598" s="35"/>
      <c r="CZ3598" s="35"/>
      <c r="DA3598" s="35"/>
      <c r="DB3598" s="35"/>
      <c r="DC3598" s="35"/>
      <c r="DD3598" s="35"/>
      <c r="DE3598" s="35"/>
      <c r="DF3598" s="35"/>
      <c r="DG3598" s="35"/>
      <c r="DH3598" s="35"/>
      <c r="DI3598" s="35"/>
      <c r="DJ3598" s="35"/>
      <c r="DK3598" s="35"/>
      <c r="DL3598" s="35"/>
      <c r="DM3598" s="35"/>
      <c r="DN3598" s="35"/>
      <c r="DO3598" s="35"/>
      <c r="DP3598" s="35"/>
      <c r="DQ3598" s="35"/>
    </row>
    <row r="3599" spans="1:121" ht="18">
      <c r="F3599" s="357"/>
      <c r="G3599" s="368" t="s">
        <v>122</v>
      </c>
      <c r="H3599" s="359" t="s">
        <v>3216</v>
      </c>
      <c r="L3599" s="360"/>
      <c r="S3599" s="35"/>
      <c r="T3599" s="358"/>
      <c r="U3599" s="891"/>
      <c r="W3599" s="361"/>
      <c r="X3599" s="891"/>
      <c r="Y3599" s="891"/>
    </row>
    <row r="3600" spans="1:121" ht="15.75">
      <c r="H3600" s="359" t="s">
        <v>3217</v>
      </c>
      <c r="L3600" s="356"/>
      <c r="W3600" s="361"/>
    </row>
    <row r="3601" spans="6:25" ht="15">
      <c r="H3601" s="363" t="s">
        <v>117</v>
      </c>
      <c r="L3601" s="356"/>
      <c r="W3601" s="361"/>
    </row>
    <row r="3602" spans="6:25" ht="18">
      <c r="F3602" s="523">
        <v>7.0699999999999999E-2</v>
      </c>
      <c r="G3602" s="368" t="s">
        <v>405</v>
      </c>
      <c r="H3602" s="356" t="s">
        <v>1955</v>
      </c>
      <c r="I3602" s="370">
        <f>I2816</f>
        <v>99765.440000000002</v>
      </c>
      <c r="J3602" s="356" t="s">
        <v>108</v>
      </c>
      <c r="K3602" s="370">
        <f t="shared" ref="K3602:K3610" si="353">(F3602*I3602)</f>
        <v>7053.4166080000005</v>
      </c>
      <c r="L3602" s="356"/>
      <c r="S3602" s="891"/>
      <c r="T3602" s="892"/>
      <c r="U3602" s="891" t="s">
        <v>3218</v>
      </c>
      <c r="V3602" s="891"/>
      <c r="W3602" s="893"/>
    </row>
    <row r="3603" spans="6:25" ht="18">
      <c r="F3603" s="523">
        <v>5.16</v>
      </c>
      <c r="G3603" s="368" t="s">
        <v>107</v>
      </c>
      <c r="H3603" s="356" t="s">
        <v>3219</v>
      </c>
      <c r="I3603" s="381">
        <f>AG57</f>
        <v>1856.3999999999999</v>
      </c>
      <c r="J3603" s="356" t="s">
        <v>108</v>
      </c>
      <c r="K3603" s="370">
        <f t="shared" si="353"/>
        <v>9579.0239999999994</v>
      </c>
      <c r="L3603" s="356"/>
      <c r="S3603" s="35"/>
      <c r="T3603" s="358"/>
      <c r="U3603" s="585" t="s">
        <v>3220</v>
      </c>
      <c r="V3603" s="891">
        <f>1.7*2.025</f>
        <v>3.4424999999999999</v>
      </c>
      <c r="W3603" s="361"/>
    </row>
    <row r="3604" spans="6:25" ht="18">
      <c r="F3604" s="523">
        <v>3.6659999999999999</v>
      </c>
      <c r="G3604" s="368" t="s">
        <v>107</v>
      </c>
      <c r="H3604" s="356" t="s">
        <v>3221</v>
      </c>
      <c r="I3604" s="381">
        <f>P1397</f>
        <v>306.89999999999998</v>
      </c>
      <c r="J3604" s="356" t="s">
        <v>107</v>
      </c>
      <c r="K3604" s="370">
        <f t="shared" si="353"/>
        <v>1125.0953999999999</v>
      </c>
      <c r="L3604" s="356"/>
      <c r="S3604" s="891">
        <f>V3603</f>
        <v>3.4424999999999999</v>
      </c>
      <c r="T3604" s="892" t="s">
        <v>107</v>
      </c>
      <c r="U3604" s="891" t="s">
        <v>3138</v>
      </c>
      <c r="V3604" s="891">
        <f>V3587</f>
        <v>2255</v>
      </c>
      <c r="W3604" s="893" t="s">
        <v>107</v>
      </c>
      <c r="X3604" s="891">
        <f>V3604*S3604</f>
        <v>7762.8374999999996</v>
      </c>
      <c r="Y3604" s="891"/>
    </row>
    <row r="3605" spans="6:25" ht="18">
      <c r="F3605" s="370">
        <v>22.66</v>
      </c>
      <c r="G3605" s="368" t="s">
        <v>31</v>
      </c>
      <c r="H3605" s="356" t="s">
        <v>3222</v>
      </c>
      <c r="I3605" s="394">
        <v>15.45</v>
      </c>
      <c r="J3605" s="368" t="s">
        <v>31</v>
      </c>
      <c r="K3605" s="370">
        <f t="shared" si="353"/>
        <v>350.09699999999998</v>
      </c>
      <c r="L3605" s="356"/>
      <c r="S3605" s="891">
        <f>S3604</f>
        <v>3.4424999999999999</v>
      </c>
      <c r="T3605" s="892" t="s">
        <v>107</v>
      </c>
      <c r="U3605" s="891" t="s">
        <v>3139</v>
      </c>
      <c r="V3605" s="891">
        <f t="shared" ref="V3605:V3612" si="354">V3588</f>
        <v>396.23999999999995</v>
      </c>
      <c r="W3605" s="893" t="s">
        <v>107</v>
      </c>
      <c r="X3605" s="891">
        <f t="shared" ref="X3605:X3612" si="355">V3605*S3605</f>
        <v>1364.0561999999998</v>
      </c>
      <c r="Y3605" s="891"/>
    </row>
    <row r="3606" spans="6:25" ht="18">
      <c r="F3606" s="370">
        <v>15</v>
      </c>
      <c r="G3606" s="368" t="s">
        <v>151</v>
      </c>
      <c r="H3606" s="356" t="s">
        <v>1912</v>
      </c>
      <c r="I3606" s="381">
        <f>C281</f>
        <v>89.6</v>
      </c>
      <c r="J3606" s="356" t="s">
        <v>151</v>
      </c>
      <c r="K3606" s="370">
        <f>(F3605*I3606)</f>
        <v>2030.3359999999998</v>
      </c>
      <c r="L3606" s="356"/>
      <c r="S3606" s="891">
        <v>4</v>
      </c>
      <c r="T3606" s="892" t="s">
        <v>223</v>
      </c>
      <c r="U3606" s="891" t="s">
        <v>3141</v>
      </c>
      <c r="V3606" s="891">
        <f t="shared" si="354"/>
        <v>57.65</v>
      </c>
      <c r="W3606" s="893" t="s">
        <v>223</v>
      </c>
      <c r="X3606" s="891">
        <f t="shared" si="355"/>
        <v>230.6</v>
      </c>
      <c r="Y3606" s="891"/>
    </row>
    <row r="3607" spans="6:25" ht="18">
      <c r="F3607" s="370">
        <v>10</v>
      </c>
      <c r="G3607" s="368" t="s">
        <v>151</v>
      </c>
      <c r="H3607" s="356" t="s">
        <v>3223</v>
      </c>
      <c r="I3607" s="394">
        <v>82.25</v>
      </c>
      <c r="J3607" s="356" t="s">
        <v>151</v>
      </c>
      <c r="K3607" s="370">
        <f>(F3606*I3607)</f>
        <v>1233.75</v>
      </c>
      <c r="L3607" s="356"/>
      <c r="S3607" s="891">
        <v>6</v>
      </c>
      <c r="T3607" s="892" t="s">
        <v>223</v>
      </c>
      <c r="U3607" s="891" t="s">
        <v>3144</v>
      </c>
      <c r="V3607" s="891">
        <f t="shared" si="354"/>
        <v>89.6</v>
      </c>
      <c r="W3607" s="893" t="s">
        <v>223</v>
      </c>
      <c r="X3607" s="891">
        <f t="shared" si="355"/>
        <v>537.59999999999991</v>
      </c>
      <c r="Y3607" s="891"/>
    </row>
    <row r="3608" spans="6:25" ht="18">
      <c r="F3608" s="370">
        <v>5</v>
      </c>
      <c r="G3608" s="368" t="s">
        <v>151</v>
      </c>
      <c r="H3608" s="356" t="s">
        <v>3224</v>
      </c>
      <c r="I3608" s="394">
        <v>57.65</v>
      </c>
      <c r="J3608" s="356" t="s">
        <v>151</v>
      </c>
      <c r="K3608" s="370">
        <f>(F3609*I3608)</f>
        <v>288.25</v>
      </c>
      <c r="L3608" s="360"/>
      <c r="S3608" s="891">
        <v>4</v>
      </c>
      <c r="T3608" s="892" t="s">
        <v>223</v>
      </c>
      <c r="U3608" s="891" t="s">
        <v>3146</v>
      </c>
      <c r="V3608" s="891">
        <f t="shared" si="354"/>
        <v>64.8</v>
      </c>
      <c r="W3608" s="893" t="s">
        <v>223</v>
      </c>
      <c r="X3608" s="891">
        <f t="shared" si="355"/>
        <v>259.2</v>
      </c>
      <c r="Y3608" s="891"/>
    </row>
    <row r="3609" spans="6:25" ht="18">
      <c r="F3609" s="370">
        <v>5</v>
      </c>
      <c r="G3609" s="368" t="s">
        <v>151</v>
      </c>
      <c r="H3609" s="356" t="s">
        <v>1961</v>
      </c>
      <c r="I3609" s="402">
        <v>7.3</v>
      </c>
      <c r="J3609" s="356" t="s">
        <v>151</v>
      </c>
      <c r="K3609" s="370">
        <f>(F3607*I3609)</f>
        <v>73</v>
      </c>
      <c r="L3609" s="360"/>
      <c r="S3609" s="891">
        <v>1</v>
      </c>
      <c r="T3609" s="892" t="s">
        <v>223</v>
      </c>
      <c r="U3609" s="891" t="s">
        <v>3112</v>
      </c>
      <c r="V3609" s="891">
        <f t="shared" si="354"/>
        <v>181</v>
      </c>
      <c r="W3609" s="893" t="s">
        <v>223</v>
      </c>
      <c r="X3609" s="891">
        <f t="shared" si="355"/>
        <v>181</v>
      </c>
      <c r="Y3609" s="891"/>
    </row>
    <row r="3610" spans="6:25" ht="18">
      <c r="F3610" s="370">
        <v>10</v>
      </c>
      <c r="H3610" s="356" t="s">
        <v>1951</v>
      </c>
      <c r="I3610" s="370">
        <f>I3432</f>
        <v>2.41</v>
      </c>
      <c r="J3610" s="356" t="s">
        <v>151</v>
      </c>
      <c r="K3610" s="370">
        <f t="shared" si="353"/>
        <v>24.1</v>
      </c>
      <c r="L3610" s="360"/>
      <c r="S3610" s="891">
        <v>118</v>
      </c>
      <c r="T3610" s="892" t="s">
        <v>223</v>
      </c>
      <c r="U3610" s="891" t="s">
        <v>3150</v>
      </c>
      <c r="V3610" s="891">
        <f t="shared" si="354"/>
        <v>2.41</v>
      </c>
      <c r="W3610" s="893" t="s">
        <v>223</v>
      </c>
      <c r="X3610" s="891">
        <f t="shared" si="355"/>
        <v>284.38</v>
      </c>
      <c r="Y3610" s="891"/>
    </row>
    <row r="3611" spans="6:25" ht="18">
      <c r="K3611" s="363" t="s">
        <v>117</v>
      </c>
      <c r="L3611" s="360"/>
      <c r="S3611" s="891">
        <v>2</v>
      </c>
      <c r="T3611" s="892" t="s">
        <v>223</v>
      </c>
      <c r="U3611" s="891" t="s">
        <v>3153</v>
      </c>
      <c r="V3611" s="891">
        <f t="shared" si="354"/>
        <v>23.1</v>
      </c>
      <c r="W3611" s="893" t="s">
        <v>223</v>
      </c>
      <c r="X3611" s="891">
        <f t="shared" si="355"/>
        <v>46.2</v>
      </c>
      <c r="Y3611" s="891"/>
    </row>
    <row r="3612" spans="6:25" ht="18">
      <c r="H3612" s="357" t="s">
        <v>3225</v>
      </c>
      <c r="K3612" s="370">
        <f>SUM(K3598:K3610)</f>
        <v>21757.069007999999</v>
      </c>
      <c r="L3612" s="360"/>
      <c r="S3612" s="891">
        <v>2</v>
      </c>
      <c r="T3612" s="892" t="s">
        <v>223</v>
      </c>
      <c r="U3612" s="891" t="s">
        <v>3156</v>
      </c>
      <c r="V3612" s="891">
        <f t="shared" si="354"/>
        <v>49.55</v>
      </c>
      <c r="W3612" s="893" t="s">
        <v>223</v>
      </c>
      <c r="X3612" s="891">
        <f t="shared" si="355"/>
        <v>99.1</v>
      </c>
      <c r="Y3612" s="891"/>
    </row>
    <row r="3613" spans="6:25" ht="18">
      <c r="K3613" s="363" t="s">
        <v>117</v>
      </c>
      <c r="L3613" s="360"/>
      <c r="S3613" s="901"/>
      <c r="T3613" s="892"/>
      <c r="U3613" s="891"/>
      <c r="V3613" s="891"/>
      <c r="W3613" s="893" t="s">
        <v>107</v>
      </c>
      <c r="X3613" s="891">
        <f>V3613*S3613</f>
        <v>0</v>
      </c>
      <c r="Y3613" s="891"/>
    </row>
    <row r="3614" spans="6:25" ht="18">
      <c r="H3614" s="372" t="s">
        <v>177</v>
      </c>
      <c r="I3614" s="356" t="s">
        <v>114</v>
      </c>
      <c r="K3614" s="369">
        <f>K3612/F3603</f>
        <v>4216.4862418604644</v>
      </c>
      <c r="S3614" s="891"/>
      <c r="T3614" s="892"/>
      <c r="U3614" s="891" t="s">
        <v>3226</v>
      </c>
      <c r="V3614" s="891"/>
      <c r="W3614" s="893"/>
      <c r="X3614" s="891">
        <f>SUM(X3604:X3613)</f>
        <v>10764.9737</v>
      </c>
      <c r="Y3614" s="891"/>
    </row>
    <row r="3615" spans="6:25" ht="18">
      <c r="K3615" s="363" t="s">
        <v>156</v>
      </c>
      <c r="S3615" s="891"/>
      <c r="T3615" s="892"/>
      <c r="U3615" s="891" t="s">
        <v>2671</v>
      </c>
      <c r="V3615" s="891"/>
      <c r="W3615" s="893"/>
      <c r="X3615" s="891">
        <f>X3614/S3605</f>
        <v>3127.0802323892522</v>
      </c>
      <c r="Y3615" s="891"/>
    </row>
    <row r="3616" spans="6:25" ht="15">
      <c r="F3616" s="357" t="s">
        <v>1969</v>
      </c>
      <c r="G3616" s="368" t="s">
        <v>122</v>
      </c>
      <c r="H3616" s="356" t="s">
        <v>3227</v>
      </c>
      <c r="S3616" s="35"/>
      <c r="W3616" s="361"/>
    </row>
    <row r="3617" spans="6:32" ht="18">
      <c r="H3617" s="356" t="s">
        <v>3228</v>
      </c>
      <c r="S3617" s="891"/>
      <c r="T3617" s="892"/>
      <c r="U3617" s="891" t="s">
        <v>3229</v>
      </c>
      <c r="V3617" s="891"/>
      <c r="W3617" s="893"/>
    </row>
    <row r="3618" spans="6:32" ht="18">
      <c r="H3618" s="363" t="s">
        <v>117</v>
      </c>
      <c r="S3618" s="35"/>
      <c r="T3618" s="358"/>
      <c r="U3618" s="585" t="s">
        <v>3230</v>
      </c>
      <c r="W3618" s="361">
        <f>1.1*2.025</f>
        <v>2.2275</v>
      </c>
      <c r="Z3618" s="891"/>
      <c r="AA3618" s="892"/>
      <c r="AB3618" s="892"/>
      <c r="AC3618" s="891" t="s">
        <v>3231</v>
      </c>
      <c r="AD3618" s="891"/>
      <c r="AE3618" s="894"/>
    </row>
    <row r="3619" spans="6:32" ht="18">
      <c r="H3619" s="576" t="s">
        <v>3232</v>
      </c>
      <c r="I3619" s="754" t="s">
        <v>156</v>
      </c>
      <c r="J3619" s="857">
        <f>0.65*0.65</f>
        <v>0.42250000000000004</v>
      </c>
      <c r="K3619" s="750" t="s">
        <v>262</v>
      </c>
      <c r="S3619" s="891">
        <f>W3618</f>
        <v>2.2275</v>
      </c>
      <c r="T3619" s="892" t="s">
        <v>107</v>
      </c>
      <c r="U3619" s="891" t="s">
        <v>3138</v>
      </c>
      <c r="V3619" s="891">
        <f>AG3556</f>
        <v>2255</v>
      </c>
      <c r="W3619" s="893" t="s">
        <v>107</v>
      </c>
      <c r="X3619" s="891">
        <f>V3619*S3619</f>
        <v>5023.0124999999998</v>
      </c>
      <c r="Y3619" s="891"/>
      <c r="AA3619" s="358"/>
      <c r="AB3619" s="358"/>
      <c r="AC3619" s="585" t="s">
        <v>3233</v>
      </c>
      <c r="AE3619" s="360">
        <f>0.65*2.025</f>
        <v>1.3162499999999999</v>
      </c>
    </row>
    <row r="3620" spans="6:32" ht="18">
      <c r="H3620" s="576"/>
      <c r="I3620" s="754"/>
      <c r="J3620" s="856"/>
      <c r="K3620" s="750"/>
      <c r="S3620" s="891">
        <f>S3619</f>
        <v>2.2275</v>
      </c>
      <c r="T3620" s="892" t="s">
        <v>107</v>
      </c>
      <c r="U3620" s="891" t="s">
        <v>3139</v>
      </c>
      <c r="V3620" s="891">
        <f>V3605</f>
        <v>396.23999999999995</v>
      </c>
      <c r="W3620" s="893" t="s">
        <v>107</v>
      </c>
      <c r="X3620" s="891">
        <f t="shared" ref="X3620:X3627" si="356">V3620*S3620</f>
        <v>882.62459999999987</v>
      </c>
      <c r="Y3620" s="891"/>
      <c r="Z3620" s="891">
        <f>AE3619</f>
        <v>1.3162499999999999</v>
      </c>
      <c r="AA3620" s="892" t="s">
        <v>107</v>
      </c>
      <c r="AB3620" s="892"/>
      <c r="AC3620" s="891" t="s">
        <v>3138</v>
      </c>
      <c r="AD3620" s="891">
        <f>V3620</f>
        <v>396.23999999999995</v>
      </c>
      <c r="AE3620" s="892" t="s">
        <v>107</v>
      </c>
      <c r="AF3620" s="891">
        <f>AD3620*Z3620</f>
        <v>521.55089999999996</v>
      </c>
    </row>
    <row r="3621" spans="6:32" ht="18">
      <c r="H3621" s="576" t="s">
        <v>3234</v>
      </c>
      <c r="I3621" s="754" t="s">
        <v>156</v>
      </c>
      <c r="J3621" s="857">
        <v>5.1999999999999998E-2</v>
      </c>
      <c r="K3621" s="750" t="s">
        <v>793</v>
      </c>
      <c r="S3621" s="891">
        <v>4</v>
      </c>
      <c r="T3621" s="892" t="s">
        <v>223</v>
      </c>
      <c r="U3621" s="891" t="s">
        <v>3141</v>
      </c>
      <c r="V3621" s="891">
        <f t="shared" ref="V3621:V3627" si="357">AG3558</f>
        <v>57.65</v>
      </c>
      <c r="W3621" s="893" t="s">
        <v>223</v>
      </c>
      <c r="X3621" s="891">
        <f t="shared" si="356"/>
        <v>230.6</v>
      </c>
      <c r="Y3621" s="891"/>
      <c r="Z3621" s="891">
        <f>Z3620</f>
        <v>1.3162499999999999</v>
      </c>
      <c r="AA3621" s="892" t="s">
        <v>107</v>
      </c>
      <c r="AB3621" s="892"/>
      <c r="AC3621" s="891" t="s">
        <v>3139</v>
      </c>
      <c r="AD3621" s="891">
        <f t="shared" ref="AD3621:AD3628" si="358">V3621</f>
        <v>57.65</v>
      </c>
      <c r="AE3621" s="892" t="s">
        <v>107</v>
      </c>
      <c r="AF3621" s="891">
        <f t="shared" ref="AF3621:AF3629" si="359">AD3621*Z3621</f>
        <v>75.881812499999995</v>
      </c>
    </row>
    <row r="3622" spans="6:32" ht="18">
      <c r="H3622" s="576" t="s">
        <v>2998</v>
      </c>
      <c r="J3622" s="858"/>
      <c r="K3622" s="750"/>
      <c r="S3622" s="891">
        <v>6</v>
      </c>
      <c r="T3622" s="892" t="s">
        <v>223</v>
      </c>
      <c r="U3622" s="891" t="s">
        <v>3144</v>
      </c>
      <c r="V3622" s="891">
        <f t="shared" si="357"/>
        <v>89.6</v>
      </c>
      <c r="W3622" s="893" t="s">
        <v>223</v>
      </c>
      <c r="X3622" s="891">
        <f t="shared" si="356"/>
        <v>537.59999999999991</v>
      </c>
      <c r="Y3622" s="891"/>
      <c r="Z3622" s="891">
        <v>2</v>
      </c>
      <c r="AA3622" s="892" t="s">
        <v>223</v>
      </c>
      <c r="AB3622" s="892"/>
      <c r="AC3622" s="891" t="s">
        <v>3141</v>
      </c>
      <c r="AD3622" s="891">
        <f t="shared" si="358"/>
        <v>89.6</v>
      </c>
      <c r="AE3622" s="892" t="s">
        <v>223</v>
      </c>
      <c r="AF3622" s="891">
        <f t="shared" si="359"/>
        <v>179.2</v>
      </c>
    </row>
    <row r="3623" spans="6:32" ht="18">
      <c r="H3623" s="576" t="s">
        <v>3235</v>
      </c>
      <c r="I3623" s="754" t="s">
        <v>156</v>
      </c>
      <c r="J3623" s="859">
        <v>1.772E-2</v>
      </c>
      <c r="K3623" s="750"/>
      <c r="S3623" s="891">
        <v>4</v>
      </c>
      <c r="T3623" s="892" t="s">
        <v>223</v>
      </c>
      <c r="U3623" s="891" t="s">
        <v>3146</v>
      </c>
      <c r="V3623" s="891">
        <f t="shared" si="357"/>
        <v>64.8</v>
      </c>
      <c r="W3623" s="893" t="s">
        <v>223</v>
      </c>
      <c r="X3623" s="891">
        <f t="shared" si="356"/>
        <v>259.2</v>
      </c>
      <c r="Y3623" s="891"/>
      <c r="Z3623" s="891">
        <v>3</v>
      </c>
      <c r="AA3623" s="892" t="s">
        <v>223</v>
      </c>
      <c r="AB3623" s="892"/>
      <c r="AC3623" s="891" t="s">
        <v>3144</v>
      </c>
      <c r="AD3623" s="891">
        <f t="shared" si="358"/>
        <v>64.8</v>
      </c>
      <c r="AE3623" s="892" t="s">
        <v>223</v>
      </c>
      <c r="AF3623" s="891">
        <f t="shared" si="359"/>
        <v>194.39999999999998</v>
      </c>
    </row>
    <row r="3624" spans="6:32" ht="18">
      <c r="H3624" s="363"/>
      <c r="S3624" s="891">
        <v>1</v>
      </c>
      <c r="T3624" s="892" t="s">
        <v>223</v>
      </c>
      <c r="U3624" s="891" t="s">
        <v>3112</v>
      </c>
      <c r="V3624" s="891">
        <f t="shared" si="357"/>
        <v>181</v>
      </c>
      <c r="W3624" s="893" t="s">
        <v>223</v>
      </c>
      <c r="X3624" s="891">
        <f t="shared" si="356"/>
        <v>181</v>
      </c>
      <c r="Y3624" s="891"/>
      <c r="Z3624" s="891">
        <v>2</v>
      </c>
      <c r="AA3624" s="892" t="s">
        <v>223</v>
      </c>
      <c r="AB3624" s="892"/>
      <c r="AC3624" s="891" t="s">
        <v>3146</v>
      </c>
      <c r="AD3624" s="891">
        <f t="shared" si="358"/>
        <v>181</v>
      </c>
      <c r="AE3624" s="892" t="s">
        <v>223</v>
      </c>
      <c r="AF3624" s="891">
        <f t="shared" si="359"/>
        <v>362</v>
      </c>
    </row>
    <row r="3625" spans="6:32" ht="18">
      <c r="F3625" s="523">
        <v>5.3E-3</v>
      </c>
      <c r="G3625" s="368" t="s">
        <v>405</v>
      </c>
      <c r="H3625" s="356" t="s">
        <v>1955</v>
      </c>
      <c r="I3625" s="370">
        <f>I3602</f>
        <v>99765.440000000002</v>
      </c>
      <c r="J3625" s="356" t="s">
        <v>108</v>
      </c>
      <c r="K3625" s="370">
        <f t="shared" ref="K3625:K3631" si="360">(F3625*I3625)</f>
        <v>528.75683200000003</v>
      </c>
      <c r="S3625" s="891">
        <v>118</v>
      </c>
      <c r="T3625" s="892" t="s">
        <v>223</v>
      </c>
      <c r="U3625" s="891" t="s">
        <v>3150</v>
      </c>
      <c r="V3625" s="891">
        <f t="shared" si="357"/>
        <v>2.41</v>
      </c>
      <c r="W3625" s="893" t="s">
        <v>223</v>
      </c>
      <c r="X3625" s="891">
        <f t="shared" si="356"/>
        <v>284.38</v>
      </c>
      <c r="Y3625" s="891"/>
      <c r="Z3625" s="891">
        <v>1</v>
      </c>
      <c r="AA3625" s="892" t="s">
        <v>223</v>
      </c>
      <c r="AB3625" s="892"/>
      <c r="AC3625" s="891" t="s">
        <v>3112</v>
      </c>
      <c r="AD3625" s="891">
        <f t="shared" si="358"/>
        <v>2.41</v>
      </c>
      <c r="AE3625" s="892" t="s">
        <v>223</v>
      </c>
      <c r="AF3625" s="891">
        <f t="shared" si="359"/>
        <v>2.41</v>
      </c>
    </row>
    <row r="3626" spans="6:32" ht="18">
      <c r="F3626" s="523">
        <v>0.27450000000000002</v>
      </c>
      <c r="G3626" s="368" t="s">
        <v>107</v>
      </c>
      <c r="H3626" s="356" t="str">
        <f>H3604</f>
        <v>4 mm thicj frosted glass</v>
      </c>
      <c r="I3626" s="370">
        <f>I3604</f>
        <v>306.89999999999998</v>
      </c>
      <c r="J3626" s="356" t="s">
        <v>108</v>
      </c>
      <c r="K3626" s="370">
        <f t="shared" si="360"/>
        <v>84.244050000000001</v>
      </c>
      <c r="S3626" s="891">
        <v>2</v>
      </c>
      <c r="T3626" s="892" t="s">
        <v>223</v>
      </c>
      <c r="U3626" s="891" t="s">
        <v>3153</v>
      </c>
      <c r="V3626" s="891">
        <f t="shared" si="357"/>
        <v>23.1</v>
      </c>
      <c r="W3626" s="893" t="s">
        <v>223</v>
      </c>
      <c r="X3626" s="891">
        <f t="shared" si="356"/>
        <v>46.2</v>
      </c>
      <c r="Y3626" s="891"/>
      <c r="Z3626" s="891">
        <v>92</v>
      </c>
      <c r="AA3626" s="892" t="s">
        <v>223</v>
      </c>
      <c r="AB3626" s="892"/>
      <c r="AC3626" s="891" t="s">
        <v>3150</v>
      </c>
      <c r="AD3626" s="891">
        <f t="shared" si="358"/>
        <v>23.1</v>
      </c>
      <c r="AE3626" s="892" t="s">
        <v>223</v>
      </c>
      <c r="AF3626" s="891">
        <f t="shared" si="359"/>
        <v>2125.2000000000003</v>
      </c>
    </row>
    <row r="3627" spans="6:32" ht="18">
      <c r="F3627" s="523">
        <v>0.4</v>
      </c>
      <c r="G3627" s="368" t="s">
        <v>107</v>
      </c>
      <c r="H3627" s="356" t="s">
        <v>989</v>
      </c>
      <c r="I3627" s="370">
        <f>AG34</f>
        <v>1436.3999999999999</v>
      </c>
      <c r="J3627" s="356" t="s">
        <v>107</v>
      </c>
      <c r="K3627" s="370">
        <f t="shared" si="360"/>
        <v>574.55999999999995</v>
      </c>
      <c r="S3627" s="891">
        <v>2</v>
      </c>
      <c r="T3627" s="892" t="s">
        <v>223</v>
      </c>
      <c r="U3627" s="891" t="s">
        <v>3156</v>
      </c>
      <c r="V3627" s="891">
        <f t="shared" si="357"/>
        <v>49.55</v>
      </c>
      <c r="W3627" s="893" t="s">
        <v>223</v>
      </c>
      <c r="X3627" s="891">
        <f t="shared" si="356"/>
        <v>99.1</v>
      </c>
      <c r="Y3627" s="891"/>
      <c r="Z3627" s="891">
        <v>1</v>
      </c>
      <c r="AA3627" s="892" t="s">
        <v>223</v>
      </c>
      <c r="AB3627" s="892"/>
      <c r="AC3627" s="891" t="s">
        <v>3153</v>
      </c>
      <c r="AD3627" s="891">
        <f t="shared" si="358"/>
        <v>49.55</v>
      </c>
      <c r="AE3627" s="892" t="s">
        <v>223</v>
      </c>
      <c r="AF3627" s="891">
        <f t="shared" si="359"/>
        <v>49.55</v>
      </c>
    </row>
    <row r="3628" spans="6:32" ht="18">
      <c r="F3628" s="370">
        <v>2</v>
      </c>
      <c r="G3628" s="368" t="s">
        <v>1972</v>
      </c>
      <c r="H3628" s="414" t="s">
        <v>1973</v>
      </c>
      <c r="I3628" s="402">
        <v>148</v>
      </c>
      <c r="J3628" s="356" t="s">
        <v>1972</v>
      </c>
      <c r="K3628" s="370">
        <f t="shared" si="360"/>
        <v>296</v>
      </c>
      <c r="S3628" s="901"/>
      <c r="T3628" s="892" t="s">
        <v>107</v>
      </c>
      <c r="U3628" s="891"/>
      <c r="W3628" s="893" t="s">
        <v>107</v>
      </c>
      <c r="X3628" s="891">
        <f>V3627*S3628</f>
        <v>0</v>
      </c>
      <c r="Y3628" s="891"/>
      <c r="Z3628" s="891">
        <v>1</v>
      </c>
      <c r="AA3628" s="892" t="s">
        <v>223</v>
      </c>
      <c r="AB3628" s="892"/>
      <c r="AC3628" s="891" t="s">
        <v>3156</v>
      </c>
      <c r="AD3628" s="891">
        <f t="shared" si="358"/>
        <v>0</v>
      </c>
      <c r="AE3628" s="892" t="s">
        <v>223</v>
      </c>
      <c r="AF3628" s="891">
        <f t="shared" si="359"/>
        <v>0</v>
      </c>
    </row>
    <row r="3629" spans="6:32" ht="18">
      <c r="F3629" s="370">
        <v>1</v>
      </c>
      <c r="G3629" s="368" t="s">
        <v>151</v>
      </c>
      <c r="H3629" s="356" t="s">
        <v>1974</v>
      </c>
      <c r="I3629" s="370">
        <f>C295</f>
        <v>6.1</v>
      </c>
      <c r="J3629" s="356" t="s">
        <v>151</v>
      </c>
      <c r="K3629" s="370">
        <f t="shared" si="360"/>
        <v>6.1</v>
      </c>
      <c r="S3629" s="891"/>
      <c r="T3629" s="892"/>
      <c r="U3629" s="891" t="s">
        <v>3236</v>
      </c>
      <c r="V3629" s="891"/>
      <c r="W3629" s="893"/>
      <c r="X3629" s="891">
        <f>SUM(X3619:X3628)</f>
        <v>7543.7171000000008</v>
      </c>
      <c r="Y3629" s="891"/>
      <c r="Z3629" s="898">
        <v>0.35</v>
      </c>
      <c r="AA3629" s="892" t="s">
        <v>107</v>
      </c>
      <c r="AB3629" s="892"/>
      <c r="AC3629" s="891"/>
      <c r="AE3629" s="892" t="s">
        <v>107</v>
      </c>
      <c r="AF3629" s="891">
        <f t="shared" si="359"/>
        <v>0</v>
      </c>
    </row>
    <row r="3630" spans="6:32" ht="18">
      <c r="F3630" s="370">
        <v>1</v>
      </c>
      <c r="G3630" s="368" t="s">
        <v>151</v>
      </c>
      <c r="H3630" s="356" t="s">
        <v>1975</v>
      </c>
      <c r="I3630" s="370">
        <f>C293</f>
        <v>11.8</v>
      </c>
      <c r="J3630" s="356" t="s">
        <v>151</v>
      </c>
      <c r="K3630" s="370">
        <f t="shared" si="360"/>
        <v>11.8</v>
      </c>
      <c r="S3630" s="891"/>
      <c r="T3630" s="892"/>
      <c r="U3630" s="891" t="s">
        <v>2671</v>
      </c>
      <c r="V3630" s="891"/>
      <c r="W3630" s="893"/>
      <c r="X3630" s="891">
        <f>X3629/S3620</f>
        <v>3386.6294500561171</v>
      </c>
      <c r="Y3630" s="891"/>
      <c r="Z3630" s="891"/>
      <c r="AA3630" s="892"/>
      <c r="AB3630" s="892"/>
      <c r="AC3630" s="891" t="s">
        <v>3236</v>
      </c>
      <c r="AD3630" s="891"/>
      <c r="AE3630" s="894"/>
      <c r="AF3630" s="891">
        <f>SUM(AF3620:AF3629)</f>
        <v>3510.1927125000002</v>
      </c>
    </row>
    <row r="3631" spans="6:32" ht="18">
      <c r="F3631" s="370">
        <v>10</v>
      </c>
      <c r="H3631" s="356" t="s">
        <v>1951</v>
      </c>
      <c r="I3631" s="370">
        <f>I3610</f>
        <v>2.41</v>
      </c>
      <c r="J3631" s="356" t="s">
        <v>151</v>
      </c>
      <c r="K3631" s="370">
        <f t="shared" si="360"/>
        <v>24.1</v>
      </c>
      <c r="W3631" s="361"/>
      <c r="Z3631" s="891"/>
      <c r="AA3631" s="892"/>
      <c r="AB3631" s="892"/>
      <c r="AC3631" s="891" t="s">
        <v>2671</v>
      </c>
      <c r="AD3631" s="891"/>
      <c r="AE3631" s="894"/>
      <c r="AF3631" s="891">
        <f>AF3630/Z3621</f>
        <v>2666.8130769230775</v>
      </c>
    </row>
    <row r="3632" spans="6:32" ht="15.75">
      <c r="K3632" s="363" t="s">
        <v>117</v>
      </c>
      <c r="S3632" s="35"/>
      <c r="U3632" s="359" t="s">
        <v>1976</v>
      </c>
      <c r="W3632" s="361"/>
    </row>
    <row r="3633" spans="6:25" ht="15.75">
      <c r="H3633" s="357" t="s">
        <v>1977</v>
      </c>
      <c r="K3633" s="370">
        <f>SUM(K3615:K3631)</f>
        <v>1525.5608819999998</v>
      </c>
      <c r="S3633" s="35"/>
      <c r="U3633" s="437" t="s">
        <v>3237</v>
      </c>
      <c r="W3633" s="361"/>
    </row>
    <row r="3634" spans="6:25" ht="15">
      <c r="K3634" s="363" t="s">
        <v>117</v>
      </c>
      <c r="S3634" s="35"/>
      <c r="W3634" s="361"/>
    </row>
    <row r="3635" spans="6:25" ht="15.75">
      <c r="H3635" s="372" t="s">
        <v>177</v>
      </c>
      <c r="I3635" s="356" t="s">
        <v>114</v>
      </c>
      <c r="K3635" s="369">
        <f>K3633/F3627</f>
        <v>3813.9022049999994</v>
      </c>
      <c r="S3635" s="35"/>
      <c r="W3635" s="361"/>
    </row>
    <row r="3636" spans="6:25" ht="15.75">
      <c r="F3636" s="356" t="s">
        <v>114</v>
      </c>
      <c r="S3636" s="532">
        <v>2.2800000000000001E-2</v>
      </c>
      <c r="T3636" s="533" t="s">
        <v>108</v>
      </c>
      <c r="U3636" s="35" t="s">
        <v>1978</v>
      </c>
      <c r="V3636" s="534">
        <f>P1113</f>
        <v>111965.44</v>
      </c>
      <c r="W3636" s="722" t="s">
        <v>108</v>
      </c>
      <c r="X3636" s="534">
        <f>V3636*S3636</f>
        <v>2552.8120320000003</v>
      </c>
      <c r="Y3636" s="534"/>
    </row>
    <row r="3637" spans="6:25" ht="15.75">
      <c r="K3637" s="363" t="s">
        <v>156</v>
      </c>
      <c r="S3637" s="532">
        <v>3.5400000000000001E-2</v>
      </c>
      <c r="T3637" s="533" t="s">
        <v>108</v>
      </c>
      <c r="U3637" s="534" t="s">
        <v>1979</v>
      </c>
      <c r="V3637" s="534">
        <f>P1114</f>
        <v>99765.440000000002</v>
      </c>
      <c r="W3637" s="722" t="s">
        <v>108</v>
      </c>
      <c r="X3637" s="534">
        <f t="shared" ref="X3637:X3646" si="361">V3637*S3637</f>
        <v>3531.6965760000003</v>
      </c>
      <c r="Y3637" s="534"/>
    </row>
    <row r="3638" spans="6:25" ht="63">
      <c r="F3638" s="35">
        <v>45</v>
      </c>
      <c r="H3638" s="906" t="s">
        <v>3238</v>
      </c>
      <c r="I3638" s="906"/>
      <c r="J3638" s="906"/>
      <c r="S3638" s="536">
        <v>3.2300000000000002E-2</v>
      </c>
      <c r="T3638" s="533" t="s">
        <v>108</v>
      </c>
      <c r="U3638" s="534" t="s">
        <v>1980</v>
      </c>
      <c r="V3638" s="534">
        <f>P1115</f>
        <v>95365.440000000002</v>
      </c>
      <c r="W3638" s="722" t="s">
        <v>108</v>
      </c>
      <c r="X3638" s="534">
        <f t="shared" si="361"/>
        <v>3080.3037120000004</v>
      </c>
      <c r="Y3638" s="534"/>
    </row>
    <row r="3639" spans="6:25" ht="15.75">
      <c r="H3639" s="906"/>
      <c r="I3639" s="906"/>
      <c r="J3639" s="906"/>
      <c r="S3639" s="537">
        <v>2.835</v>
      </c>
      <c r="T3639" s="533" t="s">
        <v>107</v>
      </c>
      <c r="U3639" s="534" t="s">
        <v>1981</v>
      </c>
      <c r="V3639" s="534">
        <f>P1116</f>
        <v>1844.3999999999999</v>
      </c>
      <c r="W3639" s="722" t="s">
        <v>107</v>
      </c>
      <c r="X3639" s="534">
        <f t="shared" si="361"/>
        <v>5228.8739999999998</v>
      </c>
      <c r="Y3639" s="534"/>
    </row>
    <row r="3640" spans="6:25" ht="15.75">
      <c r="S3640" s="534">
        <v>2</v>
      </c>
      <c r="T3640" s="533" t="s">
        <v>3</v>
      </c>
      <c r="U3640" s="35" t="s">
        <v>2773</v>
      </c>
      <c r="V3640" s="448">
        <v>254.5</v>
      </c>
      <c r="W3640" s="722" t="s">
        <v>194</v>
      </c>
      <c r="X3640" s="534">
        <f t="shared" si="361"/>
        <v>509</v>
      </c>
      <c r="Y3640" s="534"/>
    </row>
    <row r="3641" spans="6:25" ht="30">
      <c r="F3641" s="907">
        <v>0.15</v>
      </c>
      <c r="G3641" s="908" t="s">
        <v>108</v>
      </c>
      <c r="H3641" s="430" t="s">
        <v>3239</v>
      </c>
      <c r="I3641" s="909">
        <f>91.1/0.0354</f>
        <v>2573.4463276836154</v>
      </c>
      <c r="J3641" s="910" t="s">
        <v>108</v>
      </c>
      <c r="K3641" s="908">
        <f t="shared" ref="K3641:K3646" si="362">I3641*F3641</f>
        <v>386.01694915254228</v>
      </c>
      <c r="L3641" s="908"/>
      <c r="S3641" s="534">
        <v>6</v>
      </c>
      <c r="T3641" s="533" t="s">
        <v>3</v>
      </c>
      <c r="U3641" s="35" t="s">
        <v>2774</v>
      </c>
      <c r="V3641" s="448">
        <v>214.1</v>
      </c>
      <c r="W3641" s="722" t="s">
        <v>194</v>
      </c>
      <c r="X3641" s="534">
        <f t="shared" si="361"/>
        <v>1284.5999999999999</v>
      </c>
      <c r="Y3641" s="534"/>
    </row>
    <row r="3642" spans="6:25" ht="15.75">
      <c r="F3642" s="461">
        <v>7.1999999999999995E-2</v>
      </c>
      <c r="G3642" s="358" t="s">
        <v>124</v>
      </c>
      <c r="H3642" s="35" t="s">
        <v>125</v>
      </c>
      <c r="I3642" s="35">
        <f>I1647</f>
        <v>6372.14</v>
      </c>
      <c r="J3642" s="360" t="s">
        <v>124</v>
      </c>
      <c r="K3642" s="35">
        <f t="shared" si="362"/>
        <v>458.79408000000001</v>
      </c>
      <c r="S3642" s="534">
        <v>4</v>
      </c>
      <c r="T3642" s="533" t="s">
        <v>3</v>
      </c>
      <c r="U3642" s="35" t="s">
        <v>2775</v>
      </c>
      <c r="V3642" s="448">
        <v>408</v>
      </c>
      <c r="W3642" s="722" t="s">
        <v>194</v>
      </c>
      <c r="X3642" s="534">
        <f t="shared" si="361"/>
        <v>1632</v>
      </c>
      <c r="Y3642" s="534"/>
    </row>
    <row r="3643" spans="6:25" ht="15.75">
      <c r="F3643" s="370">
        <v>1.6</v>
      </c>
      <c r="G3643" s="358" t="s">
        <v>223</v>
      </c>
      <c r="H3643" s="35" t="s">
        <v>162</v>
      </c>
      <c r="I3643" s="35">
        <f>I1648</f>
        <v>1198.8</v>
      </c>
      <c r="J3643" s="360" t="s">
        <v>223</v>
      </c>
      <c r="K3643" s="35">
        <f t="shared" si="362"/>
        <v>1918.08</v>
      </c>
      <c r="S3643" s="534">
        <v>1</v>
      </c>
      <c r="T3643" s="533" t="s">
        <v>3</v>
      </c>
      <c r="U3643" s="35" t="s">
        <v>2776</v>
      </c>
      <c r="V3643" s="465">
        <v>985</v>
      </c>
      <c r="W3643" s="722" t="s">
        <v>194</v>
      </c>
      <c r="X3643" s="534">
        <f t="shared" si="361"/>
        <v>985</v>
      </c>
      <c r="Y3643" s="534"/>
    </row>
    <row r="3644" spans="6:25" ht="15.75">
      <c r="F3644" s="370">
        <v>0.5</v>
      </c>
      <c r="G3644" s="358" t="s">
        <v>223</v>
      </c>
      <c r="H3644" s="35" t="s">
        <v>153</v>
      </c>
      <c r="I3644" s="35">
        <f>I1649</f>
        <v>781.19999999999993</v>
      </c>
      <c r="J3644" s="360" t="s">
        <v>223</v>
      </c>
      <c r="K3644" s="35">
        <f t="shared" si="362"/>
        <v>390.59999999999997</v>
      </c>
      <c r="S3644" s="534">
        <v>2</v>
      </c>
      <c r="T3644" s="533" t="s">
        <v>3</v>
      </c>
      <c r="U3644" s="35" t="s">
        <v>2782</v>
      </c>
      <c r="V3644" s="465">
        <v>23.1</v>
      </c>
      <c r="W3644" s="722" t="s">
        <v>194</v>
      </c>
      <c r="X3644" s="534">
        <f t="shared" si="361"/>
        <v>46.2</v>
      </c>
      <c r="Y3644" s="534"/>
    </row>
    <row r="3645" spans="6:25" ht="15.75">
      <c r="F3645" s="370">
        <v>1.1000000000000001</v>
      </c>
      <c r="G3645" s="358" t="s">
        <v>223</v>
      </c>
      <c r="H3645" s="35" t="s">
        <v>154</v>
      </c>
      <c r="I3645" s="35">
        <f>I1650</f>
        <v>640.79999999999995</v>
      </c>
      <c r="J3645" s="360" t="s">
        <v>223</v>
      </c>
      <c r="K3645" s="35">
        <f t="shared" si="362"/>
        <v>704.88</v>
      </c>
      <c r="S3645" s="534">
        <v>2</v>
      </c>
      <c r="T3645" s="533" t="s">
        <v>3</v>
      </c>
      <c r="U3645" s="534" t="s">
        <v>995</v>
      </c>
      <c r="V3645" s="534">
        <v>49.55</v>
      </c>
      <c r="W3645" s="722" t="s">
        <v>194</v>
      </c>
      <c r="X3645" s="534">
        <f t="shared" si="361"/>
        <v>99.1</v>
      </c>
      <c r="Y3645" s="534"/>
    </row>
    <row r="3646" spans="6:25" ht="15.75">
      <c r="F3646" s="370">
        <v>14.5</v>
      </c>
      <c r="G3646" s="358" t="s">
        <v>109</v>
      </c>
      <c r="H3646" s="35" t="s">
        <v>3240</v>
      </c>
      <c r="I3646" s="35">
        <f>I3749</f>
        <v>24.925000000000001</v>
      </c>
      <c r="J3646" s="360" t="s">
        <v>109</v>
      </c>
      <c r="K3646" s="35">
        <f t="shared" si="362"/>
        <v>361.41250000000002</v>
      </c>
      <c r="S3646" s="404">
        <v>118</v>
      </c>
      <c r="T3646" s="455"/>
      <c r="U3646" s="404" t="s">
        <v>1951</v>
      </c>
      <c r="V3646" s="534">
        <v>2.41</v>
      </c>
      <c r="W3646" s="722"/>
      <c r="X3646" s="534">
        <f t="shared" si="361"/>
        <v>284.38</v>
      </c>
      <c r="Y3646" s="534"/>
    </row>
    <row r="3647" spans="6:25" ht="15.75">
      <c r="G3647" s="358" t="s">
        <v>265</v>
      </c>
      <c r="H3647" s="35" t="s">
        <v>129</v>
      </c>
      <c r="J3647" s="360" t="s">
        <v>265</v>
      </c>
      <c r="K3647" s="35">
        <v>7</v>
      </c>
      <c r="S3647" s="35"/>
      <c r="W3647" s="722"/>
      <c r="X3647" s="411">
        <f>SUM(X3636:X3646)</f>
        <v>19233.96632</v>
      </c>
      <c r="Y3647" s="411"/>
    </row>
    <row r="3648" spans="6:25" ht="15.75">
      <c r="S3648" s="534"/>
      <c r="T3648" s="455"/>
      <c r="U3648" s="411"/>
      <c r="V3648" s="534"/>
      <c r="W3648" s="722"/>
      <c r="X3648" s="538" t="s">
        <v>1992</v>
      </c>
      <c r="Y3648" s="538"/>
    </row>
    <row r="3649" spans="6:35" ht="15.75">
      <c r="H3649" s="35" t="s">
        <v>176</v>
      </c>
      <c r="K3649" s="35">
        <f>SUM(K3641:K3648)</f>
        <v>4226.7835291525425</v>
      </c>
      <c r="S3649" s="534"/>
      <c r="T3649" s="455"/>
      <c r="U3649" s="411" t="s">
        <v>1995</v>
      </c>
      <c r="V3649" s="534"/>
      <c r="W3649" s="722"/>
      <c r="X3649" s="411">
        <f>X3647/2.835</f>
        <v>6784.4678377425043</v>
      </c>
      <c r="Y3649" s="411"/>
    </row>
    <row r="3650" spans="6:35" ht="15.75">
      <c r="H3650" s="35" t="s">
        <v>177</v>
      </c>
      <c r="K3650" s="35">
        <f>K3649/10</f>
        <v>422.67835291525427</v>
      </c>
      <c r="S3650" s="534"/>
      <c r="T3650" s="455"/>
      <c r="W3650" s="361"/>
      <c r="X3650" s="415" t="s">
        <v>1992</v>
      </c>
      <c r="Y3650" s="415"/>
      <c r="AD3650" s="911" t="s">
        <v>3241</v>
      </c>
      <c r="AE3650" s="911"/>
      <c r="AF3650" s="911"/>
      <c r="AG3650" s="911"/>
      <c r="AH3650" s="911"/>
      <c r="AI3650" s="911"/>
    </row>
    <row r="3651" spans="6:35" ht="15">
      <c r="S3651" s="35"/>
      <c r="W3651" s="361"/>
      <c r="AD3651" s="911"/>
      <c r="AE3651" s="911"/>
      <c r="AF3651" s="911"/>
      <c r="AG3651" s="911"/>
      <c r="AH3651" s="911"/>
      <c r="AI3651" s="911"/>
    </row>
    <row r="3652" spans="6:35" ht="16.5">
      <c r="K3652" s="35" t="s">
        <v>156</v>
      </c>
      <c r="S3652" s="912" t="s">
        <v>3242</v>
      </c>
      <c r="T3652" s="912"/>
      <c r="U3652" s="912"/>
      <c r="V3652" s="912"/>
      <c r="W3652" s="913"/>
      <c r="X3652" s="913"/>
      <c r="Y3652" s="913"/>
      <c r="Z3652" s="585"/>
      <c r="AD3652" s="588"/>
      <c r="AE3652" s="589"/>
      <c r="AF3652" s="590"/>
      <c r="AG3652" s="591"/>
      <c r="AH3652" s="589"/>
      <c r="AI3652" s="591"/>
    </row>
    <row r="3653" spans="6:35" ht="16.5">
      <c r="S3653" s="588"/>
      <c r="T3653" s="589"/>
      <c r="U3653" s="590"/>
      <c r="V3653" s="591"/>
      <c r="W3653" s="914"/>
      <c r="X3653" s="591"/>
      <c r="Y3653" s="591"/>
      <c r="Z3653" s="585"/>
      <c r="AD3653" s="588"/>
      <c r="AE3653" s="589"/>
      <c r="AF3653" s="592"/>
      <c r="AG3653" s="915"/>
      <c r="AH3653" s="589"/>
      <c r="AI3653" s="591"/>
    </row>
    <row r="3654" spans="6:35" ht="33">
      <c r="G3654" s="35"/>
      <c r="H3654" s="372" t="s">
        <v>3243</v>
      </c>
      <c r="J3654" s="35"/>
      <c r="S3654" s="588"/>
      <c r="T3654" s="589"/>
      <c r="U3654" s="592"/>
      <c r="V3654" s="915"/>
      <c r="W3654" s="914"/>
      <c r="X3654" s="591"/>
      <c r="Y3654" s="591"/>
      <c r="Z3654" s="585"/>
      <c r="AD3654" s="588">
        <v>38.86</v>
      </c>
      <c r="AE3654" s="589" t="s">
        <v>480</v>
      </c>
      <c r="AF3654" s="916" t="s">
        <v>3244</v>
      </c>
      <c r="AG3654" s="591">
        <f>V3655</f>
        <v>347.7</v>
      </c>
      <c r="AH3654" s="589" t="s">
        <v>480</v>
      </c>
      <c r="AI3654" s="591">
        <f>AG3654*AD3654</f>
        <v>13511.621999999999</v>
      </c>
    </row>
    <row r="3655" spans="6:35" ht="16.5">
      <c r="G3655" s="35"/>
      <c r="H3655" s="363" t="s">
        <v>117</v>
      </c>
      <c r="J3655" s="35"/>
      <c r="S3655" s="588">
        <v>28.49</v>
      </c>
      <c r="T3655" s="589" t="s">
        <v>480</v>
      </c>
      <c r="U3655" s="916" t="s">
        <v>3244</v>
      </c>
      <c r="V3655" s="917">
        <f>I3783</f>
        <v>347.7</v>
      </c>
      <c r="W3655" s="914" t="s">
        <v>480</v>
      </c>
      <c r="X3655" s="591">
        <f>V3655*S3655</f>
        <v>9905.973</v>
      </c>
      <c r="Y3655" s="591"/>
      <c r="Z3655" s="585"/>
      <c r="AD3655" s="918">
        <v>34.65</v>
      </c>
      <c r="AE3655" s="589" t="s">
        <v>31</v>
      </c>
      <c r="AF3655" s="592" t="s">
        <v>3245</v>
      </c>
      <c r="AG3655" s="591">
        <f>V3656</f>
        <v>38.25</v>
      </c>
      <c r="AH3655" s="589" t="s">
        <v>31</v>
      </c>
      <c r="AI3655" s="591">
        <f t="shared" ref="AI3655:AI3662" si="363">AG3655*AD3655</f>
        <v>1325.3625</v>
      </c>
    </row>
    <row r="3656" spans="6:35" ht="16.5">
      <c r="G3656" s="356" t="s">
        <v>122</v>
      </c>
      <c r="H3656" s="359" t="s">
        <v>3246</v>
      </c>
      <c r="J3656" s="35"/>
      <c r="S3656" s="918">
        <v>3.82</v>
      </c>
      <c r="T3656" s="589" t="s">
        <v>31</v>
      </c>
      <c r="U3656" s="592" t="s">
        <v>3247</v>
      </c>
      <c r="V3656" s="917">
        <v>38.25</v>
      </c>
      <c r="W3656" s="914" t="s">
        <v>31</v>
      </c>
      <c r="X3656" s="591">
        <v>501.66</v>
      </c>
      <c r="Y3656" s="591"/>
      <c r="Z3656" s="585"/>
      <c r="AD3656" s="588">
        <v>2.4300000000000002</v>
      </c>
      <c r="AE3656" s="589" t="s">
        <v>478</v>
      </c>
      <c r="AF3656" s="592" t="s">
        <v>3248</v>
      </c>
      <c r="AG3656" s="591">
        <f>V3657</f>
        <v>362.5</v>
      </c>
      <c r="AH3656" s="589" t="s">
        <v>478</v>
      </c>
      <c r="AI3656" s="591">
        <f t="shared" si="363"/>
        <v>880.87500000000011</v>
      </c>
    </row>
    <row r="3657" spans="6:35" ht="16.5">
      <c r="G3657" s="35"/>
      <c r="H3657" s="359" t="s">
        <v>3249</v>
      </c>
      <c r="J3657" s="35"/>
      <c r="S3657" s="588">
        <v>1.52</v>
      </c>
      <c r="T3657" s="589" t="s">
        <v>478</v>
      </c>
      <c r="U3657" s="592" t="s">
        <v>3248</v>
      </c>
      <c r="V3657" s="917">
        <v>362.5</v>
      </c>
      <c r="W3657" s="914" t="s">
        <v>478</v>
      </c>
      <c r="X3657" s="591">
        <f t="shared" ref="X3657:X3666" si="364">V3657*S3657</f>
        <v>551</v>
      </c>
      <c r="Y3657" s="591"/>
      <c r="Z3657" s="585"/>
      <c r="AD3657" s="588">
        <v>4.8499999999999996</v>
      </c>
      <c r="AE3657" s="589" t="s">
        <v>478</v>
      </c>
      <c r="AF3657" s="592" t="s">
        <v>3250</v>
      </c>
      <c r="AG3657" s="591">
        <f>V3658</f>
        <v>695</v>
      </c>
      <c r="AH3657" s="589" t="s">
        <v>223</v>
      </c>
      <c r="AI3657" s="591">
        <f t="shared" si="363"/>
        <v>3370.7499999999995</v>
      </c>
    </row>
    <row r="3658" spans="6:35" ht="18">
      <c r="G3658" s="35"/>
      <c r="H3658" s="359" t="s">
        <v>1197</v>
      </c>
      <c r="J3658" s="35"/>
      <c r="S3658" s="588">
        <v>1.52</v>
      </c>
      <c r="T3658" s="589" t="s">
        <v>478</v>
      </c>
      <c r="U3658" s="592" t="s">
        <v>3250</v>
      </c>
      <c r="V3658" s="915">
        <v>695</v>
      </c>
      <c r="W3658" s="914" t="s">
        <v>223</v>
      </c>
      <c r="X3658" s="591">
        <f t="shared" si="364"/>
        <v>1056.4000000000001</v>
      </c>
      <c r="Y3658" s="591"/>
      <c r="Z3658" s="585"/>
      <c r="AD3658" s="891">
        <v>144</v>
      </c>
      <c r="AE3658" s="892" t="s">
        <v>3</v>
      </c>
      <c r="AF3658" s="891" t="s">
        <v>3251</v>
      </c>
      <c r="AG3658" s="917">
        <v>2.41</v>
      </c>
      <c r="AH3658" s="894" t="s">
        <v>292</v>
      </c>
      <c r="AI3658" s="591">
        <f>AG3658*AD3658</f>
        <v>347.04</v>
      </c>
    </row>
    <row r="3659" spans="6:35" ht="18">
      <c r="G3659" s="35"/>
      <c r="H3659" s="363" t="s">
        <v>117</v>
      </c>
      <c r="J3659" s="35"/>
      <c r="S3659" s="588">
        <v>3</v>
      </c>
      <c r="T3659" s="589" t="s">
        <v>29</v>
      </c>
      <c r="U3659" s="592" t="s">
        <v>3252</v>
      </c>
      <c r="V3659" s="917">
        <v>11.9</v>
      </c>
      <c r="W3659" s="914" t="s">
        <v>29</v>
      </c>
      <c r="X3659" s="591">
        <f t="shared" si="364"/>
        <v>35.700000000000003</v>
      </c>
      <c r="Y3659" s="591"/>
      <c r="Z3659" s="585"/>
      <c r="AD3659" s="891">
        <v>12</v>
      </c>
      <c r="AE3659" s="892" t="s">
        <v>3</v>
      </c>
      <c r="AF3659" s="891" t="s">
        <v>3253</v>
      </c>
      <c r="AG3659" s="917">
        <v>4.88</v>
      </c>
      <c r="AH3659" s="894" t="s">
        <v>292</v>
      </c>
      <c r="AI3659" s="591">
        <f>AG3659*AD3659</f>
        <v>58.56</v>
      </c>
    </row>
    <row r="3660" spans="6:35" ht="18">
      <c r="G3660" s="356" t="s">
        <v>1200</v>
      </c>
      <c r="H3660" s="919" t="s">
        <v>3254</v>
      </c>
      <c r="J3660" s="35"/>
      <c r="S3660" s="588">
        <v>4.2</v>
      </c>
      <c r="T3660" s="589" t="s">
        <v>194</v>
      </c>
      <c r="U3660" s="592" t="s">
        <v>3255</v>
      </c>
      <c r="V3660" s="917">
        <v>7.95</v>
      </c>
      <c r="W3660" s="914" t="s">
        <v>223</v>
      </c>
      <c r="X3660" s="591">
        <f t="shared" si="364"/>
        <v>33.39</v>
      </c>
      <c r="Y3660" s="591"/>
      <c r="Z3660" s="585"/>
      <c r="AD3660" s="891">
        <v>12</v>
      </c>
      <c r="AE3660" s="892" t="s">
        <v>3</v>
      </c>
      <c r="AF3660" s="891" t="s">
        <v>3256</v>
      </c>
      <c r="AG3660" s="917">
        <v>1.08</v>
      </c>
      <c r="AH3660" s="894" t="s">
        <v>292</v>
      </c>
      <c r="AI3660" s="591">
        <f>AG3660*AD3660</f>
        <v>12.96</v>
      </c>
    </row>
    <row r="3661" spans="6:35" ht="16.5">
      <c r="G3661" s="35"/>
      <c r="H3661" s="363" t="s">
        <v>117</v>
      </c>
      <c r="J3661" s="35"/>
      <c r="S3661" s="588">
        <v>3.15</v>
      </c>
      <c r="T3661" s="589" t="s">
        <v>262</v>
      </c>
      <c r="U3661" s="592" t="s">
        <v>2228</v>
      </c>
      <c r="V3661" s="585">
        <f>X3677</f>
        <v>2397.6</v>
      </c>
      <c r="W3661" s="914" t="s">
        <v>262</v>
      </c>
      <c r="X3661" s="591">
        <f t="shared" si="364"/>
        <v>7552.44</v>
      </c>
      <c r="Y3661" s="591"/>
      <c r="Z3661" s="585"/>
      <c r="AD3661" s="588">
        <v>2</v>
      </c>
      <c r="AE3661" s="589" t="s">
        <v>29</v>
      </c>
      <c r="AF3661" s="592" t="s">
        <v>3257</v>
      </c>
      <c r="AG3661" s="917">
        <f>V3659</f>
        <v>11.9</v>
      </c>
      <c r="AH3661" s="589" t="s">
        <v>29</v>
      </c>
      <c r="AI3661" s="591">
        <f t="shared" si="363"/>
        <v>23.8</v>
      </c>
    </row>
    <row r="3662" spans="6:35" ht="16.5">
      <c r="F3662" s="370">
        <v>18.899999999999999</v>
      </c>
      <c r="G3662" s="356" t="s">
        <v>108</v>
      </c>
      <c r="H3662" s="356" t="s">
        <v>1204</v>
      </c>
      <c r="I3662" s="370">
        <f>P433</f>
        <v>268.91999999999996</v>
      </c>
      <c r="J3662" s="356" t="s">
        <v>108</v>
      </c>
      <c r="K3662" s="370">
        <f>(F3662*I3662)</f>
        <v>5082.5879999999988</v>
      </c>
      <c r="S3662" s="411">
        <v>1</v>
      </c>
      <c r="T3662" s="455" t="s">
        <v>3</v>
      </c>
      <c r="U3662" s="411" t="s">
        <v>3258</v>
      </c>
      <c r="V3662" s="872">
        <v>49.55</v>
      </c>
      <c r="W3662" s="437" t="s">
        <v>194</v>
      </c>
      <c r="X3662" s="411">
        <f t="shared" si="364"/>
        <v>49.55</v>
      </c>
      <c r="Y3662" s="411"/>
      <c r="Z3662" s="585"/>
      <c r="AD3662" s="588">
        <v>6.6150000000000002</v>
      </c>
      <c r="AE3662" s="589" t="s">
        <v>262</v>
      </c>
      <c r="AF3662" s="592" t="s">
        <v>2228</v>
      </c>
      <c r="AG3662" s="917">
        <f>V3661</f>
        <v>2397.6</v>
      </c>
      <c r="AH3662" s="589" t="s">
        <v>262</v>
      </c>
      <c r="AI3662" s="591">
        <f t="shared" si="363"/>
        <v>15860.124</v>
      </c>
    </row>
    <row r="3663" spans="6:35" ht="16.5">
      <c r="F3663" s="370">
        <v>18.63</v>
      </c>
      <c r="G3663" s="356" t="s">
        <v>108</v>
      </c>
      <c r="H3663" s="356" t="s">
        <v>1206</v>
      </c>
      <c r="I3663" s="370">
        <f>P434</f>
        <v>46.74</v>
      </c>
      <c r="J3663" s="356" t="s">
        <v>108</v>
      </c>
      <c r="K3663" s="370">
        <f>(F3663*I3663)</f>
        <v>870.76620000000003</v>
      </c>
      <c r="S3663" s="411">
        <v>1</v>
      </c>
      <c r="T3663" s="455" t="s">
        <v>3</v>
      </c>
      <c r="U3663" s="411" t="s">
        <v>3259</v>
      </c>
      <c r="V3663" s="872">
        <v>1008</v>
      </c>
      <c r="W3663" s="437" t="s">
        <v>194</v>
      </c>
      <c r="X3663" s="411">
        <f t="shared" si="364"/>
        <v>1008</v>
      </c>
      <c r="Y3663" s="411"/>
      <c r="Z3663" s="585"/>
      <c r="AD3663" s="588"/>
      <c r="AE3663" s="589"/>
      <c r="AF3663" s="356" t="s">
        <v>3260</v>
      </c>
      <c r="AG3663" s="917"/>
      <c r="AH3663" s="589"/>
      <c r="AI3663" s="595">
        <f>SUM(AI3654:AI3662)</f>
        <v>35391.093500000003</v>
      </c>
    </row>
    <row r="3664" spans="6:35" ht="31.5">
      <c r="F3664" s="370">
        <v>30</v>
      </c>
      <c r="G3664" s="356" t="s">
        <v>110</v>
      </c>
      <c r="H3664" s="438" t="s">
        <v>3261</v>
      </c>
      <c r="I3664" s="920">
        <v>288</v>
      </c>
      <c r="J3664" s="356" t="s">
        <v>110</v>
      </c>
      <c r="K3664" s="370">
        <f>(F3664*I3664)</f>
        <v>8640</v>
      </c>
      <c r="S3664" s="891">
        <v>45</v>
      </c>
      <c r="T3664" s="892" t="s">
        <v>3</v>
      </c>
      <c r="U3664" s="891" t="s">
        <v>3262</v>
      </c>
      <c r="V3664" s="921">
        <v>2.21</v>
      </c>
      <c r="W3664" s="893" t="s">
        <v>292</v>
      </c>
      <c r="X3664" s="591">
        <f t="shared" si="364"/>
        <v>99.45</v>
      </c>
      <c r="Y3664" s="591"/>
      <c r="Z3664" s="585"/>
      <c r="AD3664" s="588"/>
      <c r="AE3664" s="589"/>
      <c r="AF3664" s="356" t="s">
        <v>177</v>
      </c>
      <c r="AG3664" s="917"/>
      <c r="AH3664" s="913"/>
      <c r="AI3664" s="595">
        <f>AI3663/AD3662</f>
        <v>5350.1275132275132</v>
      </c>
    </row>
    <row r="3665" spans="6:35" ht="18">
      <c r="G3665" s="35"/>
      <c r="J3665" s="35"/>
      <c r="S3665" s="891">
        <v>2</v>
      </c>
      <c r="T3665" s="892" t="s">
        <v>3</v>
      </c>
      <c r="U3665" s="891" t="s">
        <v>3263</v>
      </c>
      <c r="V3665" s="921">
        <v>130.5</v>
      </c>
      <c r="W3665" s="437" t="s">
        <v>194</v>
      </c>
      <c r="X3665" s="591">
        <f t="shared" si="364"/>
        <v>261</v>
      </c>
      <c r="Y3665" s="591"/>
      <c r="Z3665" s="585"/>
      <c r="AD3665" s="585"/>
      <c r="AE3665" s="585"/>
      <c r="AF3665" s="598"/>
      <c r="AG3665" s="917"/>
      <c r="AH3665" s="585"/>
      <c r="AI3665" s="585"/>
    </row>
    <row r="3666" spans="6:35" ht="18">
      <c r="F3666" s="370">
        <v>30</v>
      </c>
      <c r="G3666" s="356" t="s">
        <v>110</v>
      </c>
      <c r="H3666" s="356" t="s">
        <v>1208</v>
      </c>
      <c r="I3666" s="922">
        <f>19.1*1.1</f>
        <v>21.01</v>
      </c>
      <c r="J3666" s="356" t="s">
        <v>110</v>
      </c>
      <c r="K3666" s="370">
        <f>(F3666*I3666)</f>
        <v>630.30000000000007</v>
      </c>
      <c r="S3666" s="891">
        <v>2</v>
      </c>
      <c r="T3666" s="892" t="s">
        <v>3</v>
      </c>
      <c r="U3666" s="891" t="s">
        <v>3264</v>
      </c>
      <c r="V3666" s="921">
        <v>64.8</v>
      </c>
      <c r="W3666" s="437" t="s">
        <v>194</v>
      </c>
      <c r="X3666" s="591">
        <f t="shared" si="364"/>
        <v>129.6</v>
      </c>
      <c r="Y3666" s="591"/>
      <c r="Z3666" s="585"/>
      <c r="AD3666" s="591">
        <v>1</v>
      </c>
      <c r="AE3666" s="589" t="s">
        <v>151</v>
      </c>
      <c r="AF3666" s="592" t="s">
        <v>2230</v>
      </c>
      <c r="AG3666" s="917">
        <f>V3672</f>
        <v>1057.2</v>
      </c>
      <c r="AH3666" s="592" t="s">
        <v>151</v>
      </c>
      <c r="AI3666" s="591">
        <f>AG3666*AD3666</f>
        <v>1057.2</v>
      </c>
    </row>
    <row r="3667" spans="6:35" ht="16.5">
      <c r="G3667" s="35"/>
      <c r="H3667" s="356" t="s">
        <v>1210</v>
      </c>
      <c r="J3667" s="35"/>
      <c r="S3667" s="35"/>
      <c r="W3667" s="361"/>
      <c r="X3667" s="36"/>
      <c r="Y3667" s="36"/>
      <c r="Z3667" s="585"/>
      <c r="AD3667" s="591">
        <v>1</v>
      </c>
      <c r="AE3667" s="589" t="s">
        <v>151</v>
      </c>
      <c r="AF3667" s="592" t="s">
        <v>2231</v>
      </c>
      <c r="AG3667" s="917">
        <f>V3673</f>
        <v>781.19999999999993</v>
      </c>
      <c r="AH3667" s="592" t="s">
        <v>151</v>
      </c>
      <c r="AI3667" s="591">
        <f>AG3667*AD3667</f>
        <v>781.19999999999993</v>
      </c>
    </row>
    <row r="3668" spans="6:35" ht="16.5">
      <c r="G3668" s="35"/>
      <c r="H3668" s="356" t="s">
        <v>1212</v>
      </c>
      <c r="J3668" s="35"/>
      <c r="S3668" s="588"/>
      <c r="T3668" s="589"/>
      <c r="U3668" s="592"/>
      <c r="V3668" s="585"/>
      <c r="W3668" s="593"/>
      <c r="X3668" s="591"/>
      <c r="Y3668" s="591"/>
      <c r="Z3668" s="585"/>
      <c r="AD3668" s="591">
        <v>0.5</v>
      </c>
      <c r="AE3668" s="589" t="s">
        <v>151</v>
      </c>
      <c r="AF3668" s="592" t="s">
        <v>2232</v>
      </c>
      <c r="AG3668" s="917">
        <f>V3674</f>
        <v>1118.3999999999999</v>
      </c>
      <c r="AH3668" s="592" t="s">
        <v>151</v>
      </c>
      <c r="AI3668" s="591">
        <f>AG3668*AD3668</f>
        <v>559.19999999999993</v>
      </c>
    </row>
    <row r="3669" spans="6:35" ht="16.5">
      <c r="G3669" s="35"/>
      <c r="H3669" s="356" t="s">
        <v>1214</v>
      </c>
      <c r="J3669" s="35"/>
      <c r="S3669" s="588"/>
      <c r="T3669" s="589"/>
      <c r="U3669" s="356" t="s">
        <v>3265</v>
      </c>
      <c r="W3669" s="914"/>
      <c r="X3669" s="591">
        <f>SUM(X3655:X3668)</f>
        <v>21184.162999999997</v>
      </c>
      <c r="Y3669" s="591"/>
      <c r="Z3669" s="585"/>
      <c r="AD3669" s="585"/>
      <c r="AE3669" s="589" t="s">
        <v>128</v>
      </c>
      <c r="AF3669" s="592"/>
      <c r="AG3669" s="917">
        <f>V3675</f>
        <v>0</v>
      </c>
      <c r="AH3669" s="592" t="s">
        <v>128</v>
      </c>
      <c r="AI3669" s="591"/>
    </row>
    <row r="3670" spans="6:35" ht="16.5">
      <c r="G3670" s="35"/>
      <c r="H3670" s="356" t="s">
        <v>3266</v>
      </c>
      <c r="J3670" s="35"/>
      <c r="S3670" s="588"/>
      <c r="T3670" s="589"/>
      <c r="U3670" s="356" t="s">
        <v>177</v>
      </c>
      <c r="W3670" s="913"/>
      <c r="X3670" s="595">
        <f>X3669/3.15</f>
        <v>6725.1311111111099</v>
      </c>
      <c r="Y3670" s="595"/>
      <c r="Z3670" s="597" t="s">
        <v>194</v>
      </c>
      <c r="AD3670" s="585"/>
      <c r="AE3670" s="594"/>
      <c r="AF3670" s="585"/>
      <c r="AG3670" s="585"/>
      <c r="AH3670" s="599"/>
      <c r="AI3670" s="600" t="s">
        <v>117</v>
      </c>
    </row>
    <row r="3671" spans="6:35" ht="16.5">
      <c r="G3671" s="35"/>
      <c r="H3671" s="356"/>
      <c r="J3671" s="35"/>
      <c r="S3671" s="585"/>
      <c r="T3671" s="585"/>
      <c r="U3671" s="598"/>
      <c r="V3671" s="585"/>
      <c r="W3671" s="593"/>
      <c r="X3671" s="585"/>
      <c r="Y3671" s="585"/>
      <c r="Z3671" s="585"/>
      <c r="AD3671" s="585"/>
      <c r="AE3671" s="594"/>
      <c r="AF3671" s="592" t="s">
        <v>2233</v>
      </c>
      <c r="AG3671" s="585"/>
      <c r="AH3671" s="599"/>
      <c r="AI3671" s="595">
        <f>SUM(AI3666:AI3670)</f>
        <v>2397.6</v>
      </c>
    </row>
    <row r="3672" spans="6:35" ht="23.25">
      <c r="F3672" s="370">
        <v>5</v>
      </c>
      <c r="G3672" s="356" t="s">
        <v>223</v>
      </c>
      <c r="H3672" s="440" t="s">
        <v>3267</v>
      </c>
      <c r="I3672" s="394">
        <f>AG73</f>
        <v>53.988</v>
      </c>
      <c r="J3672" s="356" t="s">
        <v>223</v>
      </c>
      <c r="K3672" s="370">
        <f>(F3672*I3672)</f>
        <v>269.94</v>
      </c>
      <c r="L3672" s="923">
        <v>35.6</v>
      </c>
      <c r="S3672" s="591">
        <v>1</v>
      </c>
      <c r="T3672" s="589" t="s">
        <v>151</v>
      </c>
      <c r="U3672" s="592" t="s">
        <v>2230</v>
      </c>
      <c r="V3672" s="591">
        <f>AG17</f>
        <v>1057.2</v>
      </c>
      <c r="W3672" s="914" t="s">
        <v>151</v>
      </c>
      <c r="X3672" s="591">
        <f>V3672*S3672</f>
        <v>1057.2</v>
      </c>
      <c r="Y3672" s="591"/>
      <c r="Z3672" s="585"/>
      <c r="AD3672" s="585"/>
      <c r="AE3672" s="594"/>
      <c r="AF3672" s="585"/>
      <c r="AG3672" s="585"/>
      <c r="AH3672" s="599"/>
      <c r="AI3672" s="600" t="s">
        <v>117</v>
      </c>
    </row>
    <row r="3673" spans="6:35" ht="16.5">
      <c r="F3673" s="370">
        <v>1</v>
      </c>
      <c r="G3673" s="356" t="s">
        <v>128</v>
      </c>
      <c r="H3673" s="356" t="s">
        <v>1224</v>
      </c>
      <c r="I3673" s="370">
        <v>12.1</v>
      </c>
      <c r="J3673" s="356" t="s">
        <v>128</v>
      </c>
      <c r="K3673" s="370">
        <f>(F3673*I3673)</f>
        <v>12.1</v>
      </c>
      <c r="S3673" s="591">
        <v>1</v>
      </c>
      <c r="T3673" s="589" t="s">
        <v>151</v>
      </c>
      <c r="U3673" s="592" t="s">
        <v>2231</v>
      </c>
      <c r="V3673" s="591">
        <f>AG11</f>
        <v>781.19999999999993</v>
      </c>
      <c r="W3673" s="914" t="s">
        <v>151</v>
      </c>
      <c r="X3673" s="591">
        <f>V3673*S3673</f>
        <v>781.19999999999993</v>
      </c>
      <c r="Y3673" s="591"/>
      <c r="Z3673" s="585"/>
    </row>
    <row r="3674" spans="6:35" ht="16.5">
      <c r="F3674" s="370"/>
      <c r="G3674" s="356" t="s">
        <v>128</v>
      </c>
      <c r="H3674" s="356" t="s">
        <v>129</v>
      </c>
      <c r="J3674" s="356" t="s">
        <v>128</v>
      </c>
      <c r="K3674" s="370">
        <v>17.38</v>
      </c>
      <c r="S3674" s="591">
        <v>0.5</v>
      </c>
      <c r="T3674" s="589" t="s">
        <v>151</v>
      </c>
      <c r="U3674" s="592" t="s">
        <v>2232</v>
      </c>
      <c r="V3674" s="591">
        <f>AG20</f>
        <v>1118.3999999999999</v>
      </c>
      <c r="W3674" s="914" t="s">
        <v>151</v>
      </c>
      <c r="X3674" s="591">
        <f>V3674*S3674</f>
        <v>559.19999999999993</v>
      </c>
      <c r="Y3674" s="591"/>
      <c r="Z3674" s="585"/>
    </row>
    <row r="3675" spans="6:35" ht="16.5">
      <c r="G3675" s="35"/>
      <c r="J3675" s="35"/>
      <c r="S3675" s="585"/>
      <c r="T3675" s="589" t="s">
        <v>128</v>
      </c>
      <c r="U3675" s="592"/>
      <c r="V3675" s="591"/>
      <c r="W3675" s="914" t="s">
        <v>128</v>
      </c>
      <c r="X3675" s="591"/>
      <c r="Y3675" s="591"/>
      <c r="Z3675" s="585"/>
    </row>
    <row r="3676" spans="6:35" ht="16.5">
      <c r="G3676" s="35"/>
      <c r="J3676" s="35"/>
      <c r="K3676" s="363" t="s">
        <v>117</v>
      </c>
      <c r="S3676" s="585"/>
      <c r="T3676" s="594"/>
      <c r="U3676" s="585"/>
      <c r="V3676" s="585"/>
      <c r="W3676" s="593"/>
      <c r="X3676" s="600" t="s">
        <v>117</v>
      </c>
      <c r="Y3676" s="600"/>
      <c r="Z3676" s="585"/>
    </row>
    <row r="3677" spans="6:35" ht="16.5">
      <c r="G3677" s="35"/>
      <c r="H3677" s="356" t="s">
        <v>1229</v>
      </c>
      <c r="J3677" s="35"/>
      <c r="K3677" s="370">
        <f>SUM(K3662:K3674)</f>
        <v>15523.074199999997</v>
      </c>
      <c r="S3677" s="585"/>
      <c r="T3677" s="594"/>
      <c r="U3677" s="592" t="s">
        <v>2233</v>
      </c>
      <c r="V3677" s="585"/>
      <c r="W3677" s="593"/>
      <c r="X3677" s="595">
        <f>SUM(X3672:X3676)</f>
        <v>2397.6</v>
      </c>
      <c r="Y3677" s="595"/>
      <c r="Z3677" s="585"/>
    </row>
    <row r="3678" spans="6:35" ht="16.5">
      <c r="G3678" s="35"/>
      <c r="J3678" s="35"/>
      <c r="K3678" s="363" t="s">
        <v>117</v>
      </c>
      <c r="S3678" s="585"/>
      <c r="T3678" s="594"/>
      <c r="U3678" s="585"/>
      <c r="V3678" s="585"/>
      <c r="W3678" s="593"/>
      <c r="X3678" s="600" t="s">
        <v>117</v>
      </c>
      <c r="Y3678" s="600"/>
      <c r="Z3678" s="585"/>
    </row>
    <row r="3679" spans="6:35" ht="15.75">
      <c r="G3679" s="35"/>
      <c r="H3679" s="356" t="s">
        <v>253</v>
      </c>
      <c r="J3679" s="35"/>
      <c r="K3679" s="369">
        <f>(K3677/30)</f>
        <v>517.43580666666662</v>
      </c>
      <c r="S3679" s="35"/>
      <c r="W3679" s="361"/>
    </row>
    <row r="3680" spans="6:35" ht="15">
      <c r="G3680" s="35"/>
      <c r="J3680" s="35"/>
      <c r="K3680" s="363" t="s">
        <v>117</v>
      </c>
      <c r="S3680" s="35"/>
      <c r="W3680" s="361"/>
    </row>
    <row r="3681" spans="6:25" ht="15.75">
      <c r="G3681" s="356" t="s">
        <v>5</v>
      </c>
      <c r="H3681" s="919" t="s">
        <v>3268</v>
      </c>
      <c r="J3681" s="35"/>
      <c r="S3681" s="924"/>
      <c r="T3681" s="924"/>
      <c r="U3681" s="924"/>
      <c r="V3681" s="924"/>
      <c r="W3681" s="925"/>
      <c r="X3681" s="924"/>
      <c r="Y3681" s="924"/>
    </row>
    <row r="3682" spans="6:25" ht="16.5">
      <c r="G3682" s="35"/>
      <c r="H3682" s="363" t="s">
        <v>117</v>
      </c>
      <c r="J3682" s="35"/>
      <c r="S3682" s="586" t="s">
        <v>3269</v>
      </c>
      <c r="T3682" s="586"/>
      <c r="U3682" s="586"/>
      <c r="V3682" s="586"/>
      <c r="W3682" s="913"/>
      <c r="X3682" s="913"/>
      <c r="Y3682" s="913"/>
    </row>
    <row r="3683" spans="6:25" ht="16.5">
      <c r="F3683" s="370">
        <f>F3662</f>
        <v>18.899999999999999</v>
      </c>
      <c r="G3683" s="356" t="s">
        <v>108</v>
      </c>
      <c r="H3683" s="356" t="str">
        <f>H3662</f>
        <v>E.W EXCLUDING REFILLING</v>
      </c>
      <c r="I3683" s="370">
        <f>I3662</f>
        <v>268.91999999999996</v>
      </c>
      <c r="J3683" s="356" t="s">
        <v>108</v>
      </c>
      <c r="K3683" s="370">
        <f>(F3683*I3683)</f>
        <v>5082.5879999999988</v>
      </c>
      <c r="S3683" s="588"/>
      <c r="T3683" s="589"/>
      <c r="U3683" s="590"/>
      <c r="V3683" s="591"/>
      <c r="W3683" s="914"/>
      <c r="X3683" s="591"/>
      <c r="Y3683" s="591"/>
    </row>
    <row r="3684" spans="6:25" ht="16.5">
      <c r="F3684" s="370">
        <v>18.3</v>
      </c>
      <c r="G3684" s="356" t="s">
        <v>108</v>
      </c>
      <c r="H3684" s="356" t="str">
        <f>H3663</f>
        <v>REFILLING CHARGE</v>
      </c>
      <c r="I3684" s="370">
        <f>I3663</f>
        <v>46.74</v>
      </c>
      <c r="J3684" s="356" t="s">
        <v>108</v>
      </c>
      <c r="K3684" s="370">
        <f>(F3684*I3684)</f>
        <v>855.3420000000001</v>
      </c>
      <c r="S3684" s="588"/>
      <c r="T3684" s="589"/>
      <c r="U3684" s="592"/>
      <c r="V3684" s="591"/>
      <c r="W3684" s="914"/>
      <c r="X3684" s="591"/>
      <c r="Y3684" s="591"/>
    </row>
    <row r="3685" spans="6:25" ht="31.5">
      <c r="F3685" s="370">
        <f>F3664</f>
        <v>30</v>
      </c>
      <c r="G3685" s="356" t="s">
        <v>110</v>
      </c>
      <c r="H3685" s="438" t="s">
        <v>3261</v>
      </c>
      <c r="I3685" s="369">
        <v>604.5</v>
      </c>
      <c r="J3685" s="356" t="s">
        <v>110</v>
      </c>
      <c r="K3685" s="370">
        <f>(F3685*I3685)</f>
        <v>18135</v>
      </c>
      <c r="S3685" s="588">
        <v>29.06</v>
      </c>
      <c r="T3685" s="589" t="s">
        <v>480</v>
      </c>
      <c r="U3685" s="916" t="s">
        <v>3244</v>
      </c>
      <c r="V3685" s="591">
        <f>V3655</f>
        <v>347.7</v>
      </c>
      <c r="W3685" s="914" t="s">
        <v>480</v>
      </c>
      <c r="X3685" s="591">
        <f>V3685*S3685</f>
        <v>10104.161999999998</v>
      </c>
      <c r="Y3685" s="591"/>
    </row>
    <row r="3686" spans="6:25" ht="16.5">
      <c r="F3686" s="370"/>
      <c r="G3686" s="35"/>
      <c r="H3686" s="356"/>
      <c r="I3686" s="370"/>
      <c r="J3686" s="35"/>
      <c r="K3686" s="370"/>
      <c r="S3686" s="918">
        <v>9.24</v>
      </c>
      <c r="T3686" s="589" t="s">
        <v>31</v>
      </c>
      <c r="U3686" s="592" t="s">
        <v>3270</v>
      </c>
      <c r="V3686" s="591">
        <f t="shared" ref="V3686:V3696" si="365">V3656</f>
        <v>38.25</v>
      </c>
      <c r="W3686" s="914" t="s">
        <v>31</v>
      </c>
      <c r="X3686" s="591">
        <f t="shared" ref="X3686:X3696" si="366">V3686*S3686</f>
        <v>353.43</v>
      </c>
      <c r="Y3686" s="591"/>
    </row>
    <row r="3687" spans="6:25" ht="16.5">
      <c r="F3687" s="370">
        <f>F3666</f>
        <v>30</v>
      </c>
      <c r="G3687" s="35"/>
      <c r="H3687" s="356" t="str">
        <f>H3666</f>
        <v>CONVEYING,LOWERING  ANDLAYING</v>
      </c>
      <c r="I3687" s="370">
        <f>27*1.1</f>
        <v>29.700000000000003</v>
      </c>
      <c r="J3687" s="356" t="s">
        <v>110</v>
      </c>
      <c r="K3687" s="370">
        <f>(F3687*I3687)</f>
        <v>891.00000000000011</v>
      </c>
      <c r="S3687" s="588">
        <v>1.49</v>
      </c>
      <c r="T3687" s="589" t="s">
        <v>478</v>
      </c>
      <c r="U3687" s="592" t="s">
        <v>3248</v>
      </c>
      <c r="V3687" s="591">
        <f t="shared" si="365"/>
        <v>362.5</v>
      </c>
      <c r="W3687" s="914" t="s">
        <v>478</v>
      </c>
      <c r="X3687" s="591">
        <f t="shared" si="366"/>
        <v>540.125</v>
      </c>
      <c r="Y3687" s="591"/>
    </row>
    <row r="3688" spans="6:25" ht="16.5">
      <c r="F3688" s="370"/>
      <c r="G3688" s="35"/>
      <c r="H3688" s="356" t="str">
        <f>H3667</f>
        <v>TO PROPER GRADEAND</v>
      </c>
      <c r="I3688" s="370"/>
      <c r="J3688" s="35"/>
      <c r="S3688" s="588">
        <v>0.75</v>
      </c>
      <c r="T3688" s="589" t="s">
        <v>478</v>
      </c>
      <c r="U3688" s="592" t="s">
        <v>3250</v>
      </c>
      <c r="V3688" s="591">
        <f t="shared" si="365"/>
        <v>695</v>
      </c>
      <c r="W3688" s="914" t="s">
        <v>223</v>
      </c>
      <c r="X3688" s="591">
        <f t="shared" si="366"/>
        <v>521.25</v>
      </c>
      <c r="Y3688" s="591"/>
    </row>
    <row r="3689" spans="6:25" ht="16.5">
      <c r="F3689" s="370"/>
      <c r="G3689" s="35"/>
      <c r="H3689" s="356" t="str">
        <f>H3668</f>
        <v>ALIGNMENT,JOINTING</v>
      </c>
      <c r="I3689" s="370"/>
      <c r="J3689" s="35"/>
      <c r="S3689" s="926">
        <v>2</v>
      </c>
      <c r="T3689" s="589" t="s">
        <v>29</v>
      </c>
      <c r="U3689" s="592" t="s">
        <v>3257</v>
      </c>
      <c r="V3689" s="591">
        <f t="shared" si="365"/>
        <v>11.9</v>
      </c>
      <c r="W3689" s="914" t="s">
        <v>29</v>
      </c>
      <c r="X3689" s="591">
        <f t="shared" si="366"/>
        <v>23.8</v>
      </c>
      <c r="Y3689" s="591"/>
    </row>
    <row r="3690" spans="6:25" ht="16.5">
      <c r="F3690" s="370"/>
      <c r="G3690" s="356"/>
      <c r="H3690" s="356" t="str">
        <f>H3669</f>
        <v>ETC BUT EXCLUDING  COST OF</v>
      </c>
      <c r="I3690" s="370"/>
      <c r="J3690" s="356"/>
      <c r="K3690" s="370"/>
      <c r="S3690" s="588">
        <v>7.08</v>
      </c>
      <c r="T3690" s="589" t="s">
        <v>194</v>
      </c>
      <c r="U3690" s="592" t="s">
        <v>3271</v>
      </c>
      <c r="V3690" s="591">
        <f t="shared" si="365"/>
        <v>7.95</v>
      </c>
      <c r="W3690" s="914" t="s">
        <v>223</v>
      </c>
      <c r="X3690" s="591">
        <f t="shared" si="366"/>
        <v>56.286000000000001</v>
      </c>
      <c r="Y3690" s="591"/>
    </row>
    <row r="3691" spans="6:25" ht="16.5">
      <c r="F3691" s="370"/>
      <c r="G3691" s="356"/>
      <c r="H3691" s="356" t="s">
        <v>3266</v>
      </c>
      <c r="I3691" s="370"/>
      <c r="J3691" s="356"/>
      <c r="K3691" s="370"/>
      <c r="S3691" s="588">
        <v>2.1</v>
      </c>
      <c r="T3691" s="589" t="s">
        <v>262</v>
      </c>
      <c r="U3691" s="592" t="s">
        <v>2228</v>
      </c>
      <c r="V3691" s="591">
        <f t="shared" si="365"/>
        <v>2397.6</v>
      </c>
      <c r="W3691" s="914" t="s">
        <v>262</v>
      </c>
      <c r="X3691" s="591">
        <f t="shared" si="366"/>
        <v>5034.96</v>
      </c>
      <c r="Y3691" s="591"/>
    </row>
    <row r="3692" spans="6:25" ht="16.5">
      <c r="F3692" s="370"/>
      <c r="G3692" s="356"/>
      <c r="H3692" s="356"/>
      <c r="I3692" s="370"/>
      <c r="J3692" s="356"/>
      <c r="K3692" s="370"/>
      <c r="S3692" s="411">
        <v>1</v>
      </c>
      <c r="T3692" s="455" t="s">
        <v>3</v>
      </c>
      <c r="U3692" s="411" t="s">
        <v>3272</v>
      </c>
      <c r="V3692" s="591">
        <f t="shared" si="365"/>
        <v>49.55</v>
      </c>
      <c r="W3692" s="437" t="s">
        <v>194</v>
      </c>
      <c r="X3692" s="591">
        <f t="shared" si="366"/>
        <v>49.55</v>
      </c>
      <c r="Y3692" s="591"/>
    </row>
    <row r="3693" spans="6:25" ht="16.5">
      <c r="F3693" s="370">
        <f>F3672</f>
        <v>5</v>
      </c>
      <c r="G3693" s="356" t="s">
        <v>128</v>
      </c>
      <c r="H3693" s="356" t="str">
        <f>H3672</f>
        <v>CUTTING CHARGES ( P-32/141)</v>
      </c>
      <c r="I3693" s="394">
        <f>I3672</f>
        <v>53.988</v>
      </c>
      <c r="J3693" s="356" t="s">
        <v>223</v>
      </c>
      <c r="K3693" s="370">
        <f>(F3693*I3693)</f>
        <v>269.94</v>
      </c>
      <c r="S3693" s="411">
        <v>1</v>
      </c>
      <c r="T3693" s="455" t="s">
        <v>3</v>
      </c>
      <c r="U3693" s="411" t="s">
        <v>3259</v>
      </c>
      <c r="V3693" s="591">
        <f t="shared" si="365"/>
        <v>1008</v>
      </c>
      <c r="W3693" s="437" t="s">
        <v>194</v>
      </c>
      <c r="X3693" s="591">
        <f t="shared" si="366"/>
        <v>1008</v>
      </c>
      <c r="Y3693" s="591"/>
    </row>
    <row r="3694" spans="6:25" ht="18">
      <c r="F3694" s="370">
        <f>F3673</f>
        <v>1</v>
      </c>
      <c r="G3694" s="35"/>
      <c r="H3694" s="356" t="str">
        <f>H3673</f>
        <v>COST OF JOINTING  MATERIALS</v>
      </c>
      <c r="I3694" s="370">
        <f>I3673</f>
        <v>12.1</v>
      </c>
      <c r="J3694" s="356" t="s">
        <v>128</v>
      </c>
      <c r="K3694" s="370">
        <f>(F3694*I3694)</f>
        <v>12.1</v>
      </c>
      <c r="S3694" s="891">
        <v>6</v>
      </c>
      <c r="T3694" s="892" t="s">
        <v>3</v>
      </c>
      <c r="U3694" s="891" t="s">
        <v>3273</v>
      </c>
      <c r="V3694" s="591">
        <f t="shared" si="365"/>
        <v>2.21</v>
      </c>
      <c r="W3694" s="893" t="s">
        <v>292</v>
      </c>
      <c r="X3694" s="591">
        <f t="shared" si="366"/>
        <v>13.26</v>
      </c>
      <c r="Y3694" s="591"/>
    </row>
    <row r="3695" spans="6:25" ht="18">
      <c r="G3695" s="35"/>
      <c r="H3695" s="356" t="str">
        <f>H3674</f>
        <v>SUNDRIES</v>
      </c>
      <c r="J3695" s="356" t="s">
        <v>128</v>
      </c>
      <c r="K3695" s="370">
        <v>2.4900000000000002</v>
      </c>
      <c r="M3695" s="35">
        <f>24.3-21.9</f>
        <v>2.4000000000000021</v>
      </c>
      <c r="S3695" s="891">
        <v>2</v>
      </c>
      <c r="T3695" s="892" t="s">
        <v>3</v>
      </c>
      <c r="U3695" s="891" t="s">
        <v>3274</v>
      </c>
      <c r="V3695" s="591">
        <f t="shared" si="365"/>
        <v>130.5</v>
      </c>
      <c r="W3695" s="437" t="s">
        <v>194</v>
      </c>
      <c r="X3695" s="591">
        <f t="shared" si="366"/>
        <v>261</v>
      </c>
      <c r="Y3695" s="591"/>
    </row>
    <row r="3696" spans="6:25" ht="18">
      <c r="G3696" s="35"/>
      <c r="J3696" s="35"/>
      <c r="K3696" s="370"/>
      <c r="S3696" s="891">
        <v>2</v>
      </c>
      <c r="T3696" s="892" t="s">
        <v>3</v>
      </c>
      <c r="U3696" s="891" t="s">
        <v>3275</v>
      </c>
      <c r="V3696" s="591">
        <f t="shared" si="365"/>
        <v>64.8</v>
      </c>
      <c r="W3696" s="437" t="s">
        <v>194</v>
      </c>
      <c r="X3696" s="591">
        <f t="shared" si="366"/>
        <v>129.6</v>
      </c>
      <c r="Y3696" s="591"/>
    </row>
    <row r="3697" spans="6:28" ht="16.5">
      <c r="G3697" s="35"/>
      <c r="H3697" s="356" t="s">
        <v>1229</v>
      </c>
      <c r="J3697" s="35"/>
      <c r="K3697" s="370">
        <f>SUM(K3683:K3696)</f>
        <v>25248.46</v>
      </c>
      <c r="M3697" s="35">
        <f>0.73*30</f>
        <v>21.9</v>
      </c>
      <c r="S3697" s="35"/>
      <c r="U3697" s="356" t="s">
        <v>3276</v>
      </c>
      <c r="W3697" s="914"/>
      <c r="X3697" s="591">
        <f>SUM(X3685:X3696)</f>
        <v>18095.422999999995</v>
      </c>
      <c r="Y3697" s="591"/>
      <c r="Z3697" s="585"/>
    </row>
    <row r="3698" spans="6:28" ht="16.5">
      <c r="G3698" s="35"/>
      <c r="J3698" s="35"/>
      <c r="K3698" s="363" t="s">
        <v>117</v>
      </c>
      <c r="S3698" s="924"/>
      <c r="T3698" s="924"/>
      <c r="U3698" s="356" t="s">
        <v>177</v>
      </c>
      <c r="W3698" s="913"/>
      <c r="X3698" s="595">
        <f>X3697/2.1</f>
        <v>8616.8680952380928</v>
      </c>
      <c r="Y3698" s="595"/>
      <c r="Z3698" s="597"/>
    </row>
    <row r="3699" spans="6:28" ht="15.75">
      <c r="G3699" s="35"/>
      <c r="H3699" s="356" t="s">
        <v>253</v>
      </c>
      <c r="J3699" s="35"/>
      <c r="K3699" s="369">
        <f>(K3697/30)</f>
        <v>841.6153333333333</v>
      </c>
      <c r="S3699" s="924"/>
      <c r="T3699" s="924"/>
      <c r="U3699" s="924"/>
      <c r="V3699" s="924"/>
      <c r="W3699" s="925"/>
      <c r="X3699" s="924"/>
      <c r="Y3699" s="924"/>
    </row>
    <row r="3700" spans="6:28" ht="15.75">
      <c r="G3700" s="35"/>
      <c r="J3700" s="35"/>
      <c r="S3700" s="35"/>
      <c r="U3700" s="411" t="s">
        <v>3277</v>
      </c>
      <c r="W3700" s="361"/>
    </row>
    <row r="3701" spans="6:28" ht="216.75">
      <c r="S3701" s="912"/>
      <c r="T3701" s="912"/>
      <c r="U3701" s="927" t="s">
        <v>3278</v>
      </c>
      <c r="V3701" s="927"/>
      <c r="W3701" s="928"/>
      <c r="X3701" s="927"/>
      <c r="Y3701" s="927"/>
      <c r="Z3701" s="927"/>
      <c r="AA3701" s="927"/>
      <c r="AB3701" s="927"/>
    </row>
    <row r="3702" spans="6:28" ht="16.5">
      <c r="S3702" s="912"/>
      <c r="T3702" s="912"/>
      <c r="U3702" s="927"/>
      <c r="V3702" s="927"/>
      <c r="W3702" s="928"/>
      <c r="X3702" s="927"/>
      <c r="Y3702" s="927"/>
      <c r="Z3702" s="927"/>
      <c r="AA3702" s="927"/>
      <c r="AB3702" s="927"/>
    </row>
    <row r="3703" spans="6:28" ht="16.5">
      <c r="F3703" s="924"/>
      <c r="G3703" s="924"/>
      <c r="H3703" s="924"/>
      <c r="I3703" s="924"/>
      <c r="J3703" s="924"/>
      <c r="K3703" s="924"/>
      <c r="L3703" s="924"/>
      <c r="M3703" s="924"/>
      <c r="N3703" s="924"/>
      <c r="S3703" s="588">
        <v>17.440000000000001</v>
      </c>
      <c r="T3703" s="589" t="s">
        <v>480</v>
      </c>
      <c r="U3703" s="916" t="s">
        <v>3279</v>
      </c>
      <c r="V3703" s="591">
        <f>V3685</f>
        <v>347.7</v>
      </c>
      <c r="W3703" s="914" t="s">
        <v>480</v>
      </c>
      <c r="X3703" s="591">
        <f>V3703*S3703</f>
        <v>6063.8879999999999</v>
      </c>
      <c r="Y3703" s="591"/>
      <c r="Z3703" s="585"/>
    </row>
    <row r="3704" spans="6:28" ht="16.5">
      <c r="F3704" s="924"/>
      <c r="G3704" s="924"/>
      <c r="H3704" s="929" t="s">
        <v>384</v>
      </c>
      <c r="I3704" s="929"/>
      <c r="J3704" s="929"/>
      <c r="K3704" s="929"/>
      <c r="L3704" s="924"/>
      <c r="M3704" s="924"/>
      <c r="N3704" s="924"/>
      <c r="S3704" s="918">
        <v>13.56</v>
      </c>
      <c r="T3704" s="589" t="s">
        <v>31</v>
      </c>
      <c r="U3704" s="592" t="s">
        <v>3280</v>
      </c>
      <c r="V3704" s="917">
        <v>38.25</v>
      </c>
      <c r="W3704" s="914" t="s">
        <v>31</v>
      </c>
      <c r="X3704" s="591">
        <v>501.66</v>
      </c>
      <c r="Y3704" s="591"/>
      <c r="Z3704" s="585"/>
    </row>
    <row r="3705" spans="6:28" ht="16.5">
      <c r="F3705" s="924">
        <v>11</v>
      </c>
      <c r="G3705" s="930" t="s">
        <v>262</v>
      </c>
      <c r="H3705" s="924" t="s">
        <v>385</v>
      </c>
      <c r="I3705" s="931">
        <v>434</v>
      </c>
      <c r="J3705" s="930" t="s">
        <v>262</v>
      </c>
      <c r="K3705" s="54">
        <f>I3705*F3705</f>
        <v>4774</v>
      </c>
      <c r="L3705" s="924"/>
      <c r="M3705" s="924"/>
      <c r="N3705" s="924"/>
      <c r="S3705" s="588">
        <v>2.62</v>
      </c>
      <c r="T3705" s="589" t="s">
        <v>478</v>
      </c>
      <c r="U3705" s="592" t="s">
        <v>3281</v>
      </c>
      <c r="V3705" s="917">
        <v>306.89999999999998</v>
      </c>
      <c r="W3705" s="914" t="s">
        <v>478</v>
      </c>
      <c r="X3705" s="591">
        <f>V3705*S3705</f>
        <v>804.07799999999997</v>
      </c>
      <c r="Y3705" s="591"/>
      <c r="Z3705" s="585"/>
    </row>
    <row r="3706" spans="6:28" ht="16.5">
      <c r="F3706" s="924">
        <v>2.2000000000000002</v>
      </c>
      <c r="G3706" s="924" t="s">
        <v>194</v>
      </c>
      <c r="H3706" s="924" t="s">
        <v>386</v>
      </c>
      <c r="I3706" s="35">
        <f>AG17</f>
        <v>1057.2</v>
      </c>
      <c r="J3706" s="924" t="s">
        <v>194</v>
      </c>
      <c r="K3706" s="54">
        <f>I3706*F3706</f>
        <v>2325.84</v>
      </c>
      <c r="L3706" s="924"/>
      <c r="M3706" s="924"/>
      <c r="N3706" s="924"/>
      <c r="S3706" s="588">
        <v>8</v>
      </c>
      <c r="T3706" s="589" t="s">
        <v>192</v>
      </c>
      <c r="U3706" s="592" t="s">
        <v>3282</v>
      </c>
      <c r="V3706" s="917">
        <v>14.6</v>
      </c>
      <c r="W3706" s="914" t="s">
        <v>192</v>
      </c>
      <c r="X3706" s="591">
        <f>V3706*S3706</f>
        <v>116.8</v>
      </c>
      <c r="Y3706" s="591"/>
      <c r="Z3706" s="585"/>
    </row>
    <row r="3707" spans="6:28" ht="16.5">
      <c r="F3707" s="924">
        <v>1.1000000000000001</v>
      </c>
      <c r="G3707" s="924" t="s">
        <v>194</v>
      </c>
      <c r="H3707" s="924" t="s">
        <v>387</v>
      </c>
      <c r="I3707" s="35">
        <f>AG19</f>
        <v>1171.2</v>
      </c>
      <c r="J3707" s="924" t="s">
        <v>194</v>
      </c>
      <c r="K3707" s="54">
        <f>I3707*F3707</f>
        <v>1288.3200000000002</v>
      </c>
      <c r="L3707" s="924"/>
      <c r="M3707" s="924"/>
      <c r="N3707" s="924"/>
      <c r="S3707" s="588">
        <v>3</v>
      </c>
      <c r="T3707" s="589" t="s">
        <v>192</v>
      </c>
      <c r="U3707" s="592" t="s">
        <v>3283</v>
      </c>
      <c r="V3707" s="917">
        <v>71.099999999999994</v>
      </c>
      <c r="W3707" s="914" t="s">
        <v>29</v>
      </c>
      <c r="X3707" s="591">
        <f>V3707*S3707</f>
        <v>213.29999999999998</v>
      </c>
      <c r="Y3707" s="591"/>
      <c r="Z3707" s="585"/>
    </row>
    <row r="3708" spans="6:28" ht="16.5">
      <c r="F3708" s="924">
        <v>3.2</v>
      </c>
      <c r="G3708" s="924" t="s">
        <v>194</v>
      </c>
      <c r="H3708" s="932" t="s">
        <v>388</v>
      </c>
      <c r="I3708" s="35">
        <f>AG11</f>
        <v>781.19999999999993</v>
      </c>
      <c r="J3708" s="924" t="s">
        <v>194</v>
      </c>
      <c r="K3708" s="54">
        <f>I3708*F3708</f>
        <v>2499.84</v>
      </c>
      <c r="L3708" s="924"/>
      <c r="M3708" s="924"/>
      <c r="N3708" s="924"/>
      <c r="S3708" s="588">
        <v>4</v>
      </c>
      <c r="T3708" s="589" t="s">
        <v>192</v>
      </c>
      <c r="U3708" s="592" t="s">
        <v>3284</v>
      </c>
      <c r="V3708" s="917">
        <v>35.299999999999997</v>
      </c>
      <c r="W3708" s="914" t="s">
        <v>223</v>
      </c>
      <c r="X3708" s="591">
        <f>V3708*S3708</f>
        <v>141.19999999999999</v>
      </c>
      <c r="Y3708" s="591"/>
      <c r="Z3708" s="585"/>
    </row>
    <row r="3709" spans="6:28" ht="16.5">
      <c r="F3709" s="924"/>
      <c r="G3709" s="924" t="s">
        <v>389</v>
      </c>
      <c r="H3709" s="924" t="s">
        <v>390</v>
      </c>
      <c r="I3709" s="924" t="s">
        <v>389</v>
      </c>
      <c r="J3709" s="924"/>
      <c r="K3709" s="924">
        <v>107.11</v>
      </c>
      <c r="L3709" s="924"/>
      <c r="M3709" s="924"/>
      <c r="N3709" s="924"/>
      <c r="S3709" s="588">
        <v>2.4300000000000002</v>
      </c>
      <c r="T3709" s="589" t="s">
        <v>262</v>
      </c>
      <c r="U3709" s="592" t="s">
        <v>2228</v>
      </c>
      <c r="V3709" s="585">
        <f>X3677</f>
        <v>2397.6</v>
      </c>
      <c r="W3709" s="914" t="s">
        <v>262</v>
      </c>
      <c r="X3709" s="591">
        <f>V3709*S3709</f>
        <v>5826.1680000000006</v>
      </c>
      <c r="Y3709" s="591"/>
      <c r="Z3709" s="585"/>
    </row>
    <row r="3710" spans="6:28" ht="16.5">
      <c r="F3710" s="924"/>
      <c r="G3710" s="924"/>
      <c r="H3710" s="924" t="s">
        <v>391</v>
      </c>
      <c r="I3710" s="924"/>
      <c r="J3710" s="924"/>
      <c r="K3710" s="54">
        <f>SUM(K3705:K3709)</f>
        <v>10995.11</v>
      </c>
      <c r="L3710" s="924"/>
      <c r="M3710" s="924"/>
      <c r="N3710" s="924"/>
      <c r="S3710" s="411"/>
      <c r="T3710" s="455" t="s">
        <v>265</v>
      </c>
      <c r="U3710" s="411" t="s">
        <v>3285</v>
      </c>
      <c r="V3710" s="411"/>
      <c r="W3710" s="437" t="s">
        <v>265</v>
      </c>
      <c r="X3710" s="411">
        <v>130</v>
      </c>
      <c r="Y3710" s="411"/>
      <c r="Z3710" s="585"/>
    </row>
    <row r="3711" spans="6:28" ht="16.5">
      <c r="F3711" s="924"/>
      <c r="G3711" s="924"/>
      <c r="H3711" s="924" t="s">
        <v>392</v>
      </c>
      <c r="I3711" s="924"/>
      <c r="J3711" s="924"/>
      <c r="K3711" s="933">
        <f>K3710/10</f>
        <v>1099.511</v>
      </c>
      <c r="L3711" s="924"/>
      <c r="M3711" s="924"/>
      <c r="N3711" s="924">
        <f>L3711</f>
        <v>0</v>
      </c>
      <c r="S3711" s="411"/>
      <c r="T3711" s="455"/>
      <c r="U3711" s="411"/>
      <c r="V3711" s="411"/>
      <c r="W3711" s="437"/>
      <c r="X3711" s="411">
        <f>SUM(X3703:X3710)</f>
        <v>13797.094000000001</v>
      </c>
      <c r="Y3711" s="411"/>
      <c r="Z3711" s="585"/>
    </row>
    <row r="3712" spans="6:28" ht="16.5">
      <c r="F3712" s="924"/>
      <c r="G3712" s="924"/>
      <c r="H3712" s="924"/>
      <c r="I3712" s="924"/>
      <c r="J3712" s="924"/>
      <c r="K3712" s="924"/>
      <c r="L3712" s="924"/>
      <c r="M3712" s="924"/>
      <c r="N3712" s="924"/>
      <c r="W3712" s="361"/>
      <c r="X3712" s="411">
        <f>X3711/S3709</f>
        <v>5677.8164609053501</v>
      </c>
      <c r="Y3712" s="411"/>
      <c r="Z3712" s="585" t="s">
        <v>262</v>
      </c>
    </row>
    <row r="3713" spans="6:26" ht="21">
      <c r="F3713" s="934" t="s">
        <v>3286</v>
      </c>
      <c r="G3713" s="934"/>
      <c r="H3713" s="934"/>
      <c r="I3713" s="934"/>
      <c r="J3713" s="934"/>
      <c r="K3713" s="934"/>
      <c r="L3713" s="935"/>
      <c r="M3713" s="935"/>
      <c r="N3713" s="924"/>
      <c r="O3713" s="936" t="s">
        <v>3287</v>
      </c>
      <c r="P3713" s="936"/>
      <c r="W3713" s="361" t="s">
        <v>3288</v>
      </c>
      <c r="X3713" s="35">
        <v>3584</v>
      </c>
      <c r="Z3713" s="585"/>
    </row>
    <row r="3714" spans="6:26" ht="16.5">
      <c r="F3714" s="937"/>
      <c r="G3714" s="937"/>
      <c r="H3714" s="938" t="s">
        <v>3289</v>
      </c>
      <c r="I3714" s="938"/>
      <c r="J3714" s="938"/>
      <c r="K3714" s="938"/>
      <c r="L3714" s="937"/>
      <c r="M3714" s="939">
        <v>12.72</v>
      </c>
      <c r="N3714" s="937" t="s">
        <v>213</v>
      </c>
      <c r="O3714" s="35" t="s">
        <v>3290</v>
      </c>
      <c r="P3714" s="35">
        <f>V3717</f>
        <v>347.7</v>
      </c>
      <c r="Q3714" s="937" t="s">
        <v>213</v>
      </c>
      <c r="R3714" s="940">
        <f>P3714*M3714</f>
        <v>4422.7439999999997</v>
      </c>
      <c r="S3714" s="35"/>
      <c r="U3714" s="411" t="s">
        <v>3291</v>
      </c>
      <c r="W3714" s="361"/>
      <c r="Z3714" s="585"/>
    </row>
    <row r="3715" spans="6:26" ht="216.75">
      <c r="F3715" s="941">
        <v>36</v>
      </c>
      <c r="G3715" s="937" t="s">
        <v>31</v>
      </c>
      <c r="H3715" s="942" t="s">
        <v>3292</v>
      </c>
      <c r="I3715" s="943">
        <v>34.6</v>
      </c>
      <c r="J3715" s="939" t="str">
        <f>G3715</f>
        <v>Rmt</v>
      </c>
      <c r="K3715" s="941">
        <f>I3715*F3715</f>
        <v>1245.6000000000001</v>
      </c>
      <c r="L3715" s="937"/>
      <c r="M3715" s="944">
        <v>9.4</v>
      </c>
      <c r="N3715" s="945" t="s">
        <v>262</v>
      </c>
      <c r="O3715" s="946" t="s">
        <v>3293</v>
      </c>
      <c r="P3715" s="947">
        <v>807</v>
      </c>
      <c r="Q3715" s="945" t="s">
        <v>262</v>
      </c>
      <c r="R3715" s="940">
        <f t="shared" ref="R3715:R3720" si="367">P3715*M3715</f>
        <v>7585.8</v>
      </c>
      <c r="S3715" s="912"/>
      <c r="T3715" s="912"/>
      <c r="U3715" s="927" t="s">
        <v>3294</v>
      </c>
      <c r="V3715" s="927"/>
      <c r="W3715" s="928"/>
      <c r="X3715" s="927"/>
      <c r="Y3715" s="927"/>
      <c r="Z3715" s="585"/>
    </row>
    <row r="3716" spans="6:26" ht="16.5">
      <c r="F3716" s="941">
        <v>9</v>
      </c>
      <c r="G3716" s="939" t="s">
        <v>262</v>
      </c>
      <c r="H3716" s="948" t="s">
        <v>3295</v>
      </c>
      <c r="I3716" s="781">
        <v>350</v>
      </c>
      <c r="J3716" s="939" t="str">
        <f>G3716</f>
        <v>Sqm</v>
      </c>
      <c r="K3716" s="941">
        <f>I3716*F3716</f>
        <v>3150</v>
      </c>
      <c r="L3716" s="937"/>
      <c r="M3716" s="941">
        <v>9.4</v>
      </c>
      <c r="N3716" s="939" t="s">
        <v>262</v>
      </c>
      <c r="O3716" s="948" t="s">
        <v>3296</v>
      </c>
      <c r="P3716" s="943">
        <v>412</v>
      </c>
      <c r="Q3716" s="939" t="s">
        <v>262</v>
      </c>
      <c r="R3716" s="940">
        <f t="shared" si="367"/>
        <v>3872.8</v>
      </c>
      <c r="S3716" s="912"/>
      <c r="T3716" s="912"/>
      <c r="U3716" s="927"/>
      <c r="V3716" s="927"/>
      <c r="W3716" s="928"/>
      <c r="X3716" s="927"/>
      <c r="Y3716" s="927"/>
      <c r="Z3716" s="585"/>
    </row>
    <row r="3717" spans="6:26" ht="16.5">
      <c r="F3717" s="941">
        <v>9</v>
      </c>
      <c r="G3717" s="939" t="s">
        <v>262</v>
      </c>
      <c r="H3717" s="948" t="s">
        <v>3297</v>
      </c>
      <c r="I3717" s="781">
        <v>860.8</v>
      </c>
      <c r="J3717" s="939" t="str">
        <f>G3717</f>
        <v>Sqm</v>
      </c>
      <c r="K3717" s="941">
        <f>I3717*F3717</f>
        <v>7747.2</v>
      </c>
      <c r="L3717" s="937"/>
      <c r="M3717" s="941">
        <v>40</v>
      </c>
      <c r="N3717" s="939" t="s">
        <v>260</v>
      </c>
      <c r="O3717" s="948" t="s">
        <v>3298</v>
      </c>
      <c r="P3717" s="781">
        <v>10</v>
      </c>
      <c r="Q3717" s="939" t="s">
        <v>260</v>
      </c>
      <c r="R3717" s="940">
        <f t="shared" si="367"/>
        <v>400</v>
      </c>
      <c r="S3717" s="588">
        <v>14.43</v>
      </c>
      <c r="T3717" s="589" t="s">
        <v>480</v>
      </c>
      <c r="U3717" s="916" t="s">
        <v>3244</v>
      </c>
      <c r="V3717" s="591">
        <f>V3703</f>
        <v>347.7</v>
      </c>
      <c r="W3717" s="914" t="s">
        <v>480</v>
      </c>
      <c r="X3717" s="591">
        <f>V3717*S3717</f>
        <v>5017.3109999999997</v>
      </c>
      <c r="Y3717" s="591"/>
      <c r="Z3717" s="585"/>
    </row>
    <row r="3718" spans="6:26" ht="16.5">
      <c r="F3718" s="941">
        <v>9</v>
      </c>
      <c r="G3718" s="939" t="s">
        <v>262</v>
      </c>
      <c r="H3718" s="942" t="s">
        <v>3299</v>
      </c>
      <c r="I3718" s="943">
        <v>648</v>
      </c>
      <c r="J3718" s="939" t="str">
        <f>G3718</f>
        <v>Sqm</v>
      </c>
      <c r="K3718" s="941">
        <f>I3718*F3718</f>
        <v>5832</v>
      </c>
      <c r="L3718" s="937"/>
      <c r="M3718" s="941">
        <v>2.25</v>
      </c>
      <c r="N3718" s="939" t="s">
        <v>213</v>
      </c>
      <c r="O3718" s="942" t="s">
        <v>3300</v>
      </c>
      <c r="P3718" s="943">
        <v>199.75</v>
      </c>
      <c r="Q3718" s="939" t="s">
        <v>213</v>
      </c>
      <c r="R3718" s="940">
        <f t="shared" si="367"/>
        <v>449.4375</v>
      </c>
      <c r="S3718" s="918">
        <v>10.433999999999999</v>
      </c>
      <c r="T3718" s="589" t="s">
        <v>31</v>
      </c>
      <c r="U3718" s="592" t="s">
        <v>3270</v>
      </c>
      <c r="V3718" s="591">
        <f t="shared" ref="V3718:V3723" si="368">V3704</f>
        <v>38.25</v>
      </c>
      <c r="W3718" s="914" t="s">
        <v>31</v>
      </c>
      <c r="X3718" s="591">
        <v>501.66</v>
      </c>
      <c r="Y3718" s="591"/>
      <c r="Z3718" s="585"/>
    </row>
    <row r="3719" spans="6:26" ht="16.5">
      <c r="F3719" s="941">
        <v>9</v>
      </c>
      <c r="G3719" s="939" t="s">
        <v>262</v>
      </c>
      <c r="H3719" s="937" t="s">
        <v>3301</v>
      </c>
      <c r="I3719" s="941">
        <f>K3727</f>
        <v>2158.8000000000002</v>
      </c>
      <c r="J3719" s="939" t="str">
        <f>G3719</f>
        <v>Sqm</v>
      </c>
      <c r="K3719" s="941">
        <f>I3719*F3719</f>
        <v>19429.2</v>
      </c>
      <c r="L3719" s="937"/>
      <c r="M3719" s="949">
        <v>9.4</v>
      </c>
      <c r="N3719" s="939" t="s">
        <v>262</v>
      </c>
      <c r="O3719" s="937" t="s">
        <v>3301</v>
      </c>
      <c r="P3719" s="941">
        <f>R3727</f>
        <v>3304.2</v>
      </c>
      <c r="Q3719" s="939" t="s">
        <v>262</v>
      </c>
      <c r="R3719" s="940">
        <f t="shared" si="367"/>
        <v>31059.48</v>
      </c>
      <c r="S3719" s="588">
        <v>2.16</v>
      </c>
      <c r="T3719" s="589" t="s">
        <v>478</v>
      </c>
      <c r="U3719" s="592" t="s">
        <v>3302</v>
      </c>
      <c r="V3719" s="591">
        <f t="shared" si="368"/>
        <v>306.89999999999998</v>
      </c>
      <c r="W3719" s="914" t="s">
        <v>478</v>
      </c>
      <c r="X3719" s="591">
        <f>V3719*S3719</f>
        <v>662.904</v>
      </c>
      <c r="Y3719" s="591"/>
      <c r="Z3719" s="585"/>
    </row>
    <row r="3720" spans="6:26" ht="16.5">
      <c r="F3720" s="937"/>
      <c r="G3720" s="937"/>
      <c r="H3720" s="937"/>
      <c r="I3720" s="937"/>
      <c r="J3720" s="937"/>
      <c r="K3720" s="941">
        <f>SUM(K3715:K3719)</f>
        <v>37404</v>
      </c>
      <c r="L3720" s="937"/>
      <c r="M3720" s="949">
        <v>0.25</v>
      </c>
      <c r="N3720" s="950" t="s">
        <v>213</v>
      </c>
      <c r="O3720" s="937" t="s">
        <v>3303</v>
      </c>
      <c r="P3720" s="951">
        <v>64</v>
      </c>
      <c r="Q3720" s="950" t="s">
        <v>213</v>
      </c>
      <c r="R3720" s="940">
        <f t="shared" si="367"/>
        <v>16</v>
      </c>
      <c r="S3720" s="588">
        <v>6</v>
      </c>
      <c r="T3720" s="589" t="s">
        <v>192</v>
      </c>
      <c r="U3720" s="592" t="s">
        <v>3304</v>
      </c>
      <c r="V3720" s="591">
        <f t="shared" si="368"/>
        <v>14.6</v>
      </c>
      <c r="W3720" s="914" t="s">
        <v>192</v>
      </c>
      <c r="X3720" s="591">
        <f>V3720*S3720</f>
        <v>87.6</v>
      </c>
      <c r="Y3720" s="591"/>
      <c r="Z3720" s="597"/>
    </row>
    <row r="3721" spans="6:26" ht="16.5">
      <c r="F3721" s="937"/>
      <c r="G3721" s="937"/>
      <c r="H3721" s="937" t="s">
        <v>3305</v>
      </c>
      <c r="I3721" s="937"/>
      <c r="J3721" s="939"/>
      <c r="K3721" s="941">
        <f>K3720/9</f>
        <v>4156</v>
      </c>
      <c r="L3721" s="937"/>
      <c r="M3721" s="937"/>
      <c r="N3721" s="937"/>
      <c r="O3721" s="937" t="s">
        <v>3306</v>
      </c>
      <c r="P3721" s="937"/>
      <c r="Q3721" s="939"/>
      <c r="R3721" s="941">
        <f>SUM(R3714:R3720)</f>
        <v>47806.261500000001</v>
      </c>
      <c r="S3721" s="588">
        <v>2</v>
      </c>
      <c r="T3721" s="589" t="s">
        <v>192</v>
      </c>
      <c r="U3721" s="592" t="s">
        <v>3307</v>
      </c>
      <c r="V3721" s="591">
        <f t="shared" si="368"/>
        <v>71.099999999999994</v>
      </c>
      <c r="W3721" s="914" t="s">
        <v>29</v>
      </c>
      <c r="X3721" s="591">
        <f>V3721*S3721</f>
        <v>142.19999999999999</v>
      </c>
      <c r="Y3721" s="591"/>
      <c r="Z3721" s="585"/>
    </row>
    <row r="3722" spans="6:26" ht="16.5">
      <c r="F3722" s="937"/>
      <c r="G3722" s="937"/>
      <c r="H3722" s="952" t="s">
        <v>3308</v>
      </c>
      <c r="I3722" s="938" t="s">
        <v>3309</v>
      </c>
      <c r="J3722" s="937"/>
      <c r="K3722" s="953">
        <v>3282</v>
      </c>
      <c r="L3722" s="937"/>
      <c r="M3722" s="937"/>
      <c r="N3722" s="937"/>
      <c r="O3722" s="952" t="s">
        <v>3308</v>
      </c>
      <c r="P3722" s="938" t="s">
        <v>3309</v>
      </c>
      <c r="Q3722" s="937"/>
      <c r="R3722" s="953">
        <f>R3721/M3719</f>
        <v>5085.7725</v>
      </c>
      <c r="S3722" s="588">
        <v>3</v>
      </c>
      <c r="T3722" s="589" t="s">
        <v>192</v>
      </c>
      <c r="U3722" s="592" t="s">
        <v>3310</v>
      </c>
      <c r="V3722" s="591">
        <f t="shared" si="368"/>
        <v>35.299999999999997</v>
      </c>
      <c r="W3722" s="914" t="s">
        <v>223</v>
      </c>
      <c r="X3722" s="591">
        <f>V3722*S3722</f>
        <v>105.89999999999999</v>
      </c>
      <c r="Y3722" s="591"/>
      <c r="Z3722" s="585"/>
    </row>
    <row r="3723" spans="6:26" ht="16.5">
      <c r="F3723" s="937"/>
      <c r="G3723" s="937"/>
      <c r="H3723" s="937" t="s">
        <v>3311</v>
      </c>
      <c r="I3723" s="937"/>
      <c r="J3723" s="937"/>
      <c r="K3723" s="937"/>
      <c r="L3723" s="937"/>
      <c r="M3723" s="937"/>
      <c r="N3723" s="937"/>
      <c r="O3723" s="937" t="s">
        <v>3311</v>
      </c>
      <c r="P3723" s="937"/>
      <c r="Q3723" s="937"/>
      <c r="R3723" s="937"/>
      <c r="S3723" s="588">
        <v>1.823</v>
      </c>
      <c r="T3723" s="589" t="s">
        <v>262</v>
      </c>
      <c r="U3723" s="592" t="s">
        <v>2228</v>
      </c>
      <c r="V3723" s="591">
        <f t="shared" si="368"/>
        <v>2397.6</v>
      </c>
      <c r="W3723" s="914" t="s">
        <v>262</v>
      </c>
      <c r="X3723" s="591">
        <f>V3723*S3723</f>
        <v>4370.8247999999994</v>
      </c>
      <c r="Y3723" s="591"/>
      <c r="Z3723" s="585"/>
    </row>
    <row r="3724" spans="6:26" ht="16.5">
      <c r="F3724" s="941">
        <v>1</v>
      </c>
      <c r="G3724" s="939" t="s">
        <v>260</v>
      </c>
      <c r="H3724" s="941" t="s">
        <v>3312</v>
      </c>
      <c r="I3724" s="941">
        <f>AG17</f>
        <v>1057.2</v>
      </c>
      <c r="J3724" s="939" t="s">
        <v>260</v>
      </c>
      <c r="K3724" s="937">
        <f>I3724*F3724</f>
        <v>1057.2</v>
      </c>
      <c r="L3724" s="937"/>
      <c r="M3724" s="941">
        <v>1</v>
      </c>
      <c r="N3724" s="939" t="s">
        <v>260</v>
      </c>
      <c r="O3724" s="941" t="s">
        <v>3313</v>
      </c>
      <c r="P3724" s="941">
        <f>AG19</f>
        <v>1171.2</v>
      </c>
      <c r="Q3724" s="939" t="s">
        <v>260</v>
      </c>
      <c r="R3724" s="954">
        <f>P3724*M3724</f>
        <v>1171.2</v>
      </c>
      <c r="S3724" s="411"/>
      <c r="T3724" s="455" t="s">
        <v>265</v>
      </c>
      <c r="U3724" s="411" t="s">
        <v>3285</v>
      </c>
      <c r="V3724" s="411"/>
      <c r="W3724" s="437" t="s">
        <v>265</v>
      </c>
      <c r="X3724" s="411">
        <v>110</v>
      </c>
      <c r="Y3724" s="411"/>
      <c r="Z3724" s="585"/>
    </row>
    <row r="3725" spans="6:26" ht="16.5">
      <c r="F3725" s="941">
        <v>1</v>
      </c>
      <c r="G3725" s="939" t="s">
        <v>260</v>
      </c>
      <c r="H3725" s="942" t="s">
        <v>153</v>
      </c>
      <c r="I3725" s="941">
        <f>AG11</f>
        <v>781.19999999999993</v>
      </c>
      <c r="J3725" s="939" t="s">
        <v>260</v>
      </c>
      <c r="K3725" s="937">
        <f>I3725*F3725</f>
        <v>781.19999999999993</v>
      </c>
      <c r="L3725" s="937"/>
      <c r="M3725" s="941">
        <v>1.5</v>
      </c>
      <c r="N3725" s="939" t="s">
        <v>260</v>
      </c>
      <c r="O3725" s="942" t="s">
        <v>153</v>
      </c>
      <c r="P3725" s="941">
        <f>I3725</f>
        <v>781.19999999999993</v>
      </c>
      <c r="Q3725" s="939" t="s">
        <v>260</v>
      </c>
      <c r="R3725" s="954">
        <f>P3725*M3725</f>
        <v>1171.8</v>
      </c>
      <c r="S3725" s="411"/>
      <c r="T3725" s="455"/>
      <c r="U3725" s="411"/>
      <c r="V3725" s="411"/>
      <c r="W3725" s="437"/>
      <c r="X3725" s="411">
        <f>SUM(X3717:X3724)</f>
        <v>10998.399799999999</v>
      </c>
      <c r="Y3725" s="411"/>
      <c r="Z3725" s="585"/>
    </row>
    <row r="3726" spans="6:26" ht="16.5">
      <c r="F3726" s="941">
        <v>0.5</v>
      </c>
      <c r="G3726" s="939" t="s">
        <v>260</v>
      </c>
      <c r="H3726" s="942" t="s">
        <v>154</v>
      </c>
      <c r="I3726" s="941">
        <f>AG12</f>
        <v>640.79999999999995</v>
      </c>
      <c r="J3726" s="939" t="s">
        <v>260</v>
      </c>
      <c r="K3726" s="937">
        <f>I3726*F3726</f>
        <v>320.39999999999998</v>
      </c>
      <c r="L3726" s="937"/>
      <c r="M3726" s="941">
        <v>1.5</v>
      </c>
      <c r="N3726" s="939" t="s">
        <v>260</v>
      </c>
      <c r="O3726" s="942" t="s">
        <v>154</v>
      </c>
      <c r="P3726" s="941">
        <f>I3726</f>
        <v>640.79999999999995</v>
      </c>
      <c r="Q3726" s="939" t="s">
        <v>260</v>
      </c>
      <c r="R3726" s="954">
        <f>P3726*M3726</f>
        <v>961.19999999999993</v>
      </c>
      <c r="W3726" s="361"/>
      <c r="X3726" s="411">
        <f>X3725/S3723</f>
        <v>6033.1320899616012</v>
      </c>
      <c r="Y3726" s="411"/>
      <c r="Z3726" s="585"/>
    </row>
    <row r="3727" spans="6:26" ht="16.5">
      <c r="F3727" s="937"/>
      <c r="G3727" s="937"/>
      <c r="H3727" s="937"/>
      <c r="I3727" s="937"/>
      <c r="J3727" s="937"/>
      <c r="K3727" s="937">
        <f>SUM(K3724:K3726)</f>
        <v>2158.8000000000002</v>
      </c>
      <c r="L3727" s="937"/>
      <c r="M3727" s="937"/>
      <c r="N3727" s="937"/>
      <c r="O3727" s="937"/>
      <c r="P3727" s="937"/>
      <c r="Q3727" s="937"/>
      <c r="R3727" s="954">
        <f>SUM(R3724:R3726)</f>
        <v>3304.2</v>
      </c>
      <c r="W3727" s="361"/>
      <c r="X3727" s="35">
        <v>3873</v>
      </c>
      <c r="Z3727" s="585"/>
    </row>
    <row r="3728" spans="6:26" ht="16.5">
      <c r="F3728" s="937"/>
      <c r="G3728" s="937"/>
      <c r="H3728" s="937"/>
      <c r="I3728" s="937"/>
      <c r="J3728" s="937"/>
      <c r="K3728" s="937"/>
      <c r="L3728" s="937"/>
      <c r="M3728" s="937"/>
      <c r="N3728" s="937"/>
      <c r="O3728" s="937"/>
      <c r="P3728" s="937"/>
      <c r="Q3728" s="937"/>
      <c r="R3728" s="937"/>
      <c r="S3728" s="585"/>
      <c r="T3728" s="594"/>
      <c r="U3728" s="585"/>
      <c r="V3728" s="585"/>
      <c r="W3728" s="593"/>
      <c r="X3728" s="600"/>
      <c r="Y3728" s="600"/>
      <c r="Z3728" s="585"/>
    </row>
    <row r="3729" spans="6:23" ht="15">
      <c r="F3729" s="924"/>
      <c r="G3729" s="924"/>
      <c r="H3729" s="924"/>
      <c r="I3729" s="924"/>
      <c r="J3729" s="924"/>
      <c r="K3729" s="924"/>
      <c r="L3729" s="924"/>
      <c r="M3729" s="924"/>
      <c r="N3729" s="924"/>
      <c r="S3729" s="35"/>
      <c r="W3729" s="361"/>
    </row>
    <row r="3730" spans="6:23" ht="15">
      <c r="G3730" s="35"/>
      <c r="H3730" s="498"/>
      <c r="J3730" s="35"/>
      <c r="K3730" s="924"/>
      <c r="L3730" s="924"/>
      <c r="M3730" s="924"/>
      <c r="N3730" s="924"/>
      <c r="W3730" s="361"/>
    </row>
    <row r="3731" spans="6:23" ht="18.75">
      <c r="F3731" s="924"/>
      <c r="G3731" s="924"/>
      <c r="H3731" s="955" t="s">
        <v>3314</v>
      </c>
      <c r="I3731" s="929"/>
      <c r="J3731" s="924"/>
      <c r="K3731" s="924"/>
      <c r="L3731" s="924"/>
      <c r="M3731" s="924"/>
      <c r="N3731" s="924"/>
      <c r="W3731" s="361"/>
    </row>
    <row r="3732" spans="6:23" ht="15">
      <c r="F3732" s="924"/>
      <c r="G3732" s="924"/>
      <c r="H3732" s="924"/>
      <c r="I3732" s="924"/>
      <c r="J3732" s="924"/>
      <c r="K3732" s="924"/>
      <c r="L3732" s="924"/>
      <c r="M3732" s="924"/>
      <c r="N3732" s="924"/>
      <c r="W3732" s="361"/>
    </row>
    <row r="3733" spans="6:23" ht="15.75">
      <c r="F3733" s="956"/>
      <c r="G3733" s="930"/>
      <c r="H3733" s="957" t="s">
        <v>3315</v>
      </c>
      <c r="I3733" s="956"/>
      <c r="J3733" s="956"/>
      <c r="K3733" s="924"/>
      <c r="L3733" s="924"/>
      <c r="M3733" s="924"/>
      <c r="N3733" s="924"/>
      <c r="W3733" s="361"/>
    </row>
    <row r="3734" spans="6:23" ht="15.75">
      <c r="F3734" s="956"/>
      <c r="G3734" s="930"/>
      <c r="H3734" s="932"/>
      <c r="I3734" s="956"/>
      <c r="J3734" s="956"/>
      <c r="K3734" s="924"/>
      <c r="L3734" s="924"/>
      <c r="M3734" s="924"/>
      <c r="N3734" s="924"/>
      <c r="W3734" s="361"/>
    </row>
    <row r="3735" spans="6:23" ht="15.75">
      <c r="F3735" s="924"/>
      <c r="G3735" s="924"/>
      <c r="H3735" s="764" t="s">
        <v>3316</v>
      </c>
      <c r="I3735" s="956"/>
      <c r="J3735" s="924"/>
      <c r="K3735" s="924"/>
      <c r="L3735" s="924"/>
      <c r="M3735" s="924"/>
      <c r="N3735" s="924"/>
      <c r="W3735" s="361"/>
    </row>
    <row r="3736" spans="6:23" ht="15.75">
      <c r="F3736" s="956">
        <v>5</v>
      </c>
      <c r="G3736" s="930" t="s">
        <v>213</v>
      </c>
      <c r="H3736" s="956" t="s">
        <v>3317</v>
      </c>
      <c r="I3736" s="931">
        <v>27.45</v>
      </c>
      <c r="J3736" s="930" t="s">
        <v>213</v>
      </c>
      <c r="K3736" s="930">
        <f>I3736*F3736</f>
        <v>137.25</v>
      </c>
      <c r="L3736" s="924"/>
      <c r="M3736" s="924"/>
      <c r="N3736" s="924"/>
      <c r="W3736" s="361"/>
    </row>
    <row r="3737" spans="6:23" ht="15.75">
      <c r="F3737" s="956">
        <v>1</v>
      </c>
      <c r="G3737" s="930" t="s">
        <v>292</v>
      </c>
      <c r="H3737" s="956" t="s">
        <v>3318</v>
      </c>
      <c r="I3737" s="956">
        <f>AG13</f>
        <v>956.4</v>
      </c>
      <c r="J3737" s="930" t="s">
        <v>292</v>
      </c>
      <c r="K3737" s="930">
        <f>I3737*F3737</f>
        <v>956.4</v>
      </c>
      <c r="L3737" s="924"/>
      <c r="M3737" s="924"/>
      <c r="N3737" s="924"/>
      <c r="W3737" s="361"/>
    </row>
    <row r="3738" spans="6:23" ht="15.75">
      <c r="F3738" s="956"/>
      <c r="G3738" s="958" t="s">
        <v>265</v>
      </c>
      <c r="H3738" s="932" t="s">
        <v>264</v>
      </c>
      <c r="I3738" s="924"/>
      <c r="J3738" s="958" t="s">
        <v>265</v>
      </c>
      <c r="K3738" s="930">
        <f>(121.1+90.9)/12</f>
        <v>17.666666666666668</v>
      </c>
      <c r="L3738" s="924"/>
      <c r="M3738" s="924"/>
      <c r="N3738" s="924"/>
      <c r="W3738" s="361"/>
    </row>
    <row r="3739" spans="6:23" ht="16.5">
      <c r="F3739" s="924"/>
      <c r="G3739" s="924"/>
      <c r="H3739" s="932" t="s">
        <v>2618</v>
      </c>
      <c r="I3739" s="924"/>
      <c r="J3739" s="924"/>
      <c r="K3739" s="959">
        <f>SUM(K3736:K3738)</f>
        <v>1111.3166666666668</v>
      </c>
      <c r="L3739" s="924"/>
      <c r="M3739" s="924"/>
      <c r="N3739" s="924"/>
      <c r="W3739" s="361"/>
    </row>
    <row r="3740" spans="6:23" ht="16.5">
      <c r="F3740" s="924"/>
      <c r="G3740" s="924"/>
      <c r="H3740" s="932" t="s">
        <v>2671</v>
      </c>
      <c r="I3740" s="924"/>
      <c r="J3740" s="924"/>
      <c r="K3740" s="960">
        <f>K3739/10</f>
        <v>111.13166666666669</v>
      </c>
      <c r="L3740" s="924"/>
      <c r="M3740" s="924"/>
      <c r="N3740" s="924"/>
      <c r="W3740" s="361"/>
    </row>
    <row r="3741" spans="6:23" ht="15">
      <c r="W3741" s="361"/>
    </row>
    <row r="3742" spans="6:23" ht="15">
      <c r="W3742" s="361"/>
    </row>
    <row r="3743" spans="6:23" ht="15">
      <c r="F3743" s="924"/>
      <c r="G3743" s="924"/>
      <c r="H3743" s="924"/>
      <c r="I3743" s="924"/>
      <c r="J3743" s="924"/>
      <c r="K3743" s="924"/>
      <c r="L3743" s="924"/>
      <c r="M3743" s="924"/>
      <c r="N3743" s="924"/>
      <c r="W3743" s="361"/>
    </row>
    <row r="3744" spans="6:23" ht="15.75">
      <c r="F3744" s="956"/>
      <c r="G3744" s="930"/>
      <c r="H3744" s="957" t="s">
        <v>3319</v>
      </c>
      <c r="I3744" s="956"/>
      <c r="J3744" s="956"/>
      <c r="K3744" s="924"/>
      <c r="L3744" s="924"/>
      <c r="M3744" s="924"/>
      <c r="N3744" s="924"/>
      <c r="W3744" s="361"/>
    </row>
    <row r="3745" spans="6:23" ht="15.75">
      <c r="F3745" s="956" t="s">
        <v>418</v>
      </c>
      <c r="G3745" s="930" t="s">
        <v>29</v>
      </c>
      <c r="H3745" s="932"/>
      <c r="I3745" s="956" t="s">
        <v>28</v>
      </c>
      <c r="J3745" s="930" t="s">
        <v>29</v>
      </c>
      <c r="K3745" s="930" t="s">
        <v>30</v>
      </c>
      <c r="L3745" s="924"/>
      <c r="M3745" s="924"/>
      <c r="N3745" s="924"/>
      <c r="W3745" s="361"/>
    </row>
    <row r="3746" spans="6:23" ht="15.75">
      <c r="F3746" s="956"/>
      <c r="G3746" s="930"/>
      <c r="H3746" s="932"/>
      <c r="I3746" s="956"/>
      <c r="J3746" s="956"/>
      <c r="K3746" s="924"/>
      <c r="L3746" s="924"/>
      <c r="M3746" s="924"/>
      <c r="N3746" s="924"/>
      <c r="W3746" s="361"/>
    </row>
    <row r="3747" spans="6:23" ht="31.5">
      <c r="F3747" s="956">
        <v>0.15</v>
      </c>
      <c r="G3747" s="930" t="s">
        <v>793</v>
      </c>
      <c r="H3747" s="961" t="s">
        <v>3320</v>
      </c>
      <c r="I3747" s="931">
        <f>I3641</f>
        <v>2573.4463276836154</v>
      </c>
      <c r="J3747" s="930" t="s">
        <v>793</v>
      </c>
      <c r="K3747" s="956">
        <f t="shared" ref="K3747:K3752" si="369">I3747*F3747</f>
        <v>386.01694915254228</v>
      </c>
      <c r="L3747" s="924"/>
      <c r="M3747" s="924"/>
      <c r="N3747" s="924"/>
      <c r="W3747" s="361"/>
    </row>
    <row r="3748" spans="6:23" ht="15.75">
      <c r="F3748" s="962">
        <v>7.1999999999999995E-2</v>
      </c>
      <c r="G3748" s="930" t="s">
        <v>443</v>
      </c>
      <c r="H3748" s="932" t="s">
        <v>306</v>
      </c>
      <c r="I3748" s="956">
        <f>I9</f>
        <v>6372.14</v>
      </c>
      <c r="J3748" s="930" t="s">
        <v>443</v>
      </c>
      <c r="K3748" s="956">
        <f t="shared" si="369"/>
        <v>458.79408000000001</v>
      </c>
      <c r="L3748" s="924"/>
      <c r="M3748" s="924"/>
      <c r="N3748" s="924"/>
      <c r="W3748" s="361"/>
    </row>
    <row r="3749" spans="6:23" ht="15.75">
      <c r="F3749" s="956">
        <v>14.5</v>
      </c>
      <c r="G3749" s="930" t="s">
        <v>480</v>
      </c>
      <c r="H3749" s="764" t="s">
        <v>3321</v>
      </c>
      <c r="I3749" s="931">
        <f>P2435</f>
        <v>24.925000000000001</v>
      </c>
      <c r="J3749" s="930" t="s">
        <v>480</v>
      </c>
      <c r="K3749" s="956">
        <f t="shared" si="369"/>
        <v>361.41250000000002</v>
      </c>
      <c r="L3749" s="924"/>
      <c r="M3749" s="924"/>
      <c r="N3749" s="924"/>
      <c r="W3749" s="361"/>
    </row>
    <row r="3750" spans="6:23" ht="15.75">
      <c r="F3750" s="956">
        <v>1.6</v>
      </c>
      <c r="G3750" s="930" t="s">
        <v>260</v>
      </c>
      <c r="H3750" s="956" t="s">
        <v>3322</v>
      </c>
      <c r="I3750" s="956">
        <f>AG9</f>
        <v>1198.8</v>
      </c>
      <c r="J3750" s="930" t="s">
        <v>260</v>
      </c>
      <c r="K3750" s="956">
        <f t="shared" si="369"/>
        <v>1918.08</v>
      </c>
      <c r="L3750" s="924"/>
      <c r="M3750" s="924"/>
      <c r="N3750" s="924"/>
      <c r="W3750" s="361"/>
    </row>
    <row r="3751" spans="6:23" ht="15.75">
      <c r="F3751" s="956">
        <v>0.5</v>
      </c>
      <c r="G3751" s="930" t="s">
        <v>260</v>
      </c>
      <c r="H3751" s="932" t="s">
        <v>153</v>
      </c>
      <c r="I3751" s="956">
        <f>AG11</f>
        <v>781.19999999999993</v>
      </c>
      <c r="J3751" s="930" t="s">
        <v>260</v>
      </c>
      <c r="K3751" s="956">
        <f t="shared" si="369"/>
        <v>390.59999999999997</v>
      </c>
      <c r="L3751" s="924"/>
      <c r="M3751" s="924"/>
      <c r="N3751" s="924"/>
      <c r="W3751" s="361"/>
    </row>
    <row r="3752" spans="6:23" ht="15.75">
      <c r="F3752" s="956">
        <v>1.1000000000000001</v>
      </c>
      <c r="G3752" s="930" t="s">
        <v>260</v>
      </c>
      <c r="H3752" s="932" t="s">
        <v>154</v>
      </c>
      <c r="I3752" s="956">
        <f>AG12</f>
        <v>640.79999999999995</v>
      </c>
      <c r="J3752" s="930" t="s">
        <v>260</v>
      </c>
      <c r="K3752" s="956">
        <f t="shared" si="369"/>
        <v>704.88</v>
      </c>
      <c r="L3752" s="924"/>
      <c r="M3752" s="924"/>
      <c r="N3752" s="924"/>
      <c r="W3752" s="361"/>
    </row>
    <row r="3753" spans="6:23" ht="15.75">
      <c r="F3753" s="956"/>
      <c r="G3753" s="930"/>
      <c r="H3753" s="932" t="s">
        <v>264</v>
      </c>
      <c r="I3753" s="963" t="s">
        <v>265</v>
      </c>
      <c r="J3753" s="930"/>
      <c r="K3753" s="956">
        <v>52.63</v>
      </c>
      <c r="L3753" s="924"/>
      <c r="M3753" s="924"/>
      <c r="N3753" s="924"/>
      <c r="W3753" s="361"/>
    </row>
    <row r="3754" spans="6:23" ht="15.75">
      <c r="F3754" s="956"/>
      <c r="G3754" s="930"/>
      <c r="H3754" s="932" t="s">
        <v>2618</v>
      </c>
      <c r="I3754" s="924"/>
      <c r="J3754" s="924"/>
      <c r="K3754" s="956">
        <f>SUM(K3747:K3753)</f>
        <v>4272.4135291525417</v>
      </c>
      <c r="L3754" s="924"/>
      <c r="M3754" s="924"/>
      <c r="N3754" s="924"/>
      <c r="W3754" s="361"/>
    </row>
    <row r="3755" spans="6:23" ht="15.75">
      <c r="F3755" s="924"/>
      <c r="G3755" s="924"/>
      <c r="H3755" s="932" t="s">
        <v>2671</v>
      </c>
      <c r="I3755" s="924"/>
      <c r="J3755" s="924"/>
      <c r="K3755" s="964">
        <f>K3754/10</f>
        <v>427.2413529152542</v>
      </c>
      <c r="L3755" s="924"/>
      <c r="M3755" s="924"/>
      <c r="N3755" s="924"/>
      <c r="W3755" s="361"/>
    </row>
    <row r="3756" spans="6:23" ht="15">
      <c r="F3756" s="924"/>
      <c r="G3756" s="924"/>
      <c r="H3756" s="924"/>
      <c r="I3756" s="924"/>
      <c r="J3756" s="924"/>
      <c r="K3756" s="924"/>
      <c r="L3756" s="924"/>
      <c r="M3756" s="924"/>
      <c r="N3756" s="924"/>
      <c r="W3756" s="361"/>
    </row>
    <row r="3757" spans="6:23" ht="15">
      <c r="F3757" s="393"/>
      <c r="G3757" s="368" t="s">
        <v>122</v>
      </c>
      <c r="I3757" s="965"/>
      <c r="J3757" s="966"/>
      <c r="W3757" s="361"/>
    </row>
    <row r="3758" spans="6:23" ht="15">
      <c r="H3758" s="356"/>
      <c r="W3758" s="361"/>
    </row>
    <row r="3759" spans="6:23" ht="15">
      <c r="H3759" s="967" t="s">
        <v>3323</v>
      </c>
      <c r="W3759" s="361"/>
    </row>
    <row r="3760" spans="6:23" ht="15">
      <c r="H3760" s="363" t="s">
        <v>117</v>
      </c>
      <c r="W3760" s="361"/>
    </row>
    <row r="3761" spans="6:23" ht="15">
      <c r="F3761" s="370">
        <v>21.55</v>
      </c>
      <c r="G3761" s="368" t="s">
        <v>213</v>
      </c>
      <c r="H3761" s="356" t="s">
        <v>3324</v>
      </c>
      <c r="I3761" s="370">
        <f>I3783</f>
        <v>347.7</v>
      </c>
      <c r="J3761" s="368" t="s">
        <v>213</v>
      </c>
      <c r="K3761" s="370">
        <f>I3761*F3761</f>
        <v>7492.9350000000004</v>
      </c>
      <c r="W3761" s="361"/>
    </row>
    <row r="3762" spans="6:23" ht="15">
      <c r="F3762" s="370"/>
      <c r="G3762" s="368"/>
      <c r="H3762" s="356" t="s">
        <v>3325</v>
      </c>
      <c r="I3762" s="370"/>
      <c r="J3762" s="368"/>
      <c r="K3762" s="370">
        <f>K3761*10/100</f>
        <v>749.29350000000011</v>
      </c>
      <c r="W3762" s="361"/>
    </row>
    <row r="3763" spans="6:23" ht="15">
      <c r="F3763" s="370">
        <v>3.7</v>
      </c>
      <c r="G3763" s="368" t="s">
        <v>213</v>
      </c>
      <c r="H3763" s="356" t="s">
        <v>3326</v>
      </c>
      <c r="I3763" s="370">
        <f>Z32</f>
        <v>58000</v>
      </c>
      <c r="J3763" s="368" t="s">
        <v>443</v>
      </c>
      <c r="K3763" s="370">
        <f>I3763*F3763/10000</f>
        <v>21.46</v>
      </c>
      <c r="W3763" s="361"/>
    </row>
    <row r="3764" spans="6:23" ht="15">
      <c r="F3764" s="924"/>
      <c r="G3764" s="924"/>
      <c r="H3764" s="356" t="s">
        <v>3327</v>
      </c>
      <c r="I3764" s="370"/>
      <c r="J3764" s="356"/>
      <c r="K3764" s="370">
        <f>K3763*5/100</f>
        <v>1.0730000000000002</v>
      </c>
      <c r="W3764" s="361"/>
    </row>
    <row r="3765" spans="6:23" ht="15.75">
      <c r="F3765" s="370">
        <v>18</v>
      </c>
      <c r="G3765" s="368" t="s">
        <v>3</v>
      </c>
      <c r="H3765" s="356" t="s">
        <v>3328</v>
      </c>
      <c r="I3765" s="968">
        <v>15</v>
      </c>
      <c r="J3765" s="368" t="s">
        <v>192</v>
      </c>
      <c r="K3765" s="370">
        <f>I3765*F3765</f>
        <v>270</v>
      </c>
      <c r="W3765" s="361"/>
    </row>
    <row r="3766" spans="6:23" ht="15">
      <c r="F3766" s="370"/>
      <c r="G3766" s="368"/>
      <c r="H3766" s="356" t="s">
        <v>3329</v>
      </c>
      <c r="I3766" s="370"/>
      <c r="J3766" s="356"/>
      <c r="K3766" s="370">
        <f>K3765*10/100</f>
        <v>27</v>
      </c>
      <c r="W3766" s="361"/>
    </row>
    <row r="3767" spans="6:23" ht="15.75">
      <c r="F3767" s="370">
        <v>28</v>
      </c>
      <c r="G3767" s="368" t="s">
        <v>3</v>
      </c>
      <c r="H3767" s="356" t="s">
        <v>3330</v>
      </c>
      <c r="I3767" s="968">
        <v>1</v>
      </c>
      <c r="J3767" s="368" t="s">
        <v>3</v>
      </c>
      <c r="K3767" s="370">
        <f>I3767*F3767</f>
        <v>28</v>
      </c>
      <c r="W3767" s="361"/>
    </row>
    <row r="3768" spans="6:23" ht="15.75">
      <c r="F3768" s="370">
        <v>28</v>
      </c>
      <c r="G3768" s="368" t="s">
        <v>3</v>
      </c>
      <c r="H3768" s="356" t="s">
        <v>3331</v>
      </c>
      <c r="I3768" s="968">
        <v>2</v>
      </c>
      <c r="J3768" s="368" t="s">
        <v>3</v>
      </c>
      <c r="K3768" s="370">
        <f>I3768*F3768</f>
        <v>56</v>
      </c>
      <c r="W3768" s="361"/>
    </row>
    <row r="3769" spans="6:23" ht="15">
      <c r="F3769" s="370">
        <v>4</v>
      </c>
      <c r="G3769" s="368" t="s">
        <v>3</v>
      </c>
      <c r="H3769" s="610" t="s">
        <v>3332</v>
      </c>
      <c r="I3769" s="370">
        <f>AG17</f>
        <v>1057.2</v>
      </c>
      <c r="J3769" s="368" t="s">
        <v>3</v>
      </c>
      <c r="K3769" s="370">
        <f>I3769*F3769</f>
        <v>4228.8</v>
      </c>
      <c r="W3769" s="361"/>
    </row>
    <row r="3770" spans="6:23" ht="15">
      <c r="F3770" s="370">
        <v>2</v>
      </c>
      <c r="G3770" s="368" t="s">
        <v>3</v>
      </c>
      <c r="H3770" s="969" t="s">
        <v>3313</v>
      </c>
      <c r="I3770" s="370">
        <f>AG19</f>
        <v>1171.2</v>
      </c>
      <c r="J3770" s="368" t="s">
        <v>3</v>
      </c>
      <c r="K3770" s="370">
        <f>I3770*F3770</f>
        <v>2342.4</v>
      </c>
      <c r="W3770" s="361"/>
    </row>
    <row r="3771" spans="6:23" ht="15">
      <c r="F3771" s="370">
        <v>6</v>
      </c>
      <c r="G3771" s="368" t="s">
        <v>3</v>
      </c>
      <c r="H3771" s="969" t="s">
        <v>3333</v>
      </c>
      <c r="I3771" s="370">
        <f>AG11</f>
        <v>781.19999999999993</v>
      </c>
      <c r="J3771" s="368" t="s">
        <v>3</v>
      </c>
      <c r="K3771" s="370">
        <f>I3771*F3771</f>
        <v>4687.2</v>
      </c>
      <c r="W3771" s="361"/>
    </row>
    <row r="3772" spans="6:23" ht="15">
      <c r="F3772" s="370"/>
      <c r="G3772" s="368" t="s">
        <v>128</v>
      </c>
      <c r="H3772" s="356" t="s">
        <v>264</v>
      </c>
      <c r="I3772" s="356" t="s">
        <v>114</v>
      </c>
      <c r="J3772" s="356" t="s">
        <v>128</v>
      </c>
      <c r="K3772" s="370">
        <v>5.38</v>
      </c>
      <c r="W3772" s="361"/>
    </row>
    <row r="3773" spans="6:23" ht="15">
      <c r="F3773" s="370"/>
      <c r="G3773" s="368"/>
      <c r="H3773" s="356"/>
      <c r="I3773" s="370"/>
      <c r="J3773" s="368"/>
      <c r="K3773" s="370"/>
      <c r="W3773" s="361"/>
    </row>
    <row r="3774" spans="6:23" ht="15">
      <c r="H3774" s="356" t="s">
        <v>3334</v>
      </c>
      <c r="K3774" s="370">
        <f>SUM(K3761:K3773)</f>
        <v>19909.541499999999</v>
      </c>
      <c r="W3774" s="361"/>
    </row>
    <row r="3775" spans="6:23" ht="15">
      <c r="K3775" s="363" t="s">
        <v>117</v>
      </c>
      <c r="W3775" s="361"/>
    </row>
    <row r="3776" spans="6:23" ht="15.75">
      <c r="H3776" s="367" t="s">
        <v>3335</v>
      </c>
      <c r="I3776" s="411"/>
      <c r="J3776" s="580" t="s">
        <v>2807</v>
      </c>
      <c r="K3776" s="369">
        <f>K3774/18</f>
        <v>1106.0856388888888</v>
      </c>
      <c r="W3776" s="361"/>
    </row>
    <row r="3777" spans="6:23" ht="15.75">
      <c r="H3777" s="367"/>
      <c r="I3777" s="411"/>
      <c r="J3777" s="580"/>
      <c r="K3777" s="363" t="s">
        <v>117</v>
      </c>
      <c r="W3777" s="361"/>
    </row>
    <row r="3778" spans="6:23" ht="15.75">
      <c r="H3778" s="367"/>
      <c r="I3778" s="411"/>
      <c r="J3778" s="580"/>
      <c r="K3778" s="369"/>
      <c r="W3778" s="361"/>
    </row>
    <row r="3779" spans="6:23" ht="15">
      <c r="F3779" s="924"/>
      <c r="G3779" s="924"/>
      <c r="H3779" s="970" t="s">
        <v>3336</v>
      </c>
      <c r="I3779" s="924"/>
      <c r="J3779" s="924"/>
      <c r="K3779" s="924"/>
      <c r="L3779" s="924"/>
      <c r="W3779" s="361"/>
    </row>
    <row r="3780" spans="6:23" ht="16.5">
      <c r="F3780" s="404"/>
      <c r="G3780" s="912" t="s">
        <v>3337</v>
      </c>
      <c r="H3780" s="912"/>
      <c r="I3780" s="912"/>
      <c r="J3780" s="912"/>
      <c r="K3780" s="913"/>
      <c r="L3780" s="913"/>
      <c r="N3780" s="912" t="s">
        <v>3337</v>
      </c>
      <c r="O3780" s="912"/>
      <c r="P3780" s="912"/>
      <c r="Q3780" s="912"/>
      <c r="R3780" s="913"/>
      <c r="W3780" s="361"/>
    </row>
    <row r="3781" spans="6:23" ht="16.5">
      <c r="F3781" s="404"/>
      <c r="G3781" s="588"/>
      <c r="H3781" s="589"/>
      <c r="I3781" s="590"/>
      <c r="J3781" s="591"/>
      <c r="K3781" s="589"/>
      <c r="L3781" s="591"/>
      <c r="N3781" s="588"/>
      <c r="O3781" s="589"/>
      <c r="P3781" s="590"/>
      <c r="Q3781" s="591"/>
      <c r="R3781" s="589"/>
      <c r="W3781" s="361"/>
    </row>
    <row r="3782" spans="6:23" ht="16.5">
      <c r="F3782" s="404"/>
      <c r="G3782" s="588"/>
      <c r="H3782" s="589"/>
      <c r="I3782" s="592"/>
      <c r="J3782" s="591"/>
      <c r="K3782" s="589"/>
      <c r="L3782" s="591"/>
      <c r="N3782" s="588"/>
      <c r="O3782" s="589"/>
      <c r="P3782" s="592"/>
      <c r="Q3782" s="591"/>
      <c r="R3782" s="589"/>
      <c r="W3782" s="361"/>
    </row>
    <row r="3783" spans="6:23" ht="16.5">
      <c r="F3783" s="588">
        <v>38.86</v>
      </c>
      <c r="G3783" s="589" t="s">
        <v>480</v>
      </c>
      <c r="H3783" s="592" t="s">
        <v>3338</v>
      </c>
      <c r="I3783" s="591">
        <v>347.7</v>
      </c>
      <c r="J3783" s="589" t="s">
        <v>480</v>
      </c>
      <c r="K3783" s="591">
        <f t="shared" ref="K3783:K3790" si="370">I3783*F3783</f>
        <v>13511.621999999999</v>
      </c>
      <c r="L3783" s="585"/>
      <c r="M3783" s="588">
        <v>29.06</v>
      </c>
      <c r="N3783" s="589" t="s">
        <v>480</v>
      </c>
      <c r="O3783" s="592" t="s">
        <v>3338</v>
      </c>
      <c r="P3783" s="591">
        <v>347.7</v>
      </c>
      <c r="Q3783" s="589" t="s">
        <v>480</v>
      </c>
      <c r="R3783" s="591">
        <f>P3783*M3783</f>
        <v>10104.161999999998</v>
      </c>
      <c r="W3783" s="361"/>
    </row>
    <row r="3784" spans="6:23" ht="16.5">
      <c r="F3784" s="588">
        <v>2.4300000000000002</v>
      </c>
      <c r="G3784" s="971" t="s">
        <v>478</v>
      </c>
      <c r="H3784" s="972" t="s">
        <v>3248</v>
      </c>
      <c r="I3784" s="591">
        <v>362.5</v>
      </c>
      <c r="J3784" s="589" t="s">
        <v>478</v>
      </c>
      <c r="K3784" s="591">
        <f t="shared" si="370"/>
        <v>880.87500000000011</v>
      </c>
      <c r="L3784" s="585"/>
      <c r="M3784" s="588">
        <v>1.49</v>
      </c>
      <c r="N3784" s="971" t="s">
        <v>478</v>
      </c>
      <c r="O3784" s="972" t="s">
        <v>3248</v>
      </c>
      <c r="P3784" s="591">
        <v>362.5</v>
      </c>
      <c r="Q3784" s="589" t="s">
        <v>478</v>
      </c>
      <c r="R3784" s="591">
        <f t="shared" ref="R3784:R3790" si="371">P3784*M3784</f>
        <v>540.125</v>
      </c>
      <c r="W3784" s="361"/>
    </row>
    <row r="3785" spans="6:23" ht="16.5">
      <c r="F3785" s="588">
        <v>4.8499999999999996</v>
      </c>
      <c r="G3785" s="971" t="s">
        <v>478</v>
      </c>
      <c r="H3785" s="972" t="s">
        <v>3250</v>
      </c>
      <c r="I3785" s="591">
        <v>695</v>
      </c>
      <c r="J3785" s="589" t="s">
        <v>223</v>
      </c>
      <c r="K3785" s="591">
        <f t="shared" si="370"/>
        <v>3370.7499999999995</v>
      </c>
      <c r="L3785" s="585"/>
      <c r="M3785" s="588">
        <v>0.75</v>
      </c>
      <c r="N3785" s="971" t="s">
        <v>478</v>
      </c>
      <c r="O3785" s="972" t="s">
        <v>3250</v>
      </c>
      <c r="P3785" s="591">
        <v>695</v>
      </c>
      <c r="Q3785" s="589" t="s">
        <v>223</v>
      </c>
      <c r="R3785" s="591">
        <f t="shared" si="371"/>
        <v>521.25</v>
      </c>
      <c r="W3785" s="361"/>
    </row>
    <row r="3786" spans="6:23" ht="16.5">
      <c r="F3786" s="918">
        <v>34.65</v>
      </c>
      <c r="G3786" s="971" t="s">
        <v>31</v>
      </c>
      <c r="H3786" s="972" t="s">
        <v>3339</v>
      </c>
      <c r="I3786" s="591">
        <v>38.25</v>
      </c>
      <c r="J3786" s="589" t="s">
        <v>31</v>
      </c>
      <c r="K3786" s="591">
        <f t="shared" si="370"/>
        <v>1325.3625</v>
      </c>
      <c r="L3786" s="585"/>
      <c r="M3786" s="918">
        <v>9.24</v>
      </c>
      <c r="N3786" s="971" t="s">
        <v>31</v>
      </c>
      <c r="O3786" s="972" t="s">
        <v>3339</v>
      </c>
      <c r="P3786" s="591">
        <v>38.25</v>
      </c>
      <c r="Q3786" s="589" t="s">
        <v>31</v>
      </c>
      <c r="R3786" s="591">
        <f t="shared" si="371"/>
        <v>353.43</v>
      </c>
      <c r="W3786" s="361"/>
    </row>
    <row r="3787" spans="6:23" ht="18">
      <c r="F3787" s="891">
        <v>144</v>
      </c>
      <c r="G3787" s="973" t="s">
        <v>3</v>
      </c>
      <c r="H3787" s="974" t="s">
        <v>3340</v>
      </c>
      <c r="I3787" s="975">
        <v>2.41</v>
      </c>
      <c r="J3787" s="894" t="s">
        <v>292</v>
      </c>
      <c r="K3787" s="591">
        <f t="shared" si="370"/>
        <v>347.04</v>
      </c>
      <c r="L3787" s="585"/>
      <c r="M3787" s="588">
        <v>7.08</v>
      </c>
      <c r="N3787" s="971" t="s">
        <v>194</v>
      </c>
      <c r="O3787" s="972" t="s">
        <v>3341</v>
      </c>
      <c r="P3787" s="591">
        <v>7.95</v>
      </c>
      <c r="Q3787" s="589" t="s">
        <v>292</v>
      </c>
      <c r="R3787" s="591">
        <f t="shared" si="371"/>
        <v>56.286000000000001</v>
      </c>
      <c r="W3787" s="361"/>
    </row>
    <row r="3788" spans="6:23" ht="18">
      <c r="F3788" s="891">
        <v>12</v>
      </c>
      <c r="G3788" s="973" t="s">
        <v>3</v>
      </c>
      <c r="H3788" s="974" t="s">
        <v>3342</v>
      </c>
      <c r="I3788" s="975">
        <v>4.88</v>
      </c>
      <c r="J3788" s="894" t="s">
        <v>292</v>
      </c>
      <c r="K3788" s="591">
        <f t="shared" si="370"/>
        <v>58.56</v>
      </c>
      <c r="L3788" s="585"/>
      <c r="M3788" s="588">
        <v>1</v>
      </c>
      <c r="N3788" s="971" t="s">
        <v>194</v>
      </c>
      <c r="O3788" s="972" t="s">
        <v>3156</v>
      </c>
      <c r="P3788" s="591">
        <v>49.55</v>
      </c>
      <c r="Q3788" s="589" t="s">
        <v>292</v>
      </c>
      <c r="R3788" s="591">
        <f t="shared" si="371"/>
        <v>49.55</v>
      </c>
      <c r="W3788" s="361"/>
    </row>
    <row r="3789" spans="6:23" ht="18">
      <c r="F3789" s="891">
        <v>12</v>
      </c>
      <c r="G3789" s="973" t="s">
        <v>3</v>
      </c>
      <c r="H3789" s="974" t="s">
        <v>3343</v>
      </c>
      <c r="I3789" s="975">
        <v>1.08</v>
      </c>
      <c r="J3789" s="894" t="s">
        <v>292</v>
      </c>
      <c r="K3789" s="591">
        <f t="shared" si="370"/>
        <v>12.96</v>
      </c>
      <c r="L3789" s="585"/>
      <c r="M3789" s="588">
        <v>1</v>
      </c>
      <c r="N3789" s="971" t="s">
        <v>194</v>
      </c>
      <c r="O3789" s="972" t="s">
        <v>3344</v>
      </c>
      <c r="P3789" s="591">
        <v>1008</v>
      </c>
      <c r="Q3789" s="589" t="s">
        <v>223</v>
      </c>
      <c r="R3789" s="591">
        <f t="shared" si="371"/>
        <v>1008</v>
      </c>
      <c r="W3789" s="361"/>
    </row>
    <row r="3790" spans="6:23" ht="18">
      <c r="F3790" s="588">
        <v>2</v>
      </c>
      <c r="G3790" s="971" t="s">
        <v>29</v>
      </c>
      <c r="H3790" s="972" t="s">
        <v>3345</v>
      </c>
      <c r="I3790" s="591">
        <v>11.9</v>
      </c>
      <c r="J3790" s="589" t="s">
        <v>29</v>
      </c>
      <c r="K3790" s="591">
        <f t="shared" si="370"/>
        <v>23.8</v>
      </c>
      <c r="L3790" s="585"/>
      <c r="M3790" s="891">
        <v>6</v>
      </c>
      <c r="N3790" s="973" t="s">
        <v>3</v>
      </c>
      <c r="O3790" s="974" t="s">
        <v>3346</v>
      </c>
      <c r="P3790" s="975">
        <v>2.21</v>
      </c>
      <c r="Q3790" s="894" t="s">
        <v>292</v>
      </c>
      <c r="R3790" s="591">
        <f t="shared" si="371"/>
        <v>13.26</v>
      </c>
      <c r="W3790" s="361"/>
    </row>
    <row r="3791" spans="6:23" ht="16.5">
      <c r="F3791" s="588">
        <v>6.6150000000000002</v>
      </c>
      <c r="G3791" s="971" t="s">
        <v>262</v>
      </c>
      <c r="H3791" s="972" t="s">
        <v>2228</v>
      </c>
      <c r="I3791" s="585">
        <f>K3801</f>
        <v>2397.6</v>
      </c>
      <c r="J3791" s="589" t="s">
        <v>262</v>
      </c>
      <c r="K3791" s="591">
        <f>1059.95*6.615</f>
        <v>7011.5692500000005</v>
      </c>
      <c r="L3791" s="585"/>
      <c r="M3791" s="588">
        <v>2</v>
      </c>
      <c r="N3791" s="971" t="s">
        <v>3</v>
      </c>
      <c r="O3791" s="972" t="s">
        <v>3347</v>
      </c>
      <c r="P3791" s="591">
        <v>130.5</v>
      </c>
      <c r="Q3791" s="589" t="s">
        <v>223</v>
      </c>
      <c r="R3791" s="591">
        <f>P3791*M3791</f>
        <v>261</v>
      </c>
      <c r="W3791" s="361"/>
    </row>
    <row r="3792" spans="6:23" ht="16.5">
      <c r="F3792" s="588"/>
      <c r="G3792" s="971"/>
      <c r="H3792" s="972"/>
      <c r="I3792" s="585"/>
      <c r="J3792" s="593"/>
      <c r="K3792" s="591"/>
      <c r="L3792" s="585"/>
      <c r="M3792" s="588">
        <v>2</v>
      </c>
      <c r="N3792" s="971" t="s">
        <v>3</v>
      </c>
      <c r="O3792" s="972" t="s">
        <v>3348</v>
      </c>
      <c r="P3792" s="591">
        <v>64.8</v>
      </c>
      <c r="Q3792" s="589" t="s">
        <v>223</v>
      </c>
      <c r="R3792" s="591">
        <f>P3792*M3792</f>
        <v>129.6</v>
      </c>
      <c r="W3792" s="361"/>
    </row>
    <row r="3793" spans="6:23" ht="16.5">
      <c r="F3793" s="588"/>
      <c r="G3793" s="971"/>
      <c r="H3793" s="398" t="s">
        <v>3260</v>
      </c>
      <c r="I3793" s="404"/>
      <c r="J3793" s="589"/>
      <c r="K3793" s="591">
        <f>SUM(K3783:K3792)</f>
        <v>26542.53875</v>
      </c>
      <c r="L3793" s="585"/>
      <c r="M3793" s="588">
        <v>2</v>
      </c>
      <c r="N3793" s="971" t="s">
        <v>29</v>
      </c>
      <c r="O3793" s="972" t="s">
        <v>3345</v>
      </c>
      <c r="P3793" s="591">
        <v>11.9</v>
      </c>
      <c r="Q3793" s="589" t="s">
        <v>29</v>
      </c>
      <c r="R3793" s="591">
        <f>P3793*M3793</f>
        <v>23.8</v>
      </c>
      <c r="W3793" s="361"/>
    </row>
    <row r="3794" spans="6:23" ht="16.5">
      <c r="F3794" s="588"/>
      <c r="G3794" s="971"/>
      <c r="H3794" s="398" t="s">
        <v>177</v>
      </c>
      <c r="I3794" s="404"/>
      <c r="J3794" s="913"/>
      <c r="K3794" s="595">
        <f>K3793/6.615</f>
        <v>4012.4775132275131</v>
      </c>
      <c r="L3794" s="597" t="s">
        <v>194</v>
      </c>
      <c r="M3794" s="588">
        <v>2.1</v>
      </c>
      <c r="N3794" s="971" t="s">
        <v>262</v>
      </c>
      <c r="O3794" s="972" t="s">
        <v>2228</v>
      </c>
      <c r="P3794" s="585">
        <f>I3791</f>
        <v>2397.6</v>
      </c>
      <c r="Q3794" s="589" t="s">
        <v>262</v>
      </c>
      <c r="R3794" s="591">
        <f>P3794*M3794</f>
        <v>5034.96</v>
      </c>
      <c r="W3794" s="361"/>
    </row>
    <row r="3795" spans="6:23" ht="16.5">
      <c r="F3795" s="585"/>
      <c r="G3795" s="976"/>
      <c r="H3795" s="977"/>
      <c r="I3795" s="585"/>
      <c r="J3795" s="585"/>
      <c r="K3795" s="585"/>
      <c r="L3795" s="585"/>
      <c r="M3795" s="588"/>
      <c r="N3795" s="971"/>
      <c r="O3795" s="972"/>
      <c r="P3795" s="585"/>
      <c r="Q3795" s="593"/>
      <c r="R3795" s="591"/>
      <c r="W3795" s="361"/>
    </row>
    <row r="3796" spans="6:23" ht="18">
      <c r="F3796" s="591">
        <v>1</v>
      </c>
      <c r="G3796" s="589" t="s">
        <v>151</v>
      </c>
      <c r="H3796" s="592" t="s">
        <v>2230</v>
      </c>
      <c r="I3796" s="591">
        <f>AG17</f>
        <v>1057.2</v>
      </c>
      <c r="J3796" s="592" t="s">
        <v>151</v>
      </c>
      <c r="K3796" s="591">
        <f>I3796*F3796</f>
        <v>1057.2</v>
      </c>
      <c r="L3796" s="585"/>
      <c r="M3796" s="588"/>
      <c r="N3796" s="978"/>
      <c r="O3796" s="979" t="s">
        <v>3349</v>
      </c>
      <c r="Q3796" s="589"/>
      <c r="R3796" s="591">
        <f>SUM(R3783:R3795)</f>
        <v>18095.422999999999</v>
      </c>
      <c r="W3796" s="361"/>
    </row>
    <row r="3797" spans="6:23" ht="18">
      <c r="F3797" s="591">
        <v>1</v>
      </c>
      <c r="G3797" s="589" t="s">
        <v>151</v>
      </c>
      <c r="H3797" s="592" t="s">
        <v>2231</v>
      </c>
      <c r="I3797" s="591">
        <f>AG11</f>
        <v>781.19999999999993</v>
      </c>
      <c r="J3797" s="592" t="s">
        <v>151</v>
      </c>
      <c r="K3797" s="591">
        <f>I3797*F3797</f>
        <v>781.19999999999993</v>
      </c>
      <c r="L3797" s="585"/>
      <c r="M3797" s="588"/>
      <c r="N3797" s="978"/>
      <c r="O3797" s="979" t="s">
        <v>177</v>
      </c>
      <c r="Q3797" s="913"/>
      <c r="R3797" s="595">
        <f>R3796/M3794</f>
        <v>8616.8680952380946</v>
      </c>
      <c r="W3797" s="361"/>
    </row>
    <row r="3798" spans="6:23" ht="18">
      <c r="F3798" s="591">
        <v>0.5</v>
      </c>
      <c r="G3798" s="589" t="s">
        <v>151</v>
      </c>
      <c r="H3798" s="592" t="s">
        <v>2232</v>
      </c>
      <c r="I3798" s="591">
        <f>AG20</f>
        <v>1118.3999999999999</v>
      </c>
      <c r="J3798" s="592" t="s">
        <v>151</v>
      </c>
      <c r="K3798" s="591">
        <f>I3798*F3798</f>
        <v>559.19999999999993</v>
      </c>
      <c r="L3798" s="585"/>
      <c r="O3798" s="891"/>
      <c r="W3798" s="361"/>
    </row>
    <row r="3799" spans="6:23" ht="16.5">
      <c r="F3799" s="585"/>
      <c r="G3799" s="589" t="s">
        <v>128</v>
      </c>
      <c r="H3799" s="592"/>
      <c r="I3799" s="591"/>
      <c r="J3799" s="592" t="s">
        <v>128</v>
      </c>
      <c r="K3799" s="591"/>
      <c r="L3799" s="585"/>
      <c r="W3799" s="361"/>
    </row>
    <row r="3800" spans="6:23" ht="16.5">
      <c r="F3800" s="404"/>
      <c r="G3800" s="585"/>
      <c r="H3800" s="594"/>
      <c r="I3800" s="585"/>
      <c r="J3800" s="585"/>
      <c r="K3800" s="600" t="s">
        <v>117</v>
      </c>
      <c r="L3800" s="924"/>
      <c r="W3800" s="361"/>
    </row>
    <row r="3801" spans="6:23" ht="16.5">
      <c r="F3801" s="404"/>
      <c r="G3801" s="585"/>
      <c r="H3801" s="594"/>
      <c r="I3801" s="592" t="s">
        <v>2233</v>
      </c>
      <c r="J3801" s="585"/>
      <c r="K3801" s="595">
        <f>SUM(K3796:K3800)</f>
        <v>2397.6</v>
      </c>
      <c r="L3801" s="924"/>
      <c r="W3801" s="361"/>
    </row>
    <row r="3802" spans="6:23" ht="16.5">
      <c r="F3802" s="404"/>
      <c r="G3802" s="585"/>
      <c r="H3802" s="594"/>
      <c r="I3802" s="585"/>
      <c r="J3802" s="585"/>
      <c r="K3802" s="600" t="s">
        <v>117</v>
      </c>
      <c r="L3802" s="924"/>
      <c r="W3802" s="361"/>
    </row>
    <row r="3803" spans="6:23" ht="15">
      <c r="G3803" s="35"/>
      <c r="J3803" s="35"/>
      <c r="K3803" s="36"/>
      <c r="W3803" s="361"/>
    </row>
    <row r="3804" spans="6:23" ht="15.75">
      <c r="F3804" s="412"/>
      <c r="G3804" s="368" t="s">
        <v>122</v>
      </c>
      <c r="H3804" s="356" t="s">
        <v>2075</v>
      </c>
      <c r="W3804" s="361"/>
    </row>
    <row r="3805" spans="6:23" ht="15">
      <c r="H3805" s="356"/>
      <c r="W3805" s="361"/>
    </row>
    <row r="3806" spans="6:23" ht="15">
      <c r="H3806" s="363" t="s">
        <v>117</v>
      </c>
      <c r="W3806" s="361"/>
    </row>
    <row r="3807" spans="6:23" ht="15.75">
      <c r="F3807" s="370">
        <v>1.86</v>
      </c>
      <c r="G3807" s="368" t="s">
        <v>107</v>
      </c>
      <c r="H3807" s="356" t="s">
        <v>2076</v>
      </c>
      <c r="I3807" s="402">
        <v>699.4</v>
      </c>
      <c r="J3807" s="356" t="s">
        <v>107</v>
      </c>
      <c r="K3807" s="370">
        <f>(F3807*I3807)</f>
        <v>1300.884</v>
      </c>
      <c r="W3807" s="361"/>
    </row>
    <row r="3808" spans="6:23" ht="15">
      <c r="F3808" s="370">
        <v>0.4</v>
      </c>
      <c r="G3808" s="368" t="s">
        <v>213</v>
      </c>
      <c r="H3808" s="356" t="s">
        <v>228</v>
      </c>
      <c r="I3808" s="570">
        <f>I3464</f>
        <v>36.1</v>
      </c>
      <c r="J3808" s="356" t="s">
        <v>213</v>
      </c>
      <c r="K3808" s="370">
        <f>(F3808*I3808)</f>
        <v>14.440000000000001</v>
      </c>
      <c r="W3808" s="361"/>
    </row>
    <row r="3809" spans="6:23" ht="15">
      <c r="F3809" s="370">
        <v>0.02</v>
      </c>
      <c r="G3809" s="368" t="s">
        <v>108</v>
      </c>
      <c r="H3809" s="356" t="s">
        <v>229</v>
      </c>
      <c r="I3809" s="370">
        <f>K23</f>
        <v>6506.2708000000002</v>
      </c>
      <c r="J3809" s="356" t="s">
        <v>108</v>
      </c>
      <c r="K3809" s="370">
        <f>(F3809*I3809)</f>
        <v>130.125416</v>
      </c>
      <c r="W3809" s="361"/>
    </row>
    <row r="3810" spans="6:23" ht="15">
      <c r="F3810" s="370">
        <v>1</v>
      </c>
      <c r="G3810" s="368" t="s">
        <v>223</v>
      </c>
      <c r="H3810" s="356" t="s">
        <v>162</v>
      </c>
      <c r="I3810" s="370">
        <f>I3750</f>
        <v>1198.8</v>
      </c>
      <c r="J3810" s="356" t="s">
        <v>223</v>
      </c>
      <c r="K3810" s="370">
        <f>(F3810*I3810)</f>
        <v>1198.8</v>
      </c>
      <c r="W3810" s="361"/>
    </row>
    <row r="3811" spans="6:23" ht="15">
      <c r="F3811" s="370">
        <v>1</v>
      </c>
      <c r="G3811" s="368" t="s">
        <v>223</v>
      </c>
      <c r="H3811" s="356" t="s">
        <v>230</v>
      </c>
      <c r="I3811" s="370">
        <f>I3797</f>
        <v>781.19999999999993</v>
      </c>
      <c r="J3811" s="356" t="s">
        <v>223</v>
      </c>
      <c r="K3811" s="370">
        <f>(F3811*I3811)</f>
        <v>781.19999999999993</v>
      </c>
      <c r="W3811" s="361"/>
    </row>
    <row r="3812" spans="6:23" ht="15">
      <c r="G3812" s="368" t="s">
        <v>128</v>
      </c>
      <c r="H3812" s="356" t="s">
        <v>129</v>
      </c>
      <c r="J3812" s="356" t="s">
        <v>128</v>
      </c>
      <c r="K3812" s="370"/>
      <c r="W3812" s="361"/>
    </row>
    <row r="3813" spans="6:23" ht="15">
      <c r="K3813" s="363" t="s">
        <v>117</v>
      </c>
      <c r="W3813" s="361"/>
    </row>
    <row r="3814" spans="6:23" ht="15">
      <c r="H3814" s="356" t="s">
        <v>231</v>
      </c>
      <c r="K3814" s="370">
        <f>SUM(K3807:K3812)</f>
        <v>3425.4494159999999</v>
      </c>
      <c r="W3814" s="361"/>
    </row>
    <row r="3815" spans="6:23" ht="15">
      <c r="K3815" s="363" t="s">
        <v>117</v>
      </c>
      <c r="W3815" s="361"/>
    </row>
    <row r="3816" spans="6:23" ht="15.75">
      <c r="H3816" s="372" t="s">
        <v>177</v>
      </c>
      <c r="K3816" s="369">
        <f>(K3814/1.86)</f>
        <v>1841.6394709677418</v>
      </c>
      <c r="W3816" s="361"/>
    </row>
    <row r="3817" spans="6:23" ht="15">
      <c r="K3817" s="363" t="s">
        <v>156</v>
      </c>
      <c r="W3817" s="361"/>
    </row>
    <row r="3818" spans="6:23" ht="15">
      <c r="W3818" s="361"/>
    </row>
    <row r="3819" spans="6:23" ht="15.75">
      <c r="F3819" s="412"/>
      <c r="G3819" s="368" t="s">
        <v>122</v>
      </c>
      <c r="H3819" s="356" t="s">
        <v>2071</v>
      </c>
      <c r="W3819" s="361"/>
    </row>
    <row r="3820" spans="6:23" ht="15">
      <c r="H3820" s="356"/>
      <c r="W3820" s="361"/>
    </row>
    <row r="3821" spans="6:23" ht="15">
      <c r="H3821" s="356"/>
      <c r="W3821" s="361"/>
    </row>
    <row r="3822" spans="6:23" ht="15">
      <c r="H3822" s="363" t="s">
        <v>117</v>
      </c>
      <c r="I3822" s="363" t="s">
        <v>117</v>
      </c>
      <c r="W3822" s="361"/>
    </row>
    <row r="3823" spans="6:23" ht="30">
      <c r="F3823" s="370">
        <v>10</v>
      </c>
      <c r="G3823" s="368" t="s">
        <v>107</v>
      </c>
      <c r="H3823" s="445" t="s">
        <v>2073</v>
      </c>
      <c r="I3823" s="402">
        <v>538.21</v>
      </c>
      <c r="J3823" s="356" t="s">
        <v>107</v>
      </c>
      <c r="K3823" s="370">
        <f>(F3823*I3823)</f>
        <v>5382.1</v>
      </c>
      <c r="W3823" s="361"/>
    </row>
    <row r="3824" spans="6:23" ht="15.75">
      <c r="F3824" s="370">
        <v>0.21</v>
      </c>
      <c r="G3824" s="368" t="s">
        <v>108</v>
      </c>
      <c r="H3824" s="356" t="s">
        <v>221</v>
      </c>
      <c r="I3824" s="443">
        <f>I3457</f>
        <v>4976.9571999999998</v>
      </c>
      <c r="J3824" s="356" t="s">
        <v>108</v>
      </c>
      <c r="K3824" s="370">
        <f>(F3824*I3824)</f>
        <v>1045.161012</v>
      </c>
      <c r="W3824" s="361"/>
    </row>
    <row r="3825" spans="6:23" ht="15.75">
      <c r="H3825" s="356" t="s">
        <v>222</v>
      </c>
      <c r="I3825" s="443"/>
      <c r="K3825" s="356" t="s">
        <v>114</v>
      </c>
      <c r="W3825" s="361"/>
    </row>
    <row r="3826" spans="6:23" ht="15.75">
      <c r="F3826" s="370">
        <v>1.1000000000000001</v>
      </c>
      <c r="G3826" s="368" t="s">
        <v>223</v>
      </c>
      <c r="H3826" s="356" t="s">
        <v>162</v>
      </c>
      <c r="I3826" s="443">
        <f>I3459</f>
        <v>1198.8</v>
      </c>
      <c r="J3826" s="356" t="s">
        <v>223</v>
      </c>
      <c r="K3826" s="370">
        <f>(F3826*I3826)</f>
        <v>1318.68</v>
      </c>
      <c r="W3826" s="361"/>
    </row>
    <row r="3827" spans="6:23" ht="15.75">
      <c r="F3827" s="370">
        <v>1.1000000000000001</v>
      </c>
      <c r="G3827" s="368" t="s">
        <v>223</v>
      </c>
      <c r="H3827" s="356" t="s">
        <v>152</v>
      </c>
      <c r="I3827" s="443">
        <f t="shared" ref="I3827:I3834" si="372">I3460</f>
        <v>1118.3999999999999</v>
      </c>
      <c r="J3827" s="356" t="s">
        <v>223</v>
      </c>
      <c r="K3827" s="370">
        <f>(F3827*I3827)</f>
        <v>1230.24</v>
      </c>
      <c r="W3827" s="361"/>
    </row>
    <row r="3828" spans="6:23" ht="15.75">
      <c r="F3828" s="370">
        <v>2.2000000000000002</v>
      </c>
      <c r="G3828" s="368" t="s">
        <v>223</v>
      </c>
      <c r="H3828" s="356" t="s">
        <v>153</v>
      </c>
      <c r="I3828" s="443">
        <f t="shared" si="372"/>
        <v>781.19999999999993</v>
      </c>
      <c r="J3828" s="356" t="s">
        <v>223</v>
      </c>
      <c r="K3828" s="370">
        <f>(F3828*I3828)</f>
        <v>1718.64</v>
      </c>
      <c r="W3828" s="361"/>
    </row>
    <row r="3829" spans="6:23" ht="15.75">
      <c r="F3829" s="370">
        <v>2.2000000000000002</v>
      </c>
      <c r="G3829" s="368" t="s">
        <v>223</v>
      </c>
      <c r="H3829" s="356" t="s">
        <v>154</v>
      </c>
      <c r="I3829" s="443">
        <f t="shared" si="372"/>
        <v>640.79999999999995</v>
      </c>
      <c r="J3829" s="356" t="s">
        <v>223</v>
      </c>
      <c r="K3829" s="370">
        <f>(F3829*I3829)</f>
        <v>1409.76</v>
      </c>
      <c r="W3829" s="361"/>
    </row>
    <row r="3830" spans="6:23" ht="15.75">
      <c r="F3830" s="407">
        <v>20</v>
      </c>
      <c r="G3830" s="368" t="s">
        <v>213</v>
      </c>
      <c r="H3830" s="356" t="s">
        <v>125</v>
      </c>
      <c r="I3830" s="443">
        <f t="shared" si="372"/>
        <v>6372.14</v>
      </c>
      <c r="J3830" s="356" t="s">
        <v>124</v>
      </c>
      <c r="K3830" s="370">
        <f>(F3830*I3830)/1000</f>
        <v>127.44280000000001</v>
      </c>
      <c r="W3830" s="361"/>
    </row>
    <row r="3831" spans="6:23" ht="15.75">
      <c r="F3831" s="407">
        <v>2</v>
      </c>
      <c r="G3831" s="368" t="s">
        <v>213</v>
      </c>
      <c r="H3831" s="356" t="s">
        <v>228</v>
      </c>
      <c r="I3831" s="443">
        <f t="shared" si="372"/>
        <v>36.1</v>
      </c>
      <c r="J3831" s="356" t="s">
        <v>213</v>
      </c>
      <c r="K3831" s="370">
        <f>(F3831*I3831)</f>
        <v>72.2</v>
      </c>
      <c r="W3831" s="361"/>
    </row>
    <row r="3832" spans="6:23" ht="15.75">
      <c r="F3832" s="370">
        <v>1.6</v>
      </c>
      <c r="G3832" s="368" t="s">
        <v>223</v>
      </c>
      <c r="H3832" s="356" t="s">
        <v>152</v>
      </c>
      <c r="I3832" s="443">
        <f t="shared" si="372"/>
        <v>1118.3999999999999</v>
      </c>
      <c r="J3832" s="356" t="s">
        <v>223</v>
      </c>
      <c r="K3832" s="370">
        <f>(F3832*I3832)</f>
        <v>1789.4399999999998</v>
      </c>
      <c r="W3832" s="361"/>
    </row>
    <row r="3833" spans="6:23" ht="15.75">
      <c r="F3833" s="370">
        <v>0.5</v>
      </c>
      <c r="G3833" s="368" t="s">
        <v>223</v>
      </c>
      <c r="H3833" s="356" t="s">
        <v>153</v>
      </c>
      <c r="I3833" s="443">
        <f t="shared" si="372"/>
        <v>781.19999999999993</v>
      </c>
      <c r="J3833" s="356" t="s">
        <v>223</v>
      </c>
      <c r="K3833" s="370">
        <f>(F3833*I3833)</f>
        <v>390.59999999999997</v>
      </c>
      <c r="W3833" s="361"/>
    </row>
    <row r="3834" spans="6:23" ht="15.75">
      <c r="F3834" s="370">
        <v>1.1000000000000001</v>
      </c>
      <c r="G3834" s="368" t="s">
        <v>223</v>
      </c>
      <c r="H3834" s="356" t="s">
        <v>154</v>
      </c>
      <c r="I3834" s="443">
        <f t="shared" si="372"/>
        <v>640.79999999999995</v>
      </c>
      <c r="J3834" s="356" t="s">
        <v>223</v>
      </c>
      <c r="K3834" s="370">
        <f>(F3834*I3834)</f>
        <v>704.88</v>
      </c>
      <c r="W3834" s="361"/>
    </row>
    <row r="3835" spans="6:23" ht="15">
      <c r="G3835" s="368" t="s">
        <v>128</v>
      </c>
      <c r="H3835" s="356" t="s">
        <v>129</v>
      </c>
      <c r="J3835" s="356" t="s">
        <v>128</v>
      </c>
      <c r="K3835" s="370">
        <v>0</v>
      </c>
      <c r="W3835" s="361"/>
    </row>
    <row r="3836" spans="6:23" ht="15">
      <c r="K3836" s="363" t="s">
        <v>117</v>
      </c>
      <c r="W3836" s="361"/>
    </row>
    <row r="3837" spans="6:23" ht="15">
      <c r="H3837" s="356" t="s">
        <v>176</v>
      </c>
      <c r="K3837" s="370">
        <f>SUM(K3823:K3835)</f>
        <v>15189.143812000002</v>
      </c>
      <c r="W3837" s="361"/>
    </row>
    <row r="3838" spans="6:23" ht="15">
      <c r="K3838" s="363" t="s">
        <v>117</v>
      </c>
      <c r="W3838" s="361"/>
    </row>
    <row r="3839" spans="6:23" ht="15.75">
      <c r="F3839" s="36"/>
      <c r="G3839" s="35"/>
      <c r="H3839" s="372" t="s">
        <v>177</v>
      </c>
      <c r="K3839" s="369">
        <f>(K3837/10)</f>
        <v>1518.9143812000002</v>
      </c>
      <c r="W3839" s="361"/>
    </row>
    <row r="3840" spans="6:23" ht="15">
      <c r="F3840" s="36"/>
      <c r="G3840" s="35"/>
      <c r="K3840" s="363" t="s">
        <v>156</v>
      </c>
      <c r="W3840" s="361"/>
    </row>
    <row r="3841" spans="5:23" ht="15">
      <c r="W3841" s="361"/>
    </row>
    <row r="3842" spans="5:23" ht="15.75">
      <c r="E3842" s="534"/>
      <c r="F3842" s="533"/>
      <c r="G3842" s="411" t="s">
        <v>3350</v>
      </c>
      <c r="H3842" s="534"/>
      <c r="I3842" s="535">
        <f>1.2*0.8</f>
        <v>0.96</v>
      </c>
      <c r="J3842" s="534"/>
      <c r="K3842" s="36"/>
      <c r="W3842" s="361"/>
    </row>
    <row r="3843" spans="5:23" ht="15.75">
      <c r="E3843" s="534"/>
      <c r="F3843" s="533"/>
      <c r="G3843" s="534"/>
      <c r="H3843" s="534"/>
      <c r="I3843" s="535"/>
      <c r="J3843" s="534"/>
      <c r="K3843" s="36"/>
      <c r="W3843" s="361"/>
    </row>
    <row r="3844" spans="5:23" ht="15.75">
      <c r="E3844" s="360" t="s">
        <v>3351</v>
      </c>
      <c r="F3844" s="535"/>
      <c r="G3844" s="535"/>
      <c r="H3844" s="537">
        <f>4*3.9</f>
        <v>15.6</v>
      </c>
      <c r="I3844" s="535" t="s">
        <v>109</v>
      </c>
      <c r="J3844" s="535"/>
      <c r="K3844" s="36"/>
      <c r="W3844" s="361"/>
    </row>
    <row r="3845" spans="5:23" ht="15.75">
      <c r="E3845" s="35" t="s">
        <v>3352</v>
      </c>
      <c r="F3845" s="533"/>
      <c r="G3845" s="534"/>
      <c r="H3845" s="534">
        <f>11*0.8*3.14</f>
        <v>27.632000000000005</v>
      </c>
      <c r="I3845" s="535" t="s">
        <v>109</v>
      </c>
      <c r="J3845" s="535"/>
      <c r="K3845" s="36"/>
      <c r="W3845" s="361"/>
    </row>
    <row r="3846" spans="5:23" ht="15.75">
      <c r="E3846" s="35" t="s">
        <v>3353</v>
      </c>
      <c r="F3846" s="533"/>
      <c r="G3846" s="534"/>
      <c r="H3846" s="534">
        <f>2*1.2*1.2</f>
        <v>2.88</v>
      </c>
      <c r="I3846" s="535" t="s">
        <v>109</v>
      </c>
      <c r="J3846" s="535"/>
      <c r="K3846" s="36"/>
      <c r="W3846" s="361"/>
    </row>
    <row r="3847" spans="5:23" ht="15.75">
      <c r="E3847" s="35" t="s">
        <v>3354</v>
      </c>
      <c r="F3847" s="533"/>
      <c r="G3847" s="534"/>
      <c r="H3847" s="534">
        <f>3*0.8*1.2</f>
        <v>2.8800000000000003</v>
      </c>
      <c r="I3847" s="535" t="s">
        <v>109</v>
      </c>
      <c r="J3847" s="535"/>
      <c r="K3847" s="36"/>
      <c r="W3847" s="361"/>
    </row>
    <row r="3848" spans="5:23" ht="15.75">
      <c r="E3848" s="35" t="s">
        <v>3355</v>
      </c>
      <c r="F3848" s="533"/>
      <c r="G3848" s="534"/>
      <c r="H3848" s="534">
        <v>5</v>
      </c>
      <c r="I3848" s="535"/>
      <c r="J3848" s="535"/>
      <c r="K3848" s="36"/>
      <c r="W3848" s="361"/>
    </row>
    <row r="3849" spans="5:23" ht="15.75">
      <c r="E3849" s="534"/>
      <c r="F3849" s="533"/>
      <c r="G3849" s="534"/>
      <c r="H3849" s="538" t="s">
        <v>2699</v>
      </c>
      <c r="I3849" s="535"/>
      <c r="J3849" s="535"/>
      <c r="K3849" s="36"/>
      <c r="W3849" s="361"/>
    </row>
    <row r="3850" spans="5:23" ht="15.75">
      <c r="E3850" s="534"/>
      <c r="F3850" s="533"/>
      <c r="G3850" s="534"/>
      <c r="H3850" s="532">
        <f>SUM(H3844:H3848)</f>
        <v>53.992000000000012</v>
      </c>
      <c r="I3850" s="535" t="s">
        <v>109</v>
      </c>
      <c r="J3850" s="535">
        <f>H3850-51.7</f>
        <v>2.2920000000000087</v>
      </c>
      <c r="K3850" s="36"/>
      <c r="W3850" s="361"/>
    </row>
    <row r="3851" spans="5:23" ht="15.75">
      <c r="E3851" s="534"/>
      <c r="F3851" s="533"/>
      <c r="G3851" s="534"/>
      <c r="H3851" s="538" t="s">
        <v>2699</v>
      </c>
      <c r="I3851" s="535"/>
      <c r="J3851" s="534"/>
      <c r="K3851" s="36"/>
      <c r="W3851" s="361"/>
    </row>
    <row r="3852" spans="5:23" ht="15.75">
      <c r="E3852" s="534"/>
      <c r="F3852" s="533"/>
      <c r="G3852" s="534"/>
      <c r="H3852" s="534"/>
      <c r="I3852" s="535"/>
      <c r="J3852" s="534"/>
      <c r="K3852" s="36"/>
      <c r="W3852" s="361"/>
    </row>
    <row r="3853" spans="5:23" ht="15.75">
      <c r="E3853" s="534"/>
      <c r="F3853" s="533"/>
      <c r="G3853" s="534"/>
      <c r="H3853" s="534"/>
      <c r="I3853" s="535"/>
      <c r="J3853" s="534"/>
      <c r="K3853" s="36"/>
      <c r="W3853" s="361"/>
    </row>
    <row r="3854" spans="5:23" ht="15.75">
      <c r="E3854" s="537">
        <f>H3850</f>
        <v>53.992000000000012</v>
      </c>
      <c r="F3854" s="533" t="s">
        <v>213</v>
      </c>
      <c r="G3854" s="534" t="s">
        <v>607</v>
      </c>
      <c r="H3854" s="534">
        <f>I2609</f>
        <v>70.150000000000006</v>
      </c>
      <c r="I3854" s="535" t="s">
        <v>213</v>
      </c>
      <c r="J3854" s="534">
        <f>H3854*E3854</f>
        <v>3787.5388000000012</v>
      </c>
      <c r="K3854" s="36"/>
      <c r="W3854" s="361"/>
    </row>
    <row r="3855" spans="5:23" ht="15.75">
      <c r="E3855" s="537">
        <v>0.96</v>
      </c>
      <c r="F3855" s="533" t="s">
        <v>262</v>
      </c>
      <c r="G3855" s="534" t="s">
        <v>2690</v>
      </c>
      <c r="H3855" s="534">
        <f>I2610</f>
        <v>379.9</v>
      </c>
      <c r="I3855" s="535" t="s">
        <v>262</v>
      </c>
      <c r="J3855" s="534">
        <f>H3855*E3855</f>
        <v>364.70399999999995</v>
      </c>
      <c r="K3855" s="36"/>
      <c r="W3855" s="361"/>
    </row>
    <row r="3856" spans="5:23" ht="15.75">
      <c r="E3856" s="537">
        <v>0.96</v>
      </c>
      <c r="F3856" s="533" t="s">
        <v>262</v>
      </c>
      <c r="G3856" s="534" t="s">
        <v>2709</v>
      </c>
      <c r="H3856" s="534">
        <f>I2611</f>
        <v>40.65</v>
      </c>
      <c r="I3856" s="535" t="s">
        <v>262</v>
      </c>
      <c r="J3856" s="534">
        <f>H3856*E3856</f>
        <v>39.023999999999994</v>
      </c>
      <c r="K3856" s="36"/>
      <c r="W3856" s="361"/>
    </row>
    <row r="3857" spans="5:23" ht="15.75">
      <c r="E3857" s="534"/>
      <c r="F3857" s="533"/>
      <c r="G3857" s="534" t="s">
        <v>2710</v>
      </c>
      <c r="H3857" s="534">
        <f>I2612</f>
        <v>266.81</v>
      </c>
      <c r="I3857" s="535" t="s">
        <v>128</v>
      </c>
      <c r="J3857" s="534">
        <f>H3857</f>
        <v>266.81</v>
      </c>
      <c r="K3857" s="36"/>
      <c r="W3857" s="361"/>
    </row>
    <row r="3858" spans="5:23" ht="15.75">
      <c r="E3858" s="534"/>
      <c r="F3858" s="533"/>
      <c r="G3858" s="534"/>
      <c r="H3858" s="534"/>
      <c r="I3858" s="535"/>
      <c r="J3858" s="538" t="s">
        <v>1992</v>
      </c>
      <c r="K3858" s="36"/>
      <c r="W3858" s="361"/>
    </row>
    <row r="3859" spans="5:23" ht="15.75">
      <c r="E3859" s="534"/>
      <c r="F3859" s="533"/>
      <c r="G3859" s="411" t="s">
        <v>2693</v>
      </c>
      <c r="H3859" s="534"/>
      <c r="I3859" s="535"/>
      <c r="J3859" s="411">
        <f>SUM(J3854:J3858)</f>
        <v>4458.0768000000016</v>
      </c>
      <c r="K3859" s="36"/>
      <c r="W3859" s="361"/>
    </row>
    <row r="3860" spans="5:23" ht="15.75">
      <c r="E3860" s="534"/>
      <c r="F3860" s="533"/>
      <c r="G3860" s="534"/>
      <c r="H3860" s="534"/>
      <c r="I3860" s="535"/>
      <c r="J3860" s="538" t="s">
        <v>1992</v>
      </c>
      <c r="K3860" s="36"/>
      <c r="W3860" s="361"/>
    </row>
    <row r="3861" spans="5:23" ht="15.75">
      <c r="E3861" s="534"/>
      <c r="F3861" s="533"/>
      <c r="G3861" s="580" t="s">
        <v>2700</v>
      </c>
      <c r="H3861" s="534"/>
      <c r="I3861" s="535"/>
      <c r="J3861" s="411">
        <f>J3859/E3855</f>
        <v>4643.8300000000017</v>
      </c>
      <c r="K3861" s="36"/>
      <c r="W3861" s="361"/>
    </row>
    <row r="3862" spans="5:23" ht="15">
      <c r="G3862" s="35"/>
      <c r="J3862" s="35"/>
      <c r="K3862" s="36"/>
      <c r="W3862" s="361"/>
    </row>
    <row r="3863" spans="5:23" ht="15.75">
      <c r="E3863" s="534"/>
      <c r="F3863" s="533"/>
      <c r="G3863" s="411" t="s">
        <v>3356</v>
      </c>
      <c r="H3863" s="534"/>
      <c r="I3863" s="535">
        <f>1*0.8</f>
        <v>0.8</v>
      </c>
      <c r="J3863" s="534"/>
      <c r="K3863" s="36"/>
      <c r="W3863" s="361"/>
    </row>
    <row r="3864" spans="5:23" ht="15.75">
      <c r="E3864" s="534"/>
      <c r="F3864" s="533"/>
      <c r="G3864" s="534"/>
      <c r="H3864" s="534"/>
      <c r="I3864" s="535"/>
      <c r="J3864" s="534"/>
      <c r="K3864" s="36"/>
      <c r="W3864" s="361"/>
    </row>
    <row r="3865" spans="5:23" ht="15.75">
      <c r="E3865" s="360" t="s">
        <v>3357</v>
      </c>
      <c r="F3865" s="535"/>
      <c r="G3865" s="535"/>
      <c r="H3865" s="537">
        <f>3.6*3.9</f>
        <v>14.04</v>
      </c>
      <c r="I3865" s="535" t="s">
        <v>109</v>
      </c>
      <c r="J3865" s="535"/>
      <c r="K3865" s="36"/>
      <c r="W3865" s="361"/>
    </row>
    <row r="3866" spans="5:23" ht="15.75">
      <c r="E3866" s="35" t="s">
        <v>3358</v>
      </c>
      <c r="F3866" s="533"/>
      <c r="G3866" s="534"/>
      <c r="H3866" s="534">
        <f>9*0.8*3.14</f>
        <v>22.608000000000001</v>
      </c>
      <c r="I3866" s="535" t="s">
        <v>109</v>
      </c>
      <c r="J3866" s="535"/>
      <c r="K3866" s="36"/>
      <c r="W3866" s="361"/>
    </row>
    <row r="3867" spans="5:23" ht="15.75">
      <c r="E3867" s="35" t="s">
        <v>3359</v>
      </c>
      <c r="F3867" s="533"/>
      <c r="G3867" s="534"/>
      <c r="H3867" s="534">
        <f>2*1*1.2</f>
        <v>2.4</v>
      </c>
      <c r="I3867" s="535" t="s">
        <v>109</v>
      </c>
      <c r="J3867" s="535"/>
      <c r="K3867" s="36"/>
      <c r="W3867" s="361"/>
    </row>
    <row r="3868" spans="5:23" ht="15.75">
      <c r="E3868" s="35" t="s">
        <v>3354</v>
      </c>
      <c r="F3868" s="533"/>
      <c r="G3868" s="534"/>
      <c r="H3868" s="534">
        <f>3*0.8*1.2</f>
        <v>2.8800000000000003</v>
      </c>
      <c r="I3868" s="535" t="s">
        <v>109</v>
      </c>
      <c r="J3868" s="535"/>
      <c r="K3868" s="36"/>
      <c r="W3868" s="361"/>
    </row>
    <row r="3869" spans="5:23" ht="15.75">
      <c r="E3869" s="35" t="s">
        <v>3355</v>
      </c>
      <c r="F3869" s="533"/>
      <c r="G3869" s="534"/>
      <c r="H3869" s="534">
        <v>5</v>
      </c>
      <c r="I3869" s="535"/>
      <c r="J3869" s="535"/>
      <c r="K3869" s="36"/>
      <c r="W3869" s="361"/>
    </row>
    <row r="3870" spans="5:23" ht="15.75">
      <c r="E3870" s="534"/>
      <c r="F3870" s="533"/>
      <c r="G3870" s="534"/>
      <c r="H3870" s="538" t="s">
        <v>2699</v>
      </c>
      <c r="I3870" s="535"/>
      <c r="J3870" s="535"/>
      <c r="K3870" s="36"/>
      <c r="W3870" s="361"/>
    </row>
    <row r="3871" spans="5:23" ht="15.75">
      <c r="E3871" s="534"/>
      <c r="F3871" s="533"/>
      <c r="G3871" s="534"/>
      <c r="H3871" s="532">
        <f>SUM(H3865:H3869)</f>
        <v>46.927999999999997</v>
      </c>
      <c r="I3871" s="535" t="s">
        <v>109</v>
      </c>
      <c r="J3871" s="535"/>
      <c r="K3871" s="36"/>
      <c r="W3871" s="361"/>
    </row>
    <row r="3872" spans="5:23" ht="15.75">
      <c r="E3872" s="534"/>
      <c r="F3872" s="533"/>
      <c r="G3872" s="534"/>
      <c r="H3872" s="538" t="s">
        <v>2699</v>
      </c>
      <c r="I3872" s="535"/>
      <c r="J3872" s="534"/>
      <c r="K3872" s="36"/>
      <c r="W3872" s="361"/>
    </row>
    <row r="3873" spans="5:23" ht="15.75">
      <c r="E3873" s="534"/>
      <c r="F3873" s="533"/>
      <c r="G3873" s="534"/>
      <c r="H3873" s="534"/>
      <c r="I3873" s="535"/>
      <c r="J3873" s="534"/>
      <c r="K3873" s="36"/>
      <c r="W3873" s="361"/>
    </row>
    <row r="3874" spans="5:23" ht="15.75">
      <c r="E3874" s="534"/>
      <c r="F3874" s="533"/>
      <c r="G3874" s="534"/>
      <c r="H3874" s="534"/>
      <c r="I3874" s="535"/>
      <c r="J3874" s="534"/>
      <c r="K3874" s="36"/>
      <c r="W3874" s="361"/>
    </row>
    <row r="3875" spans="5:23" ht="15.75">
      <c r="E3875" s="537">
        <f>H3871</f>
        <v>46.927999999999997</v>
      </c>
      <c r="F3875" s="533" t="s">
        <v>213</v>
      </c>
      <c r="G3875" s="534" t="s">
        <v>607</v>
      </c>
      <c r="H3875" s="534">
        <f>H3854</f>
        <v>70.150000000000006</v>
      </c>
      <c r="I3875" s="535" t="s">
        <v>213</v>
      </c>
      <c r="J3875" s="534">
        <f>H3875*E3875</f>
        <v>3291.9992000000002</v>
      </c>
      <c r="K3875" s="36"/>
      <c r="W3875" s="361"/>
    </row>
    <row r="3876" spans="5:23" ht="15.75">
      <c r="E3876" s="534">
        <v>0.8</v>
      </c>
      <c r="F3876" s="533" t="s">
        <v>262</v>
      </c>
      <c r="G3876" s="534" t="s">
        <v>2690</v>
      </c>
      <c r="H3876" s="534">
        <f>H3855</f>
        <v>379.9</v>
      </c>
      <c r="I3876" s="535" t="s">
        <v>262</v>
      </c>
      <c r="J3876" s="534">
        <f>H3876*E3876</f>
        <v>303.92</v>
      </c>
      <c r="K3876" s="36"/>
      <c r="W3876" s="361"/>
    </row>
    <row r="3877" spans="5:23" ht="15.75">
      <c r="E3877" s="534">
        <v>0.8</v>
      </c>
      <c r="F3877" s="533" t="s">
        <v>262</v>
      </c>
      <c r="G3877" s="534" t="s">
        <v>2709</v>
      </c>
      <c r="H3877" s="534">
        <f>H3856</f>
        <v>40.65</v>
      </c>
      <c r="I3877" s="535" t="s">
        <v>262</v>
      </c>
      <c r="J3877" s="534">
        <f>H3877*E3877</f>
        <v>32.520000000000003</v>
      </c>
      <c r="K3877" s="36"/>
      <c r="W3877" s="361"/>
    </row>
    <row r="3878" spans="5:23" ht="15.75">
      <c r="E3878" s="534"/>
      <c r="F3878" s="533"/>
      <c r="G3878" s="534" t="s">
        <v>2710</v>
      </c>
      <c r="H3878" s="534">
        <f>H3857</f>
        <v>266.81</v>
      </c>
      <c r="I3878" s="535" t="s">
        <v>128</v>
      </c>
      <c r="J3878" s="534">
        <v>47.1</v>
      </c>
      <c r="K3878" s="36"/>
      <c r="W3878" s="361"/>
    </row>
    <row r="3879" spans="5:23" ht="15.75">
      <c r="E3879" s="534"/>
      <c r="F3879" s="533"/>
      <c r="G3879" s="534"/>
      <c r="H3879" s="534"/>
      <c r="I3879" s="535"/>
      <c r="J3879" s="538" t="s">
        <v>1992</v>
      </c>
      <c r="K3879" s="36"/>
      <c r="W3879" s="361"/>
    </row>
    <row r="3880" spans="5:23" ht="15.75">
      <c r="E3880" s="534"/>
      <c r="F3880" s="533"/>
      <c r="G3880" s="411" t="s">
        <v>2693</v>
      </c>
      <c r="H3880" s="534"/>
      <c r="I3880" s="535"/>
      <c r="J3880" s="411">
        <f>SUM(J3875:J3879)</f>
        <v>3675.5392000000002</v>
      </c>
      <c r="K3880" s="36"/>
      <c r="W3880" s="361"/>
    </row>
    <row r="3881" spans="5:23" ht="15.75">
      <c r="E3881" s="534"/>
      <c r="F3881" s="533"/>
      <c r="G3881" s="534"/>
      <c r="H3881" s="534"/>
      <c r="I3881" s="535"/>
      <c r="J3881" s="538" t="s">
        <v>1992</v>
      </c>
      <c r="K3881" s="36"/>
      <c r="W3881" s="361"/>
    </row>
    <row r="3882" spans="5:23" ht="15.75">
      <c r="E3882" s="534"/>
      <c r="F3882" s="533"/>
      <c r="G3882" s="580" t="s">
        <v>2700</v>
      </c>
      <c r="H3882" s="534"/>
      <c r="I3882" s="535"/>
      <c r="J3882" s="411">
        <f>J3880/E3876</f>
        <v>4594.424</v>
      </c>
      <c r="K3882" s="36"/>
      <c r="W3882" s="361"/>
    </row>
    <row r="3883" spans="5:23" ht="15.75">
      <c r="E3883" s="534" t="s">
        <v>2687</v>
      </c>
      <c r="F3883" s="533"/>
      <c r="G3883" s="534"/>
      <c r="H3883" s="534">
        <v>3.24</v>
      </c>
      <c r="I3883" s="535" t="s">
        <v>109</v>
      </c>
      <c r="J3883" s="534"/>
      <c r="K3883" s="36"/>
      <c r="W3883" s="361"/>
    </row>
    <row r="3884" spans="5:23" ht="15.75">
      <c r="E3884" s="534" t="s">
        <v>2688</v>
      </c>
      <c r="F3884" s="533"/>
      <c r="G3884" s="534"/>
      <c r="H3884" s="534">
        <v>2.16</v>
      </c>
      <c r="I3884" s="535" t="s">
        <v>109</v>
      </c>
      <c r="J3884" s="534"/>
      <c r="K3884" s="36"/>
      <c r="W3884" s="361"/>
    </row>
    <row r="3885" spans="5:23" ht="15.75">
      <c r="E3885" s="534"/>
      <c r="F3885" s="533"/>
      <c r="G3885" s="534"/>
      <c r="H3885" s="534"/>
      <c r="I3885" s="535"/>
      <c r="J3885" s="534"/>
      <c r="K3885" s="36"/>
      <c r="W3885" s="361"/>
    </row>
    <row r="3886" spans="5:23" ht="15.75">
      <c r="E3886" s="534"/>
      <c r="F3886" s="533"/>
      <c r="G3886" s="534"/>
      <c r="H3886" s="538" t="s">
        <v>1992</v>
      </c>
      <c r="I3886" s="535"/>
      <c r="J3886" s="534"/>
      <c r="K3886" s="36"/>
      <c r="W3886" s="361"/>
    </row>
    <row r="3887" spans="5:23" ht="15.75">
      <c r="E3887" s="534"/>
      <c r="F3887" s="533"/>
      <c r="G3887" s="534"/>
      <c r="H3887" s="534">
        <f>SUM(H3881:H3885)</f>
        <v>5.4</v>
      </c>
      <c r="I3887" s="535"/>
      <c r="J3887" s="534"/>
      <c r="K3887" s="36"/>
      <c r="W3887" s="361"/>
    </row>
    <row r="3888" spans="5:23" ht="15.75">
      <c r="E3888" s="534"/>
      <c r="F3888" s="533"/>
      <c r="G3888" s="534"/>
      <c r="H3888" s="534" t="s">
        <v>2689</v>
      </c>
      <c r="I3888" s="535"/>
      <c r="J3888" s="534"/>
      <c r="K3888" s="36"/>
      <c r="W3888" s="361"/>
    </row>
    <row r="3889" spans="5:23" ht="15.75">
      <c r="E3889" s="534"/>
      <c r="F3889" s="533"/>
      <c r="G3889" s="534"/>
      <c r="H3889" s="534"/>
      <c r="I3889" s="535"/>
      <c r="J3889" s="534"/>
      <c r="K3889" s="36"/>
      <c r="W3889" s="361"/>
    </row>
    <row r="3890" spans="5:23" ht="15.75">
      <c r="E3890" s="534"/>
      <c r="F3890" s="533"/>
      <c r="G3890" s="534"/>
      <c r="H3890" s="534"/>
      <c r="I3890" s="535"/>
      <c r="J3890" s="534"/>
      <c r="K3890" s="36"/>
      <c r="W3890" s="361"/>
    </row>
    <row r="3891" spans="5:23" ht="15.75">
      <c r="E3891" s="534">
        <v>42.81</v>
      </c>
      <c r="F3891" s="533" t="s">
        <v>213</v>
      </c>
      <c r="G3891" s="534" t="s">
        <v>607</v>
      </c>
      <c r="H3891" s="534">
        <f>H3875</f>
        <v>70.150000000000006</v>
      </c>
      <c r="I3891" s="535" t="s">
        <v>213</v>
      </c>
      <c r="J3891" s="534">
        <f>H3891*E3891</f>
        <v>3003.1215000000002</v>
      </c>
      <c r="K3891" s="36"/>
      <c r="W3891" s="361"/>
    </row>
    <row r="3892" spans="5:23" ht="15.75">
      <c r="E3892" s="534">
        <v>0.77</v>
      </c>
      <c r="F3892" s="533" t="s">
        <v>262</v>
      </c>
      <c r="G3892" s="534" t="s">
        <v>2739</v>
      </c>
      <c r="H3892" s="534">
        <f>H3876</f>
        <v>379.9</v>
      </c>
      <c r="I3892" s="535" t="s">
        <v>262</v>
      </c>
      <c r="J3892" s="534">
        <f>H3892*E3892</f>
        <v>292.52299999999997</v>
      </c>
      <c r="K3892" s="36"/>
      <c r="W3892" s="361"/>
    </row>
    <row r="3893" spans="5:23" ht="15.75">
      <c r="E3893" s="534">
        <v>0.77</v>
      </c>
      <c r="F3893" s="533" t="s">
        <v>262</v>
      </c>
      <c r="G3893" s="980" t="s">
        <v>2691</v>
      </c>
      <c r="H3893" s="534">
        <f>H3877</f>
        <v>40.65</v>
      </c>
      <c r="I3893" s="535" t="s">
        <v>262</v>
      </c>
      <c r="J3893" s="534">
        <f>H3893*E3893</f>
        <v>31.3005</v>
      </c>
      <c r="K3893" s="36"/>
      <c r="W3893" s="361"/>
    </row>
    <row r="3894" spans="5:23" ht="15.75">
      <c r="E3894" s="534"/>
      <c r="F3894" s="533"/>
      <c r="G3894" s="534" t="s">
        <v>2692</v>
      </c>
      <c r="H3894" s="534">
        <f>H3878</f>
        <v>266.81</v>
      </c>
      <c r="I3894" s="535" t="s">
        <v>128</v>
      </c>
      <c r="J3894" s="534">
        <f>H3894</f>
        <v>266.81</v>
      </c>
      <c r="K3894" s="36"/>
      <c r="W3894" s="361"/>
    </row>
    <row r="3895" spans="5:23" ht="15.75">
      <c r="E3895" s="534"/>
      <c r="F3895" s="533"/>
      <c r="G3895" s="534"/>
      <c r="H3895" s="534"/>
      <c r="I3895" s="535"/>
      <c r="J3895" s="538" t="s">
        <v>1992</v>
      </c>
      <c r="K3895" s="36"/>
      <c r="W3895" s="361"/>
    </row>
    <row r="3896" spans="5:23" ht="15.75">
      <c r="E3896" s="534"/>
      <c r="F3896" s="533"/>
      <c r="G3896" s="411" t="s">
        <v>2693</v>
      </c>
      <c r="H3896" s="534"/>
      <c r="I3896" s="535"/>
      <c r="J3896" s="411">
        <f>SUM(J3891:J3894)</f>
        <v>3593.7550000000001</v>
      </c>
      <c r="K3896" s="36"/>
      <c r="W3896" s="361"/>
    </row>
    <row r="3897" spans="5:23" ht="15.75">
      <c r="E3897" s="534"/>
      <c r="F3897" s="533"/>
      <c r="G3897" s="534"/>
      <c r="H3897" s="534"/>
      <c r="I3897" s="535"/>
      <c r="J3897" s="538" t="s">
        <v>1992</v>
      </c>
      <c r="K3897" s="36"/>
      <c r="W3897" s="361"/>
    </row>
    <row r="3898" spans="5:23" ht="15.75">
      <c r="F3898" s="358"/>
      <c r="G3898" s="981">
        <f>1.285*0.6</f>
        <v>0.77099999999999991</v>
      </c>
      <c r="I3898" s="360"/>
      <c r="J3898" s="35">
        <f>J3896/G3898</f>
        <v>4661.1608300907919</v>
      </c>
      <c r="K3898" s="36"/>
      <c r="W3898" s="361"/>
    </row>
    <row r="3899" spans="5:23" ht="15.75">
      <c r="E3899" s="534">
        <f>C3892</f>
        <v>0</v>
      </c>
      <c r="G3899" s="360">
        <f>E3899*D3858</f>
        <v>0</v>
      </c>
      <c r="J3899" s="35"/>
      <c r="K3899" s="36"/>
      <c r="W3899" s="361"/>
    </row>
    <row r="3900" spans="5:23" ht="15.75">
      <c r="E3900" s="534"/>
      <c r="G3900" s="360">
        <v>0.8</v>
      </c>
      <c r="J3900" s="35"/>
      <c r="K3900" s="36"/>
      <c r="W3900" s="361"/>
    </row>
    <row r="3901" spans="5:23" ht="15">
      <c r="G3901" s="360">
        <f>SUM(G3897:G3900)</f>
        <v>1.571</v>
      </c>
      <c r="J3901" s="35"/>
      <c r="K3901" s="36"/>
      <c r="W3901" s="361"/>
    </row>
    <row r="3902" spans="5:23" ht="15">
      <c r="G3902" s="360">
        <f>G3901/0.77</f>
        <v>2.04025974025974</v>
      </c>
      <c r="J3902" s="35"/>
      <c r="K3902" s="36"/>
      <c r="W3902" s="361"/>
    </row>
    <row r="3903" spans="5:23" ht="15.75">
      <c r="G3903" s="35"/>
      <c r="H3903" s="411" t="s">
        <v>3360</v>
      </c>
      <c r="J3903" s="35"/>
      <c r="K3903" s="36"/>
      <c r="W3903" s="361"/>
    </row>
    <row r="3904" spans="5:23" ht="15">
      <c r="F3904" s="357" t="s">
        <v>1808</v>
      </c>
      <c r="G3904" s="368" t="s">
        <v>122</v>
      </c>
      <c r="H3904" s="356" t="s">
        <v>1809</v>
      </c>
      <c r="W3904" s="361"/>
    </row>
    <row r="3905" spans="7:23" ht="15">
      <c r="H3905" s="356" t="s">
        <v>1810</v>
      </c>
      <c r="W3905" s="361"/>
    </row>
    <row r="3906" spans="7:23" ht="15">
      <c r="H3906" s="356" t="s">
        <v>1811</v>
      </c>
      <c r="W3906" s="361"/>
    </row>
    <row r="3907" spans="7:23" ht="15">
      <c r="H3907" s="356" t="s">
        <v>1812</v>
      </c>
      <c r="W3907" s="361"/>
    </row>
    <row r="3908" spans="7:23" ht="15">
      <c r="H3908" s="356" t="s">
        <v>1813</v>
      </c>
      <c r="W3908" s="361"/>
    </row>
    <row r="3909" spans="7:23" ht="15">
      <c r="H3909" s="356" t="s">
        <v>1814</v>
      </c>
      <c r="W3909" s="361"/>
    </row>
    <row r="3910" spans="7:23" ht="15">
      <c r="H3910" s="356" t="s">
        <v>1815</v>
      </c>
      <c r="W3910" s="361"/>
    </row>
    <row r="3911" spans="7:23" ht="15">
      <c r="H3911" s="356" t="s">
        <v>1816</v>
      </c>
      <c r="W3911" s="361"/>
    </row>
    <row r="3912" spans="7:23" ht="15">
      <c r="H3912" s="356" t="s">
        <v>1817</v>
      </c>
      <c r="W3912" s="361"/>
    </row>
    <row r="3913" spans="7:23" ht="15">
      <c r="H3913" s="356" t="s">
        <v>1819</v>
      </c>
      <c r="W3913" s="361"/>
    </row>
    <row r="3914" spans="7:23" ht="15">
      <c r="H3914" s="356" t="s">
        <v>1821</v>
      </c>
      <c r="W3914" s="361"/>
    </row>
    <row r="3915" spans="7:23" ht="15">
      <c r="H3915" s="356" t="s">
        <v>1822</v>
      </c>
      <c r="W3915" s="361"/>
    </row>
    <row r="3916" spans="7:23" ht="15">
      <c r="H3916" s="356" t="s">
        <v>1824</v>
      </c>
      <c r="W3916" s="361"/>
    </row>
    <row r="3917" spans="7:23" ht="15">
      <c r="H3917" s="356" t="s">
        <v>1826</v>
      </c>
      <c r="W3917" s="361"/>
    </row>
    <row r="3918" spans="7:23" ht="15">
      <c r="W3918" s="361"/>
    </row>
    <row r="3919" spans="7:23" ht="15">
      <c r="W3919" s="361"/>
    </row>
    <row r="3920" spans="7:23" ht="15">
      <c r="G3920" s="368" t="s">
        <v>433</v>
      </c>
      <c r="H3920" s="357" t="s">
        <v>1830</v>
      </c>
      <c r="W3920" s="361"/>
    </row>
    <row r="3921" spans="6:23" ht="15">
      <c r="H3921" s="357" t="s">
        <v>1833</v>
      </c>
      <c r="W3921" s="361"/>
    </row>
    <row r="3922" spans="6:23" ht="15">
      <c r="F3922" s="460">
        <v>3.8100000000000002E-2</v>
      </c>
      <c r="G3922" s="368" t="s">
        <v>108</v>
      </c>
      <c r="H3922" s="356" t="s">
        <v>1823</v>
      </c>
      <c r="I3922" s="370">
        <f>K823</f>
        <v>9659.7264120000018</v>
      </c>
      <c r="J3922" s="356" t="s">
        <v>108</v>
      </c>
      <c r="K3922" s="370">
        <f>F3922*I3922</f>
        <v>368.03557629720007</v>
      </c>
      <c r="W3922" s="361"/>
    </row>
    <row r="3923" spans="6:23" ht="15">
      <c r="F3923" s="513">
        <v>5.01</v>
      </c>
      <c r="G3923" s="368" t="s">
        <v>213</v>
      </c>
      <c r="H3923" s="356" t="s">
        <v>1825</v>
      </c>
      <c r="I3923" s="370">
        <f>K1610</f>
        <v>95267.640000000014</v>
      </c>
      <c r="J3923" s="356" t="s">
        <v>124</v>
      </c>
      <c r="K3923" s="370">
        <f>F3923*I3923/1000</f>
        <v>477.29087640000006</v>
      </c>
      <c r="W3923" s="361"/>
    </row>
    <row r="3924" spans="6:23" ht="15.75">
      <c r="F3924" s="370">
        <v>3</v>
      </c>
      <c r="G3924" s="368" t="s">
        <v>151</v>
      </c>
      <c r="H3924" s="356" t="s">
        <v>1827</v>
      </c>
      <c r="I3924" s="459">
        <v>14.8</v>
      </c>
      <c r="J3924" s="356" t="s">
        <v>151</v>
      </c>
      <c r="K3924" s="370">
        <f t="shared" ref="K3924:K3931" si="373">F3924*I3924</f>
        <v>44.400000000000006</v>
      </c>
      <c r="W3924" s="361"/>
    </row>
    <row r="3925" spans="6:23" ht="15.75">
      <c r="F3925" s="370">
        <v>12</v>
      </c>
      <c r="G3925" s="368" t="s">
        <v>151</v>
      </c>
      <c r="H3925" s="356" t="s">
        <v>1828</v>
      </c>
      <c r="I3925" s="459">
        <v>2</v>
      </c>
      <c r="J3925" s="356" t="s">
        <v>151</v>
      </c>
      <c r="K3925" s="370">
        <f t="shared" si="373"/>
        <v>24</v>
      </c>
      <c r="W3925" s="361"/>
    </row>
    <row r="3926" spans="6:23" ht="15.75">
      <c r="F3926" s="370">
        <v>2</v>
      </c>
      <c r="G3926" s="368" t="s">
        <v>151</v>
      </c>
      <c r="H3926" s="356" t="s">
        <v>1829</v>
      </c>
      <c r="I3926" s="459">
        <v>4.9000000000000004</v>
      </c>
      <c r="J3926" s="356" t="s">
        <v>151</v>
      </c>
      <c r="K3926" s="370">
        <f t="shared" si="373"/>
        <v>9.8000000000000007</v>
      </c>
      <c r="W3926" s="361"/>
    </row>
    <row r="3927" spans="6:23" ht="15.75">
      <c r="F3927" s="370">
        <v>6</v>
      </c>
      <c r="G3927" s="368" t="s">
        <v>151</v>
      </c>
      <c r="H3927" s="356" t="s">
        <v>1831</v>
      </c>
      <c r="I3927" s="459">
        <v>4.45</v>
      </c>
      <c r="J3927" s="356" t="s">
        <v>151</v>
      </c>
      <c r="K3927" s="370">
        <f t="shared" si="373"/>
        <v>26.700000000000003</v>
      </c>
      <c r="W3927" s="361"/>
    </row>
    <row r="3928" spans="6:23" ht="15">
      <c r="F3928" s="370">
        <v>1</v>
      </c>
      <c r="G3928" s="368" t="s">
        <v>151</v>
      </c>
      <c r="H3928" s="356" t="s">
        <v>1834</v>
      </c>
      <c r="I3928" s="370">
        <f>I867</f>
        <v>1198.8</v>
      </c>
      <c r="J3928" s="356" t="s">
        <v>151</v>
      </c>
      <c r="K3928" s="370">
        <f t="shared" si="373"/>
        <v>1198.8</v>
      </c>
      <c r="W3928" s="361"/>
    </row>
    <row r="3929" spans="6:23" ht="15">
      <c r="F3929" s="370">
        <v>1</v>
      </c>
      <c r="G3929" s="368" t="s">
        <v>151</v>
      </c>
      <c r="H3929" s="356" t="s">
        <v>1836</v>
      </c>
      <c r="I3929" s="370">
        <f>I868</f>
        <v>781.19999999999993</v>
      </c>
      <c r="J3929" s="356" t="s">
        <v>151</v>
      </c>
      <c r="K3929" s="370">
        <f t="shared" si="373"/>
        <v>781.19999999999993</v>
      </c>
      <c r="W3929" s="361"/>
    </row>
    <row r="3930" spans="6:23" ht="15.75">
      <c r="F3930" s="370">
        <v>1</v>
      </c>
      <c r="G3930" s="368" t="s">
        <v>151</v>
      </c>
      <c r="H3930" s="356" t="s">
        <v>1837</v>
      </c>
      <c r="I3930" s="459">
        <v>25</v>
      </c>
      <c r="J3930" s="356" t="s">
        <v>151</v>
      </c>
      <c r="K3930" s="370">
        <f t="shared" si="373"/>
        <v>25</v>
      </c>
      <c r="W3930" s="361"/>
    </row>
    <row r="3931" spans="6:23" ht="15">
      <c r="F3931" s="370">
        <v>0.5</v>
      </c>
      <c r="G3931" s="368" t="s">
        <v>151</v>
      </c>
      <c r="H3931" s="356" t="s">
        <v>1838</v>
      </c>
      <c r="I3931" s="370">
        <f>I870</f>
        <v>640.79999999999995</v>
      </c>
      <c r="J3931" s="356" t="s">
        <v>151</v>
      </c>
      <c r="K3931" s="370">
        <f t="shared" si="373"/>
        <v>320.39999999999998</v>
      </c>
      <c r="W3931" s="361"/>
    </row>
    <row r="3932" spans="6:23" ht="15">
      <c r="G3932" s="368" t="s">
        <v>128</v>
      </c>
      <c r="H3932" s="356" t="s">
        <v>1839</v>
      </c>
      <c r="J3932" s="356" t="s">
        <v>128</v>
      </c>
      <c r="K3932" s="370">
        <v>1.1299999999999999</v>
      </c>
      <c r="W3932" s="361"/>
    </row>
    <row r="3933" spans="6:23" ht="15">
      <c r="K3933" s="363" t="s">
        <v>117</v>
      </c>
      <c r="W3933" s="361"/>
    </row>
    <row r="3934" spans="6:23" ht="15.75">
      <c r="H3934" s="372" t="s">
        <v>1840</v>
      </c>
      <c r="K3934" s="369">
        <f>SUM(K3922:K3932)</f>
        <v>3276.7564526972001</v>
      </c>
      <c r="W3934" s="361"/>
    </row>
    <row r="3935" spans="6:23" ht="15">
      <c r="K3935" s="363" t="s">
        <v>117</v>
      </c>
      <c r="W3935" s="361"/>
    </row>
    <row r="3936" spans="6:23" ht="15">
      <c r="W3936" s="361"/>
    </row>
    <row r="3937" spans="6:23" ht="15">
      <c r="W3937" s="361"/>
    </row>
    <row r="3938" spans="6:23" ht="15">
      <c r="G3938" s="368" t="s">
        <v>438</v>
      </c>
      <c r="H3938" s="357" t="s">
        <v>1841</v>
      </c>
      <c r="W3938" s="361"/>
    </row>
    <row r="3939" spans="6:23" ht="15">
      <c r="H3939" s="357" t="s">
        <v>1833</v>
      </c>
      <c r="W3939" s="361"/>
    </row>
    <row r="3940" spans="6:23" ht="15.75">
      <c r="F3940" s="460">
        <v>3.6799999999999999E-2</v>
      </c>
      <c r="G3940" s="368" t="s">
        <v>108</v>
      </c>
      <c r="H3940" s="440" t="s">
        <v>3361</v>
      </c>
      <c r="I3940" s="370">
        <f t="shared" ref="I3940:I3947" si="374">I3922</f>
        <v>9659.7264120000018</v>
      </c>
      <c r="J3940" s="356" t="s">
        <v>108</v>
      </c>
      <c r="K3940" s="370">
        <f>F3940*I3940</f>
        <v>355.47793196160006</v>
      </c>
      <c r="W3940" s="361"/>
    </row>
    <row r="3941" spans="6:23" ht="15">
      <c r="F3941" s="370">
        <v>4.87</v>
      </c>
      <c r="G3941" s="368" t="s">
        <v>213</v>
      </c>
      <c r="H3941" s="356" t="s">
        <v>1825</v>
      </c>
      <c r="I3941" s="370">
        <f t="shared" si="374"/>
        <v>95267.640000000014</v>
      </c>
      <c r="J3941" s="356" t="s">
        <v>124</v>
      </c>
      <c r="K3941" s="370">
        <f>F3941*I3941/1000</f>
        <v>463.95340680000004</v>
      </c>
      <c r="W3941" s="361"/>
    </row>
    <row r="3942" spans="6:23" ht="15.75">
      <c r="F3942" s="370">
        <v>3</v>
      </c>
      <c r="G3942" s="368" t="s">
        <v>151</v>
      </c>
      <c r="H3942" s="356" t="s">
        <v>1827</v>
      </c>
      <c r="I3942" s="507">
        <f t="shared" si="374"/>
        <v>14.8</v>
      </c>
      <c r="J3942" s="356" t="s">
        <v>151</v>
      </c>
      <c r="K3942" s="370">
        <f t="shared" ref="K3942:K3949" si="375">F3942*I3942</f>
        <v>44.400000000000006</v>
      </c>
      <c r="W3942" s="361"/>
    </row>
    <row r="3943" spans="6:23" ht="15.75">
      <c r="F3943" s="370">
        <v>12</v>
      </c>
      <c r="G3943" s="368" t="s">
        <v>151</v>
      </c>
      <c r="H3943" s="356" t="s">
        <v>1828</v>
      </c>
      <c r="I3943" s="507">
        <f t="shared" si="374"/>
        <v>2</v>
      </c>
      <c r="J3943" s="356" t="s">
        <v>151</v>
      </c>
      <c r="K3943" s="370">
        <f t="shared" si="375"/>
        <v>24</v>
      </c>
      <c r="W3943" s="361"/>
    </row>
    <row r="3944" spans="6:23" ht="15.75">
      <c r="F3944" s="370">
        <v>2</v>
      </c>
      <c r="G3944" s="368" t="s">
        <v>151</v>
      </c>
      <c r="H3944" s="356" t="s">
        <v>1829</v>
      </c>
      <c r="I3944" s="507">
        <f t="shared" si="374"/>
        <v>4.9000000000000004</v>
      </c>
      <c r="J3944" s="356" t="s">
        <v>151</v>
      </c>
      <c r="K3944" s="370">
        <f t="shared" si="375"/>
        <v>9.8000000000000007</v>
      </c>
      <c r="W3944" s="361"/>
    </row>
    <row r="3945" spans="6:23" ht="15.75">
      <c r="F3945" s="370">
        <v>6</v>
      </c>
      <c r="G3945" s="368" t="s">
        <v>151</v>
      </c>
      <c r="H3945" s="356" t="s">
        <v>1831</v>
      </c>
      <c r="I3945" s="507">
        <f t="shared" si="374"/>
        <v>4.45</v>
      </c>
      <c r="J3945" s="356" t="s">
        <v>151</v>
      </c>
      <c r="K3945" s="370">
        <f t="shared" si="375"/>
        <v>26.700000000000003</v>
      </c>
      <c r="W3945" s="361"/>
    </row>
    <row r="3946" spans="6:23" ht="15">
      <c r="F3946" s="370">
        <v>1</v>
      </c>
      <c r="G3946" s="368" t="s">
        <v>151</v>
      </c>
      <c r="H3946" s="356" t="s">
        <v>1834</v>
      </c>
      <c r="I3946" s="370">
        <f t="shared" si="374"/>
        <v>1198.8</v>
      </c>
      <c r="J3946" s="356" t="s">
        <v>151</v>
      </c>
      <c r="K3946" s="370">
        <f t="shared" si="375"/>
        <v>1198.8</v>
      </c>
      <c r="W3946" s="361"/>
    </row>
    <row r="3947" spans="6:23" ht="15">
      <c r="F3947" s="370">
        <v>1</v>
      </c>
      <c r="G3947" s="368" t="s">
        <v>151</v>
      </c>
      <c r="H3947" s="356" t="s">
        <v>1836</v>
      </c>
      <c r="I3947" s="370">
        <f t="shared" si="374"/>
        <v>781.19999999999993</v>
      </c>
      <c r="J3947" s="356" t="s">
        <v>151</v>
      </c>
      <c r="K3947" s="370">
        <f t="shared" si="375"/>
        <v>781.19999999999993</v>
      </c>
      <c r="W3947" s="361"/>
    </row>
    <row r="3948" spans="6:23" ht="15.75">
      <c r="F3948" s="370">
        <v>1</v>
      </c>
      <c r="G3948" s="368" t="s">
        <v>151</v>
      </c>
      <c r="H3948" s="356" t="s">
        <v>1837</v>
      </c>
      <c r="I3948" s="493">
        <v>25</v>
      </c>
      <c r="J3948" s="356" t="s">
        <v>151</v>
      </c>
      <c r="K3948" s="370">
        <f t="shared" si="375"/>
        <v>25</v>
      </c>
      <c r="W3948" s="361"/>
    </row>
    <row r="3949" spans="6:23" ht="15">
      <c r="F3949" s="370">
        <v>0.5</v>
      </c>
      <c r="G3949" s="368" t="s">
        <v>151</v>
      </c>
      <c r="H3949" s="356" t="s">
        <v>1838</v>
      </c>
      <c r="I3949" s="370">
        <f>I3931</f>
        <v>640.79999999999995</v>
      </c>
      <c r="J3949" s="356" t="s">
        <v>151</v>
      </c>
      <c r="K3949" s="370">
        <f t="shared" si="375"/>
        <v>320.39999999999998</v>
      </c>
      <c r="W3949" s="361"/>
    </row>
    <row r="3950" spans="6:23" ht="15">
      <c r="G3950" s="368" t="s">
        <v>128</v>
      </c>
      <c r="H3950" s="356" t="s">
        <v>1839</v>
      </c>
      <c r="J3950" s="356" t="s">
        <v>128</v>
      </c>
      <c r="K3950" s="370">
        <f>1.9+0.08</f>
        <v>1.98</v>
      </c>
      <c r="W3950" s="361"/>
    </row>
    <row r="3951" spans="6:23" ht="15">
      <c r="K3951" s="363" t="s">
        <v>117</v>
      </c>
      <c r="W3951" s="361"/>
    </row>
    <row r="3952" spans="6:23" ht="15.75">
      <c r="H3952" s="372" t="s">
        <v>1840</v>
      </c>
      <c r="K3952" s="369">
        <f>SUM(K3940:K3950)</f>
        <v>3251.7113387616</v>
      </c>
      <c r="L3952" s="35">
        <f>K3952-1729</f>
        <v>1522.7113387616</v>
      </c>
      <c r="W3952" s="361"/>
    </row>
    <row r="3953" spans="6:23" ht="15">
      <c r="K3953" s="363" t="s">
        <v>117</v>
      </c>
      <c r="W3953" s="361"/>
    </row>
    <row r="3954" spans="6:23" ht="15">
      <c r="F3954" s="357"/>
      <c r="G3954" s="368" t="s">
        <v>431</v>
      </c>
      <c r="H3954" s="357" t="s">
        <v>1849</v>
      </c>
      <c r="W3954" s="361"/>
    </row>
    <row r="3955" spans="6:23" ht="15">
      <c r="H3955" s="357" t="s">
        <v>1833</v>
      </c>
      <c r="W3955" s="361"/>
    </row>
    <row r="3956" spans="6:23" ht="15">
      <c r="F3956" s="460">
        <v>3.5299999999999998E-2</v>
      </c>
      <c r="G3956" s="368" t="s">
        <v>108</v>
      </c>
      <c r="H3956" s="356" t="s">
        <v>1823</v>
      </c>
      <c r="I3956" s="370">
        <f t="shared" ref="I3956:I3961" si="376">I3940</f>
        <v>9659.7264120000018</v>
      </c>
      <c r="J3956" s="356" t="s">
        <v>108</v>
      </c>
      <c r="K3956" s="370">
        <f>F3956*I3956</f>
        <v>340.98834234360004</v>
      </c>
      <c r="W3956" s="361"/>
    </row>
    <row r="3957" spans="6:23" ht="15">
      <c r="F3957" s="370">
        <v>4.59</v>
      </c>
      <c r="G3957" s="368" t="s">
        <v>213</v>
      </c>
      <c r="H3957" s="356" t="s">
        <v>1825</v>
      </c>
      <c r="I3957" s="370">
        <f t="shared" si="376"/>
        <v>95267.640000000014</v>
      </c>
      <c r="J3957" s="356" t="s">
        <v>124</v>
      </c>
      <c r="K3957" s="370">
        <f>F3957*I3957/1000</f>
        <v>437.27846760000006</v>
      </c>
      <c r="W3957" s="361"/>
    </row>
    <row r="3958" spans="6:23" ht="15.75">
      <c r="F3958" s="370">
        <v>3</v>
      </c>
      <c r="G3958" s="368" t="s">
        <v>151</v>
      </c>
      <c r="H3958" s="356" t="s">
        <v>1827</v>
      </c>
      <c r="I3958" s="507">
        <f t="shared" si="376"/>
        <v>14.8</v>
      </c>
      <c r="J3958" s="356" t="s">
        <v>151</v>
      </c>
      <c r="K3958" s="370">
        <f t="shared" ref="K3958:K3965" si="377">F3958*I3958</f>
        <v>44.400000000000006</v>
      </c>
      <c r="W3958" s="361"/>
    </row>
    <row r="3959" spans="6:23" ht="15.75">
      <c r="F3959" s="370">
        <v>12</v>
      </c>
      <c r="G3959" s="368" t="s">
        <v>151</v>
      </c>
      <c r="H3959" s="356" t="s">
        <v>1828</v>
      </c>
      <c r="I3959" s="507">
        <f t="shared" si="376"/>
        <v>2</v>
      </c>
      <c r="J3959" s="356" t="s">
        <v>151</v>
      </c>
      <c r="K3959" s="370">
        <f t="shared" si="377"/>
        <v>24</v>
      </c>
      <c r="W3959" s="361"/>
    </row>
    <row r="3960" spans="6:23" ht="15.75">
      <c r="F3960" s="370">
        <v>2</v>
      </c>
      <c r="G3960" s="368" t="s">
        <v>151</v>
      </c>
      <c r="H3960" s="370" t="str">
        <f>H3944</f>
        <v>TOWER BOLT RECEIVER</v>
      </c>
      <c r="I3960" s="507">
        <f t="shared" si="376"/>
        <v>4.9000000000000004</v>
      </c>
      <c r="J3960" s="356" t="s">
        <v>151</v>
      </c>
      <c r="K3960" s="370">
        <f t="shared" si="377"/>
        <v>9.8000000000000007</v>
      </c>
      <c r="W3960" s="361"/>
    </row>
    <row r="3961" spans="6:23" ht="15.75">
      <c r="F3961" s="370">
        <v>6</v>
      </c>
      <c r="G3961" s="368" t="s">
        <v>151</v>
      </c>
      <c r="H3961" s="356" t="s">
        <v>1831</v>
      </c>
      <c r="I3961" s="507">
        <f t="shared" si="376"/>
        <v>4.45</v>
      </c>
      <c r="J3961" s="356" t="s">
        <v>151</v>
      </c>
      <c r="K3961" s="370">
        <f t="shared" si="377"/>
        <v>26.700000000000003</v>
      </c>
      <c r="W3961" s="361"/>
    </row>
    <row r="3962" spans="6:23" ht="15">
      <c r="F3962" s="370">
        <v>1</v>
      </c>
      <c r="G3962" s="368" t="s">
        <v>151</v>
      </c>
      <c r="H3962" s="356" t="s">
        <v>1834</v>
      </c>
      <c r="I3962" s="370">
        <f>I3946</f>
        <v>1198.8</v>
      </c>
      <c r="J3962" s="356" t="s">
        <v>151</v>
      </c>
      <c r="K3962" s="370">
        <f t="shared" si="377"/>
        <v>1198.8</v>
      </c>
      <c r="W3962" s="361"/>
    </row>
    <row r="3963" spans="6:23" ht="15">
      <c r="F3963" s="370">
        <v>1</v>
      </c>
      <c r="G3963" s="368" t="s">
        <v>151</v>
      </c>
      <c r="H3963" s="356" t="s">
        <v>1836</v>
      </c>
      <c r="I3963" s="370">
        <f>I3947</f>
        <v>781.19999999999993</v>
      </c>
      <c r="J3963" s="356" t="s">
        <v>151</v>
      </c>
      <c r="K3963" s="370">
        <f t="shared" si="377"/>
        <v>781.19999999999993</v>
      </c>
      <c r="W3963" s="361"/>
    </row>
    <row r="3964" spans="6:23" ht="15">
      <c r="F3964" s="370">
        <v>1</v>
      </c>
      <c r="G3964" s="368" t="s">
        <v>151</v>
      </c>
      <c r="H3964" s="370" t="str">
        <f>H3948</f>
        <v>MOULDING CHARGES</v>
      </c>
      <c r="I3964" s="370">
        <f>I3948</f>
        <v>25</v>
      </c>
      <c r="J3964" s="356" t="s">
        <v>151</v>
      </c>
      <c r="K3964" s="370">
        <f t="shared" si="377"/>
        <v>25</v>
      </c>
      <c r="W3964" s="361"/>
    </row>
    <row r="3965" spans="6:23" ht="15">
      <c r="F3965" s="370">
        <v>0.5</v>
      </c>
      <c r="G3965" s="368" t="s">
        <v>151</v>
      </c>
      <c r="H3965" s="356" t="s">
        <v>1838</v>
      </c>
      <c r="I3965" s="370">
        <f>I3949</f>
        <v>640.79999999999995</v>
      </c>
      <c r="J3965" s="356" t="s">
        <v>151</v>
      </c>
      <c r="K3965" s="370">
        <f t="shared" si="377"/>
        <v>320.39999999999998</v>
      </c>
      <c r="W3965" s="361"/>
    </row>
    <row r="3966" spans="6:23" ht="15">
      <c r="G3966" s="368" t="s">
        <v>128</v>
      </c>
      <c r="H3966" s="356" t="s">
        <v>1839</v>
      </c>
      <c r="I3966" s="370">
        <f>I3950</f>
        <v>0</v>
      </c>
      <c r="J3966" s="356" t="s">
        <v>128</v>
      </c>
      <c r="K3966" s="370">
        <v>1.39</v>
      </c>
      <c r="W3966" s="361"/>
    </row>
    <row r="3967" spans="6:23" ht="15">
      <c r="K3967" s="363" t="s">
        <v>117</v>
      </c>
      <c r="W3967" s="361"/>
    </row>
    <row r="3968" spans="6:23" ht="15.75">
      <c r="H3968" s="372" t="s">
        <v>1840</v>
      </c>
      <c r="K3968" s="369">
        <f>SUM(K3956:K3966)</f>
        <v>3209.9568099435996</v>
      </c>
      <c r="W3968" s="361"/>
    </row>
    <row r="3969" spans="6:23" ht="15">
      <c r="K3969" s="363" t="s">
        <v>117</v>
      </c>
      <c r="W3969" s="361"/>
    </row>
    <row r="3970" spans="6:23" ht="15">
      <c r="W3970" s="361"/>
    </row>
    <row r="3971" spans="6:23" ht="15">
      <c r="G3971" s="35"/>
      <c r="H3971" s="357" t="s">
        <v>1820</v>
      </c>
      <c r="J3971" s="35"/>
      <c r="K3971" s="363"/>
      <c r="W3971" s="361"/>
    </row>
    <row r="3972" spans="6:23" ht="15">
      <c r="G3972" s="35"/>
      <c r="J3972" s="35"/>
      <c r="K3972" s="363"/>
      <c r="W3972" s="361"/>
    </row>
    <row r="3973" spans="6:23" ht="15">
      <c r="F3973" s="460">
        <v>6.5000000000000002E-2</v>
      </c>
      <c r="G3973" s="368" t="s">
        <v>108</v>
      </c>
      <c r="H3973" s="356" t="s">
        <v>1823</v>
      </c>
      <c r="I3973" s="370">
        <f>I3956</f>
        <v>9659.7264120000018</v>
      </c>
      <c r="J3973" s="356" t="s">
        <v>108</v>
      </c>
      <c r="K3973" s="370">
        <f>I3973*F3973</f>
        <v>627.88221678000014</v>
      </c>
      <c r="W3973" s="361"/>
    </row>
    <row r="3974" spans="6:23" ht="15">
      <c r="F3974" s="512">
        <v>8.4499999999999993</v>
      </c>
      <c r="G3974" s="368" t="s">
        <v>213</v>
      </c>
      <c r="H3974" s="356" t="s">
        <v>1825</v>
      </c>
      <c r="I3974" s="370">
        <f t="shared" ref="I3974:I3983" si="378">I3957</f>
        <v>95267.640000000014</v>
      </c>
      <c r="J3974" s="356" t="s">
        <v>124</v>
      </c>
      <c r="K3974" s="370">
        <f>I3974*F3974/1000</f>
        <v>805.01155800000004</v>
      </c>
      <c r="W3974" s="361"/>
    </row>
    <row r="3975" spans="6:23" ht="15">
      <c r="F3975" s="370">
        <v>3</v>
      </c>
      <c r="G3975" s="368" t="s">
        <v>151</v>
      </c>
      <c r="H3975" s="356" t="s">
        <v>1827</v>
      </c>
      <c r="I3975" s="370">
        <f t="shared" si="378"/>
        <v>14.8</v>
      </c>
      <c r="J3975" s="356" t="s">
        <v>151</v>
      </c>
      <c r="K3975" s="370">
        <f t="shared" ref="K3975:K3982" si="379">I3975*F3975</f>
        <v>44.400000000000006</v>
      </c>
      <c r="W3975" s="361"/>
    </row>
    <row r="3976" spans="6:23" ht="15">
      <c r="F3976" s="370">
        <v>12</v>
      </c>
      <c r="G3976" s="368" t="s">
        <v>151</v>
      </c>
      <c r="H3976" s="356" t="s">
        <v>1828</v>
      </c>
      <c r="I3976" s="370">
        <f t="shared" si="378"/>
        <v>2</v>
      </c>
      <c r="J3976" s="356" t="s">
        <v>151</v>
      </c>
      <c r="K3976" s="370">
        <f t="shared" si="379"/>
        <v>24</v>
      </c>
      <c r="W3976" s="361"/>
    </row>
    <row r="3977" spans="6:23" ht="15">
      <c r="F3977" s="370">
        <v>2</v>
      </c>
      <c r="G3977" s="368" t="s">
        <v>151</v>
      </c>
      <c r="H3977" s="356" t="s">
        <v>1829</v>
      </c>
      <c r="I3977" s="370">
        <f t="shared" si="378"/>
        <v>4.9000000000000004</v>
      </c>
      <c r="J3977" s="356" t="s">
        <v>151</v>
      </c>
      <c r="K3977" s="370">
        <f t="shared" si="379"/>
        <v>9.8000000000000007</v>
      </c>
      <c r="W3977" s="361"/>
    </row>
    <row r="3978" spans="6:23" ht="15">
      <c r="F3978" s="370">
        <v>6</v>
      </c>
      <c r="G3978" s="368" t="s">
        <v>151</v>
      </c>
      <c r="H3978" s="356" t="s">
        <v>1831</v>
      </c>
      <c r="I3978" s="370">
        <f t="shared" si="378"/>
        <v>4.45</v>
      </c>
      <c r="J3978" s="356" t="s">
        <v>151</v>
      </c>
      <c r="K3978" s="370">
        <f t="shared" si="379"/>
        <v>26.700000000000003</v>
      </c>
      <c r="W3978" s="361"/>
    </row>
    <row r="3979" spans="6:23" ht="15">
      <c r="F3979" s="370">
        <v>1</v>
      </c>
      <c r="G3979" s="368" t="s">
        <v>151</v>
      </c>
      <c r="H3979" s="356" t="s">
        <v>1834</v>
      </c>
      <c r="I3979" s="370">
        <f t="shared" si="378"/>
        <v>1198.8</v>
      </c>
      <c r="J3979" s="356" t="s">
        <v>151</v>
      </c>
      <c r="K3979" s="370">
        <f t="shared" si="379"/>
        <v>1198.8</v>
      </c>
      <c r="W3979" s="361"/>
    </row>
    <row r="3980" spans="6:23" ht="15">
      <c r="F3980" s="370">
        <v>1</v>
      </c>
      <c r="G3980" s="368" t="s">
        <v>151</v>
      </c>
      <c r="H3980" s="356" t="s">
        <v>1836</v>
      </c>
      <c r="I3980" s="370">
        <f t="shared" si="378"/>
        <v>781.19999999999993</v>
      </c>
      <c r="J3980" s="356" t="s">
        <v>151</v>
      </c>
      <c r="K3980" s="370">
        <f t="shared" si="379"/>
        <v>781.19999999999993</v>
      </c>
      <c r="W3980" s="361"/>
    </row>
    <row r="3981" spans="6:23" ht="15">
      <c r="F3981" s="370">
        <v>1</v>
      </c>
      <c r="G3981" s="368" t="s">
        <v>151</v>
      </c>
      <c r="H3981" s="356" t="s">
        <v>1837</v>
      </c>
      <c r="I3981" s="370">
        <f t="shared" si="378"/>
        <v>25</v>
      </c>
      <c r="J3981" s="356" t="s">
        <v>151</v>
      </c>
      <c r="K3981" s="370">
        <f t="shared" si="379"/>
        <v>25</v>
      </c>
      <c r="W3981" s="361"/>
    </row>
    <row r="3982" spans="6:23" ht="15">
      <c r="F3982" s="370">
        <v>0.5</v>
      </c>
      <c r="G3982" s="368" t="s">
        <v>151</v>
      </c>
      <c r="H3982" s="356" t="s">
        <v>1838</v>
      </c>
      <c r="I3982" s="370">
        <f t="shared" si="378"/>
        <v>640.79999999999995</v>
      </c>
      <c r="J3982" s="356" t="s">
        <v>151</v>
      </c>
      <c r="K3982" s="370">
        <f t="shared" si="379"/>
        <v>320.39999999999998</v>
      </c>
      <c r="W3982" s="361"/>
    </row>
    <row r="3983" spans="6:23" ht="15">
      <c r="G3983" s="368" t="s">
        <v>128</v>
      </c>
      <c r="H3983" s="356" t="s">
        <v>1839</v>
      </c>
      <c r="I3983" s="370">
        <f t="shared" si="378"/>
        <v>0</v>
      </c>
      <c r="J3983" s="356" t="s">
        <v>128</v>
      </c>
      <c r="K3983" s="370">
        <v>2.1</v>
      </c>
      <c r="W3983" s="361"/>
    </row>
    <row r="3984" spans="6:23" ht="15">
      <c r="K3984" s="363" t="s">
        <v>117</v>
      </c>
      <c r="W3984" s="361"/>
    </row>
    <row r="3985" spans="6:23" ht="15.75">
      <c r="H3985" s="372" t="s">
        <v>1840</v>
      </c>
      <c r="K3985" s="454">
        <f>SUM(K3973:K3983)</f>
        <v>3865.2937747799997</v>
      </c>
      <c r="W3985" s="361"/>
    </row>
    <row r="3986" spans="6:23" ht="15">
      <c r="K3986" s="363" t="s">
        <v>117</v>
      </c>
      <c r="W3986" s="361"/>
    </row>
    <row r="3987" spans="6:23" ht="19.5">
      <c r="F3987" s="582" t="s">
        <v>3362</v>
      </c>
      <c r="G3987" s="582"/>
      <c r="H3987" s="582"/>
      <c r="I3987" s="583"/>
      <c r="J3987" s="583"/>
      <c r="W3987" s="361"/>
    </row>
    <row r="3988" spans="6:23" ht="19.5">
      <c r="F3988" s="36"/>
      <c r="H3988" s="546" t="s">
        <v>3363</v>
      </c>
      <c r="W3988" s="361"/>
    </row>
    <row r="3989" spans="6:23" ht="15">
      <c r="F3989" s="407">
        <v>4.88</v>
      </c>
      <c r="G3989" s="368" t="s">
        <v>480</v>
      </c>
      <c r="H3989" s="356" t="s">
        <v>2120</v>
      </c>
      <c r="I3989" s="370">
        <f>AD1352</f>
        <v>325</v>
      </c>
      <c r="J3989" s="368" t="s">
        <v>480</v>
      </c>
      <c r="K3989" s="370">
        <f t="shared" ref="K3989:K3998" si="380">I3989*F3989</f>
        <v>1586</v>
      </c>
      <c r="W3989" s="361"/>
    </row>
    <row r="3990" spans="6:23" ht="15">
      <c r="F3990" s="407">
        <v>7.76</v>
      </c>
      <c r="G3990" s="368" t="s">
        <v>480</v>
      </c>
      <c r="H3990" s="356" t="s">
        <v>2120</v>
      </c>
      <c r="I3990" s="370">
        <f>I3989</f>
        <v>325</v>
      </c>
      <c r="J3990" s="368" t="s">
        <v>480</v>
      </c>
      <c r="K3990" s="370">
        <f t="shared" si="380"/>
        <v>2522</v>
      </c>
      <c r="W3990" s="361"/>
    </row>
    <row r="3991" spans="6:23" ht="15">
      <c r="F3991" s="407">
        <v>3.03</v>
      </c>
      <c r="G3991" s="368" t="s">
        <v>480</v>
      </c>
      <c r="H3991" s="356" t="s">
        <v>2120</v>
      </c>
      <c r="I3991" s="370">
        <f>I3990</f>
        <v>325</v>
      </c>
      <c r="J3991" s="368" t="s">
        <v>480</v>
      </c>
      <c r="K3991" s="370">
        <f t="shared" si="380"/>
        <v>984.74999999999989</v>
      </c>
      <c r="W3991" s="361"/>
    </row>
    <row r="3992" spans="6:23" ht="15">
      <c r="F3992" s="407">
        <v>1.45</v>
      </c>
      <c r="G3992" s="368" t="s">
        <v>480</v>
      </c>
      <c r="H3992" s="356" t="s">
        <v>2120</v>
      </c>
      <c r="I3992" s="370">
        <f>I3991</f>
        <v>325</v>
      </c>
      <c r="J3992" s="368" t="s">
        <v>480</v>
      </c>
      <c r="K3992" s="370">
        <f t="shared" si="380"/>
        <v>471.25</v>
      </c>
      <c r="W3992" s="361"/>
    </row>
    <row r="3993" spans="6:23" ht="15">
      <c r="F3993" s="407">
        <v>2.4300000000000002</v>
      </c>
      <c r="G3993" s="368" t="s">
        <v>478</v>
      </c>
      <c r="H3993" s="356" t="s">
        <v>2126</v>
      </c>
      <c r="I3993" s="370">
        <f>AD1356</f>
        <v>306.89999999999998</v>
      </c>
      <c r="J3993" s="368" t="s">
        <v>478</v>
      </c>
      <c r="K3993" s="370">
        <f t="shared" si="380"/>
        <v>745.76699999999994</v>
      </c>
      <c r="W3993" s="361"/>
    </row>
    <row r="3994" spans="6:23" ht="15">
      <c r="F3994" s="407">
        <v>11.7</v>
      </c>
      <c r="G3994" s="368" t="s">
        <v>31</v>
      </c>
      <c r="H3994" s="356" t="s">
        <v>2129</v>
      </c>
      <c r="I3994" s="370">
        <f>AD1357</f>
        <v>29.05</v>
      </c>
      <c r="J3994" s="368" t="s">
        <v>31</v>
      </c>
      <c r="K3994" s="370">
        <f t="shared" si="380"/>
        <v>339.88499999999999</v>
      </c>
      <c r="W3994" s="361"/>
    </row>
    <row r="3995" spans="6:23" ht="15">
      <c r="F3995" s="407">
        <v>3</v>
      </c>
      <c r="G3995" s="368" t="s">
        <v>223</v>
      </c>
      <c r="H3995" s="356" t="s">
        <v>3364</v>
      </c>
      <c r="I3995" s="370">
        <v>350</v>
      </c>
      <c r="J3995" s="368" t="s">
        <v>223</v>
      </c>
      <c r="K3995" s="370">
        <f t="shared" si="380"/>
        <v>1050</v>
      </c>
      <c r="W3995" s="361"/>
    </row>
    <row r="3996" spans="6:23" ht="15">
      <c r="F3996" s="407">
        <v>3</v>
      </c>
      <c r="G3996" s="368" t="s">
        <v>223</v>
      </c>
      <c r="H3996" s="356" t="s">
        <v>2133</v>
      </c>
      <c r="I3996" s="370">
        <f>V1361</f>
        <v>57.65</v>
      </c>
      <c r="J3996" s="368" t="s">
        <v>223</v>
      </c>
      <c r="K3996" s="370">
        <f t="shared" si="380"/>
        <v>172.95</v>
      </c>
      <c r="W3996" s="361"/>
    </row>
    <row r="3997" spans="6:23" ht="15">
      <c r="F3997" s="407">
        <v>4</v>
      </c>
      <c r="G3997" s="368" t="s">
        <v>223</v>
      </c>
      <c r="H3997" s="356" t="s">
        <v>2138</v>
      </c>
      <c r="I3997" s="370">
        <f>AD1362</f>
        <v>15</v>
      </c>
      <c r="J3997" s="368" t="s">
        <v>223</v>
      </c>
      <c r="K3997" s="370">
        <f t="shared" si="380"/>
        <v>60</v>
      </c>
      <c r="W3997" s="361"/>
    </row>
    <row r="3998" spans="6:23" ht="15">
      <c r="F3998" s="407">
        <v>2.4300000000000002</v>
      </c>
      <c r="G3998" s="368" t="s">
        <v>262</v>
      </c>
      <c r="H3998" s="356" t="s">
        <v>2139</v>
      </c>
      <c r="I3998" s="370">
        <f>AD1363</f>
        <v>2397.6</v>
      </c>
      <c r="J3998" s="368" t="s">
        <v>223</v>
      </c>
      <c r="K3998" s="370">
        <f t="shared" si="380"/>
        <v>5826.1680000000006</v>
      </c>
      <c r="W3998" s="361"/>
    </row>
    <row r="3999" spans="6:23" ht="15">
      <c r="F3999" s="36"/>
      <c r="H3999" s="356" t="s">
        <v>2141</v>
      </c>
      <c r="J3999" s="368"/>
      <c r="K3999" s="370"/>
      <c r="W3999" s="361"/>
    </row>
    <row r="4000" spans="6:23" ht="15.75">
      <c r="F4000" s="36"/>
      <c r="G4000" s="35"/>
      <c r="H4000" s="367" t="s">
        <v>2143</v>
      </c>
      <c r="J4000" s="35"/>
      <c r="K4000" s="370">
        <f>SUM(K3989:K3999)</f>
        <v>13758.77</v>
      </c>
      <c r="W4000" s="361"/>
    </row>
    <row r="4001" spans="6:23" ht="15.75">
      <c r="F4001" s="36"/>
      <c r="G4001" s="35"/>
      <c r="H4001" s="367" t="s">
        <v>3365</v>
      </c>
      <c r="J4001" s="368" t="s">
        <v>262</v>
      </c>
      <c r="K4001" s="370">
        <f>K4000/F3998</f>
        <v>5662.0452674897115</v>
      </c>
      <c r="W4001" s="361"/>
    </row>
    <row r="4002" spans="6:23" ht="15.75">
      <c r="F4002" s="36"/>
      <c r="G4002" s="35"/>
      <c r="J4002" s="35"/>
      <c r="K4002" s="369"/>
      <c r="W4002" s="361"/>
    </row>
    <row r="4003" spans="6:23" ht="15">
      <c r="F4003" s="36"/>
      <c r="G4003" s="35"/>
      <c r="J4003" s="35"/>
      <c r="W4003" s="361"/>
    </row>
    <row r="4004" spans="6:23" ht="19.5">
      <c r="H4004" s="582" t="s">
        <v>3366</v>
      </c>
      <c r="I4004" s="582"/>
      <c r="J4004" s="582"/>
      <c r="K4004" s="582"/>
      <c r="W4004" s="361"/>
    </row>
    <row r="4005" spans="6:23" ht="15">
      <c r="F4005" s="461"/>
      <c r="G4005" s="368"/>
      <c r="H4005" s="356"/>
      <c r="I4005" s="370"/>
      <c r="J4005" s="368"/>
      <c r="K4005" s="370"/>
      <c r="W4005" s="361"/>
    </row>
    <row r="4006" spans="6:23" ht="15">
      <c r="F4006" s="461"/>
      <c r="G4006" s="368"/>
      <c r="H4006" s="356"/>
      <c r="I4006" s="370"/>
      <c r="J4006" s="368"/>
      <c r="K4006" s="370"/>
      <c r="W4006" s="361"/>
    </row>
    <row r="4007" spans="6:23" ht="15">
      <c r="F4007" s="461"/>
      <c r="G4007" s="368"/>
      <c r="H4007" s="356"/>
      <c r="I4007" s="370"/>
      <c r="J4007" s="368"/>
      <c r="K4007" s="370"/>
      <c r="W4007" s="361"/>
    </row>
    <row r="4008" spans="6:23" ht="15">
      <c r="F4008" s="461">
        <v>12.08</v>
      </c>
      <c r="G4008" s="368" t="s">
        <v>480</v>
      </c>
      <c r="H4008" s="356" t="s">
        <v>2120</v>
      </c>
      <c r="I4008" s="370">
        <f>I3989</f>
        <v>325</v>
      </c>
      <c r="J4008" s="368" t="s">
        <v>480</v>
      </c>
      <c r="K4008" s="370">
        <f>I4008*F4008</f>
        <v>3926</v>
      </c>
      <c r="W4008" s="361"/>
    </row>
    <row r="4009" spans="6:23" ht="15">
      <c r="F4009" s="461">
        <v>1.823</v>
      </c>
      <c r="G4009" s="368" t="s">
        <v>478</v>
      </c>
      <c r="H4009" s="356" t="s">
        <v>2126</v>
      </c>
      <c r="I4009" s="370">
        <f>I3993</f>
        <v>306.89999999999998</v>
      </c>
      <c r="J4009" s="368" t="s">
        <v>478</v>
      </c>
      <c r="K4009" s="370">
        <f t="shared" ref="K4009:K4014" si="381">I4009*F4009</f>
        <v>559.47869999999989</v>
      </c>
      <c r="W4009" s="361"/>
    </row>
    <row r="4010" spans="6:23" ht="15">
      <c r="F4010" s="461">
        <v>8.1</v>
      </c>
      <c r="G4010" s="368" t="s">
        <v>31</v>
      </c>
      <c r="H4010" s="356" t="s">
        <v>2129</v>
      </c>
      <c r="I4010" s="370">
        <f>I3994</f>
        <v>29.05</v>
      </c>
      <c r="J4010" s="368" t="s">
        <v>31</v>
      </c>
      <c r="K4010" s="370">
        <f t="shared" si="381"/>
        <v>235.30500000000001</v>
      </c>
      <c r="W4010" s="361"/>
    </row>
    <row r="4011" spans="6:23" ht="15">
      <c r="F4011" s="461">
        <v>2</v>
      </c>
      <c r="G4011" s="368" t="s">
        <v>2224</v>
      </c>
      <c r="H4011" s="356" t="s">
        <v>3367</v>
      </c>
      <c r="I4011" s="370">
        <f>I3995</f>
        <v>350</v>
      </c>
      <c r="J4011" s="368" t="s">
        <v>223</v>
      </c>
      <c r="K4011" s="370">
        <f t="shared" si="381"/>
        <v>700</v>
      </c>
      <c r="W4011" s="361"/>
    </row>
    <row r="4012" spans="6:23" ht="15">
      <c r="F4012" s="461">
        <v>2</v>
      </c>
      <c r="G4012" s="368" t="s">
        <v>223</v>
      </c>
      <c r="H4012" s="356" t="s">
        <v>2133</v>
      </c>
      <c r="I4012" s="370">
        <f>I3996</f>
        <v>57.65</v>
      </c>
      <c r="J4012" s="368" t="s">
        <v>223</v>
      </c>
      <c r="K4012" s="370">
        <f t="shared" si="381"/>
        <v>115.3</v>
      </c>
      <c r="W4012" s="361"/>
    </row>
    <row r="4013" spans="6:23" ht="15.75">
      <c r="F4013" s="461">
        <v>4</v>
      </c>
      <c r="G4013" s="368" t="s">
        <v>223</v>
      </c>
      <c r="H4013" s="356" t="s">
        <v>2138</v>
      </c>
      <c r="I4013" s="402">
        <v>15</v>
      </c>
      <c r="J4013" s="368" t="s">
        <v>223</v>
      </c>
      <c r="K4013" s="370">
        <f t="shared" si="381"/>
        <v>60</v>
      </c>
      <c r="W4013" s="361"/>
    </row>
    <row r="4014" spans="6:23" ht="15">
      <c r="F4014" s="461">
        <v>1.823</v>
      </c>
      <c r="G4014" s="368" t="s">
        <v>262</v>
      </c>
      <c r="H4014" s="356" t="s">
        <v>2139</v>
      </c>
      <c r="I4014" s="35">
        <f>I3998</f>
        <v>2397.6</v>
      </c>
      <c r="J4014" s="368" t="s">
        <v>262</v>
      </c>
      <c r="K4014" s="370">
        <f t="shared" si="381"/>
        <v>4370.8247999999994</v>
      </c>
      <c r="W4014" s="361"/>
    </row>
    <row r="4015" spans="6:23" ht="15">
      <c r="H4015" s="356"/>
      <c r="J4015" s="361"/>
      <c r="K4015" s="370"/>
      <c r="W4015" s="361"/>
    </row>
    <row r="4016" spans="6:23" ht="15">
      <c r="G4016" s="35"/>
      <c r="H4016" s="498" t="s">
        <v>3368</v>
      </c>
      <c r="J4016" s="35"/>
      <c r="K4016" s="381">
        <f>SUM(K4008:K4015)</f>
        <v>9966.9084999999995</v>
      </c>
      <c r="W4016" s="361"/>
    </row>
    <row r="4017" spans="6:23" ht="15.75">
      <c r="G4017" s="35"/>
      <c r="H4017" s="498" t="s">
        <v>3369</v>
      </c>
      <c r="J4017" s="35"/>
      <c r="K4017" s="411">
        <f>K4016/F4014</f>
        <v>5467.3113000548547</v>
      </c>
      <c r="W4017" s="361"/>
    </row>
    <row r="4018" spans="6:23" ht="15">
      <c r="G4018" s="35"/>
      <c r="H4018" s="498"/>
      <c r="J4018" s="35"/>
      <c r="W4018" s="361"/>
    </row>
    <row r="4019" spans="6:23" ht="19.5">
      <c r="F4019" s="36"/>
      <c r="H4019" s="546" t="s">
        <v>3370</v>
      </c>
      <c r="W4019" s="361"/>
    </row>
    <row r="4020" spans="6:23" ht="15">
      <c r="F4020" s="407">
        <v>3.72</v>
      </c>
      <c r="G4020" s="368" t="s">
        <v>480</v>
      </c>
      <c r="H4020" s="356" t="s">
        <v>2120</v>
      </c>
      <c r="I4020" s="370">
        <f>I3989</f>
        <v>325</v>
      </c>
      <c r="J4020" s="368" t="s">
        <v>480</v>
      </c>
      <c r="K4020" s="370">
        <f>I4020*F4020</f>
        <v>1209</v>
      </c>
      <c r="W4020" s="361"/>
    </row>
    <row r="4021" spans="6:23" ht="15">
      <c r="F4021" s="407">
        <v>4.57</v>
      </c>
      <c r="G4021" s="368" t="s">
        <v>480</v>
      </c>
      <c r="H4021" s="356" t="s">
        <v>2120</v>
      </c>
      <c r="I4021" s="370">
        <f>I4020</f>
        <v>325</v>
      </c>
      <c r="J4021" s="368" t="s">
        <v>480</v>
      </c>
      <c r="K4021" s="370">
        <f t="shared" ref="K4021:K4027" si="382">I4021*F4021</f>
        <v>1485.25</v>
      </c>
      <c r="W4021" s="361"/>
    </row>
    <row r="4022" spans="6:23" ht="15">
      <c r="F4022" s="407">
        <v>1.18</v>
      </c>
      <c r="G4022" s="368" t="s">
        <v>480</v>
      </c>
      <c r="H4022" s="356" t="s">
        <v>2120</v>
      </c>
      <c r="I4022" s="370">
        <f>I4021</f>
        <v>325</v>
      </c>
      <c r="J4022" s="368" t="s">
        <v>480</v>
      </c>
      <c r="K4022" s="370">
        <f t="shared" si="382"/>
        <v>383.5</v>
      </c>
      <c r="W4022" s="361"/>
    </row>
    <row r="4023" spans="6:23" ht="15">
      <c r="F4023" s="407">
        <v>0.86</v>
      </c>
      <c r="G4023" s="368" t="s">
        <v>480</v>
      </c>
      <c r="H4023" s="356" t="s">
        <v>2120</v>
      </c>
      <c r="I4023" s="370">
        <f>I4022</f>
        <v>325</v>
      </c>
      <c r="J4023" s="368" t="s">
        <v>480</v>
      </c>
      <c r="K4023" s="370">
        <f t="shared" si="382"/>
        <v>279.5</v>
      </c>
      <c r="W4023" s="361"/>
    </row>
    <row r="4024" spans="6:23" ht="15">
      <c r="F4024" s="407">
        <v>1.42</v>
      </c>
      <c r="G4024" s="368" t="s">
        <v>478</v>
      </c>
      <c r="H4024" s="356" t="s">
        <v>2126</v>
      </c>
      <c r="I4024" s="370">
        <f t="shared" ref="I4024:I4029" si="383">I4009</f>
        <v>306.89999999999998</v>
      </c>
      <c r="J4024" s="368" t="s">
        <v>478</v>
      </c>
      <c r="K4024" s="370">
        <f t="shared" si="382"/>
        <v>435.79799999999994</v>
      </c>
      <c r="W4024" s="361"/>
    </row>
    <row r="4025" spans="6:23" ht="15">
      <c r="F4025" s="407">
        <v>6.9</v>
      </c>
      <c r="G4025" s="368" t="s">
        <v>31</v>
      </c>
      <c r="H4025" s="356" t="s">
        <v>2129</v>
      </c>
      <c r="I4025" s="370">
        <f t="shared" si="383"/>
        <v>29.05</v>
      </c>
      <c r="J4025" s="368" t="s">
        <v>31</v>
      </c>
      <c r="K4025" s="370">
        <f t="shared" si="382"/>
        <v>200.44500000000002</v>
      </c>
      <c r="W4025" s="361"/>
    </row>
    <row r="4026" spans="6:23" ht="15">
      <c r="F4026" s="407">
        <v>2</v>
      </c>
      <c r="G4026" s="368" t="s">
        <v>223</v>
      </c>
      <c r="H4026" s="356" t="s">
        <v>3367</v>
      </c>
      <c r="I4026" s="370">
        <f t="shared" si="383"/>
        <v>350</v>
      </c>
      <c r="J4026" s="368" t="s">
        <v>223</v>
      </c>
      <c r="K4026" s="370">
        <f t="shared" si="382"/>
        <v>700</v>
      </c>
      <c r="W4026" s="361"/>
    </row>
    <row r="4027" spans="6:23" ht="15">
      <c r="F4027" s="407">
        <v>2</v>
      </c>
      <c r="G4027" s="368" t="s">
        <v>223</v>
      </c>
      <c r="H4027" s="356" t="s">
        <v>2133</v>
      </c>
      <c r="I4027" s="370">
        <f t="shared" si="383"/>
        <v>57.65</v>
      </c>
      <c r="J4027" s="368" t="s">
        <v>223</v>
      </c>
      <c r="K4027" s="370">
        <f t="shared" si="382"/>
        <v>115.3</v>
      </c>
      <c r="W4027" s="361"/>
    </row>
    <row r="4028" spans="6:23" ht="15">
      <c r="F4028" s="407">
        <v>4</v>
      </c>
      <c r="G4028" s="368" t="s">
        <v>223</v>
      </c>
      <c r="H4028" s="356" t="s">
        <v>2138</v>
      </c>
      <c r="I4028" s="370">
        <f t="shared" si="383"/>
        <v>15</v>
      </c>
      <c r="J4028" s="368" t="s">
        <v>223</v>
      </c>
      <c r="K4028" s="370">
        <f>I4028*F4028</f>
        <v>60</v>
      </c>
      <c r="W4028" s="361"/>
    </row>
    <row r="4029" spans="6:23" ht="15">
      <c r="F4029" s="407">
        <v>1.42</v>
      </c>
      <c r="G4029" s="368" t="s">
        <v>262</v>
      </c>
      <c r="H4029" s="356" t="s">
        <v>2139</v>
      </c>
      <c r="I4029" s="370">
        <f t="shared" si="383"/>
        <v>2397.6</v>
      </c>
      <c r="J4029" s="368" t="s">
        <v>262</v>
      </c>
      <c r="K4029" s="370">
        <f>I4029*F4029</f>
        <v>3404.5919999999996</v>
      </c>
      <c r="W4029" s="361"/>
    </row>
    <row r="4030" spans="6:23" ht="15">
      <c r="F4030" s="36"/>
      <c r="H4030" s="356" t="s">
        <v>2141</v>
      </c>
      <c r="J4030" s="361"/>
      <c r="K4030" s="370"/>
      <c r="W4030" s="361"/>
    </row>
    <row r="4031" spans="6:23" ht="15.75">
      <c r="F4031" s="36"/>
      <c r="G4031" s="35"/>
      <c r="H4031" s="367" t="s">
        <v>2143</v>
      </c>
      <c r="J4031" s="35"/>
      <c r="K4031" s="370">
        <f>SUM(K4020:K4030)</f>
        <v>8273.3850000000002</v>
      </c>
      <c r="W4031" s="361"/>
    </row>
    <row r="4032" spans="6:23" ht="15.75">
      <c r="F4032" s="36"/>
      <c r="G4032" s="35"/>
      <c r="H4032" s="498" t="s">
        <v>3369</v>
      </c>
      <c r="J4032" s="35"/>
      <c r="K4032" s="411">
        <f>K4031/F4029</f>
        <v>5826.3274647887329</v>
      </c>
      <c r="W4032" s="361"/>
    </row>
    <row r="4033" spans="6:23" ht="15.75">
      <c r="F4033" s="36"/>
      <c r="G4033" s="35"/>
      <c r="J4033" s="35"/>
      <c r="K4033" s="369"/>
      <c r="W4033" s="361"/>
    </row>
    <row r="4034" spans="6:23" ht="19.5">
      <c r="F4034" s="36"/>
      <c r="G4034" s="35"/>
      <c r="H4034" s="546" t="s">
        <v>3371</v>
      </c>
      <c r="W4034" s="361"/>
    </row>
    <row r="4035" spans="6:23" ht="16.5">
      <c r="F4035" s="588">
        <v>11.61</v>
      </c>
      <c r="G4035" s="589" t="s">
        <v>480</v>
      </c>
      <c r="H4035" s="592" t="s">
        <v>2120</v>
      </c>
      <c r="I4035" s="591">
        <f>I4020</f>
        <v>325</v>
      </c>
      <c r="J4035" s="589" t="s">
        <v>480</v>
      </c>
      <c r="K4035" s="591">
        <f>I4035*F4035</f>
        <v>3773.25</v>
      </c>
      <c r="W4035" s="361"/>
    </row>
    <row r="4036" spans="6:23" ht="16.5">
      <c r="F4036" s="588">
        <v>7.8</v>
      </c>
      <c r="G4036" s="589" t="s">
        <v>31</v>
      </c>
      <c r="H4036" s="592" t="s">
        <v>2223</v>
      </c>
      <c r="I4036" s="591">
        <f>I4025</f>
        <v>29.05</v>
      </c>
      <c r="J4036" s="589" t="s">
        <v>31</v>
      </c>
      <c r="K4036" s="591">
        <f t="shared" ref="K4036:K4041" si="384">I4036*F4036</f>
        <v>226.59</v>
      </c>
      <c r="W4036" s="361"/>
    </row>
    <row r="4037" spans="6:23" ht="16.5">
      <c r="F4037" s="588">
        <v>1.62</v>
      </c>
      <c r="G4037" s="589" t="s">
        <v>478</v>
      </c>
      <c r="H4037" s="592" t="s">
        <v>2222</v>
      </c>
      <c r="I4037" s="591">
        <f>I4024</f>
        <v>306.89999999999998</v>
      </c>
      <c r="J4037" s="589" t="s">
        <v>478</v>
      </c>
      <c r="K4037" s="591">
        <f t="shared" si="384"/>
        <v>497.178</v>
      </c>
      <c r="W4037" s="361"/>
    </row>
    <row r="4038" spans="6:23" ht="16.5">
      <c r="F4038" s="588">
        <v>2</v>
      </c>
      <c r="G4038" s="589" t="s">
        <v>223</v>
      </c>
      <c r="H4038" s="592" t="s">
        <v>2226</v>
      </c>
      <c r="I4038" s="591">
        <f>I4027</f>
        <v>57.65</v>
      </c>
      <c r="J4038" s="589" t="s">
        <v>223</v>
      </c>
      <c r="K4038" s="591">
        <f t="shared" si="384"/>
        <v>115.3</v>
      </c>
      <c r="W4038" s="361"/>
    </row>
    <row r="4039" spans="6:23" ht="16.5">
      <c r="F4039" s="588">
        <v>2</v>
      </c>
      <c r="G4039" s="589" t="s">
        <v>223</v>
      </c>
      <c r="H4039" s="592" t="s">
        <v>3372</v>
      </c>
      <c r="I4039" s="591">
        <f>I4026</f>
        <v>350</v>
      </c>
      <c r="J4039" s="589" t="s">
        <v>223</v>
      </c>
      <c r="K4039" s="591">
        <f t="shared" si="384"/>
        <v>700</v>
      </c>
      <c r="W4039" s="361"/>
    </row>
    <row r="4040" spans="6:23" ht="16.5">
      <c r="F4040" s="588">
        <v>4</v>
      </c>
      <c r="G4040" s="589" t="s">
        <v>223</v>
      </c>
      <c r="H4040" s="592" t="s">
        <v>2227</v>
      </c>
      <c r="I4040" s="591">
        <f>I4028</f>
        <v>15</v>
      </c>
      <c r="J4040" s="589" t="s">
        <v>223</v>
      </c>
      <c r="K4040" s="591">
        <f t="shared" si="384"/>
        <v>60</v>
      </c>
      <c r="W4040" s="361"/>
    </row>
    <row r="4041" spans="6:23" ht="16.5">
      <c r="F4041" s="588">
        <v>1.62</v>
      </c>
      <c r="G4041" s="589" t="s">
        <v>262</v>
      </c>
      <c r="H4041" s="592" t="s">
        <v>2228</v>
      </c>
      <c r="I4041" s="591">
        <f>I4029</f>
        <v>2397.6</v>
      </c>
      <c r="J4041" s="589" t="s">
        <v>262</v>
      </c>
      <c r="K4041" s="591">
        <f t="shared" si="384"/>
        <v>3884.1120000000001</v>
      </c>
      <c r="W4041" s="361"/>
    </row>
    <row r="4042" spans="6:23" ht="16.5">
      <c r="F4042" s="585"/>
      <c r="G4042" s="594"/>
      <c r="H4042" s="592" t="s">
        <v>331</v>
      </c>
      <c r="I4042" s="585"/>
      <c r="J4042" s="593"/>
      <c r="K4042" s="591"/>
      <c r="W4042" s="361"/>
    </row>
    <row r="4043" spans="6:23" ht="16.5">
      <c r="F4043" s="585"/>
      <c r="G4043" s="585"/>
      <c r="H4043" s="367" t="s">
        <v>2143</v>
      </c>
      <c r="J4043" s="35"/>
      <c r="K4043" s="370">
        <f>SUM(K4035:K4042)</f>
        <v>9256.43</v>
      </c>
      <c r="W4043" s="361"/>
    </row>
    <row r="4044" spans="6:23" ht="15.75">
      <c r="F4044" s="36"/>
      <c r="G4044" s="35"/>
      <c r="H4044" s="498" t="s">
        <v>3369</v>
      </c>
      <c r="J4044" s="35"/>
      <c r="K4044" s="411">
        <f>K4043/F4041</f>
        <v>5713.8456790123455</v>
      </c>
      <c r="W4044" s="361"/>
    </row>
    <row r="4045" spans="6:23" ht="15">
      <c r="F4045" s="36"/>
      <c r="G4045" s="35"/>
      <c r="J4045" s="35"/>
      <c r="W4045" s="361"/>
    </row>
    <row r="4046" spans="6:23" ht="15">
      <c r="W4046" s="361"/>
    </row>
    <row r="4047" spans="6:23" ht="15.75">
      <c r="F4047" s="750"/>
      <c r="G4047" s="751"/>
      <c r="H4047" s="576" t="s">
        <v>3373</v>
      </c>
      <c r="I4047" s="750"/>
      <c r="J4047" s="753"/>
      <c r="K4047" s="750"/>
      <c r="L4047" s="36"/>
      <c r="M4047" s="36"/>
      <c r="W4047" s="361"/>
    </row>
    <row r="4048" spans="6:23" ht="18">
      <c r="F4048" s="750"/>
      <c r="G4048" s="751"/>
      <c r="H4048" s="855" t="s">
        <v>3374</v>
      </c>
      <c r="I4048" s="750"/>
      <c r="J4048" s="753"/>
      <c r="K4048" s="750"/>
      <c r="L4048" s="36"/>
      <c r="M4048" s="36"/>
      <c r="W4048" s="361"/>
    </row>
    <row r="4049" spans="6:23" ht="15.75">
      <c r="F4049" s="750"/>
      <c r="G4049" s="751"/>
      <c r="H4049" s="758" t="s">
        <v>117</v>
      </c>
      <c r="I4049" s="750"/>
      <c r="J4049" s="753"/>
      <c r="K4049" s="750"/>
      <c r="L4049" s="36"/>
      <c r="M4049" s="36"/>
      <c r="W4049" s="361"/>
    </row>
    <row r="4050" spans="6:23" ht="15.75">
      <c r="F4050" s="750"/>
      <c r="G4050" s="751"/>
      <c r="H4050" s="764" t="s">
        <v>3375</v>
      </c>
      <c r="J4050" s="35"/>
      <c r="L4050" s="36"/>
      <c r="M4050" s="36"/>
      <c r="W4050" s="361"/>
    </row>
    <row r="4051" spans="6:23" ht="15.75">
      <c r="F4051" s="750"/>
      <c r="G4051" s="751"/>
      <c r="H4051" s="817" t="s">
        <v>3376</v>
      </c>
      <c r="I4051" s="924"/>
      <c r="J4051" s="857">
        <f>3*2*1.9*0.075*0.0375</f>
        <v>3.2062499999999994E-2</v>
      </c>
      <c r="K4051" s="750" t="s">
        <v>793</v>
      </c>
      <c r="L4051" s="36"/>
      <c r="M4051" s="36"/>
      <c r="W4051" s="361"/>
    </row>
    <row r="4052" spans="6:23" ht="15.75">
      <c r="F4052" s="750"/>
      <c r="G4052" s="751"/>
      <c r="H4052" s="576" t="s">
        <v>3377</v>
      </c>
      <c r="I4052" s="924"/>
      <c r="J4052" s="857">
        <f>3*2*0.5*0.075*0.0375</f>
        <v>8.4374999999999988E-3</v>
      </c>
      <c r="K4052" s="750" t="s">
        <v>793</v>
      </c>
      <c r="L4052" s="36"/>
      <c r="M4052" s="36"/>
      <c r="W4052" s="361"/>
    </row>
    <row r="4053" spans="6:23" ht="15.75">
      <c r="F4053" s="750"/>
      <c r="G4053" s="751"/>
      <c r="H4053" s="576"/>
      <c r="I4053" s="754"/>
      <c r="J4053" s="758" t="s">
        <v>117</v>
      </c>
      <c r="K4053" s="783"/>
      <c r="L4053" s="36"/>
      <c r="M4053" s="36"/>
      <c r="W4053" s="361"/>
    </row>
    <row r="4054" spans="6:23" ht="15.75">
      <c r="F4054" s="750"/>
      <c r="G4054" s="751"/>
      <c r="H4054" s="750"/>
      <c r="I4054" s="750"/>
      <c r="J4054" s="982">
        <f>SUM(J4051:J4053)</f>
        <v>4.0499999999999994E-2</v>
      </c>
      <c r="K4054" s="35" t="s">
        <v>793</v>
      </c>
      <c r="L4054" s="36"/>
      <c r="M4054" s="36"/>
      <c r="W4054" s="361"/>
    </row>
    <row r="4055" spans="6:23" ht="15.75">
      <c r="F4055" s="750"/>
      <c r="G4055" s="751"/>
      <c r="H4055" s="750"/>
      <c r="I4055" s="750"/>
      <c r="J4055" s="758" t="s">
        <v>117</v>
      </c>
      <c r="L4055" s="36"/>
      <c r="M4055" s="36"/>
      <c r="W4055" s="361"/>
    </row>
    <row r="4056" spans="6:23" ht="15.75">
      <c r="F4056" s="750"/>
      <c r="G4056" s="751"/>
      <c r="H4056" s="576" t="s">
        <v>1880</v>
      </c>
      <c r="I4056" s="924"/>
      <c r="J4056" s="924"/>
      <c r="K4056" s="924"/>
      <c r="L4056" s="36"/>
      <c r="M4056" s="36"/>
      <c r="W4056" s="361"/>
    </row>
    <row r="4057" spans="6:23" ht="15.75">
      <c r="F4057" s="750"/>
      <c r="G4057" s="751"/>
      <c r="H4057" s="576" t="s">
        <v>3378</v>
      </c>
      <c r="I4057" s="859"/>
      <c r="J4057" s="856">
        <f>3*1.9*0.5</f>
        <v>2.8499999999999996</v>
      </c>
      <c r="K4057" s="368" t="s">
        <v>107</v>
      </c>
      <c r="L4057" s="36"/>
      <c r="M4057" s="36"/>
      <c r="W4057" s="361"/>
    </row>
    <row r="4058" spans="6:23" ht="15.75">
      <c r="F4058" s="750"/>
      <c r="G4058" s="751"/>
      <c r="H4058" s="576"/>
      <c r="I4058" s="859"/>
      <c r="J4058" s="856"/>
      <c r="K4058" s="783"/>
      <c r="L4058" s="36"/>
      <c r="M4058" s="36"/>
      <c r="W4058" s="361"/>
    </row>
    <row r="4059" spans="6:23" ht="15.75">
      <c r="F4059" s="750"/>
      <c r="G4059" s="751"/>
      <c r="H4059" s="576" t="s">
        <v>3379</v>
      </c>
      <c r="I4059" s="859"/>
      <c r="J4059" s="856"/>
      <c r="K4059" s="783"/>
      <c r="L4059" s="36"/>
      <c r="M4059" s="36"/>
      <c r="W4059" s="361"/>
    </row>
    <row r="4060" spans="6:23" ht="15.75">
      <c r="F4060" s="750"/>
      <c r="G4060" s="751"/>
      <c r="H4060" s="576" t="s">
        <v>3380</v>
      </c>
      <c r="I4060" s="859"/>
      <c r="J4060" s="857">
        <f>3*1.775*0.375</f>
        <v>1.9968749999999997</v>
      </c>
      <c r="K4060" s="783" t="str">
        <f>K4057</f>
        <v>SQM</v>
      </c>
      <c r="L4060" s="36"/>
      <c r="M4060" s="36"/>
      <c r="W4060" s="361"/>
    </row>
    <row r="4061" spans="6:23" ht="15.75">
      <c r="F4061" s="750"/>
      <c r="G4061" s="751"/>
      <c r="H4061" s="576" t="s">
        <v>3381</v>
      </c>
      <c r="I4061" s="750"/>
      <c r="J4061" s="863"/>
      <c r="K4061" s="817"/>
      <c r="L4061" s="36"/>
      <c r="M4061" s="36"/>
      <c r="W4061" s="361"/>
    </row>
    <row r="4062" spans="6:23" ht="15.75">
      <c r="F4062" s="818"/>
      <c r="G4062" s="751"/>
      <c r="H4062" s="576" t="s">
        <v>3382</v>
      </c>
      <c r="I4062" s="859"/>
      <c r="J4062" s="983">
        <f>1.775+0.375</f>
        <v>2.15</v>
      </c>
      <c r="K4062" s="783"/>
      <c r="L4062" s="574"/>
      <c r="M4062" s="36"/>
      <c r="W4062" s="361"/>
    </row>
    <row r="4063" spans="6:23" ht="15.75">
      <c r="F4063" s="818"/>
      <c r="G4063" s="751"/>
      <c r="H4063" s="750"/>
      <c r="I4063" s="984"/>
      <c r="J4063" s="825">
        <f>J4062*6</f>
        <v>12.899999999999999</v>
      </c>
      <c r="K4063" s="574" t="s">
        <v>31</v>
      </c>
      <c r="L4063" s="574"/>
      <c r="M4063" s="36"/>
      <c r="W4063" s="361"/>
    </row>
    <row r="4064" spans="6:23" ht="15.75">
      <c r="F4064" s="818"/>
      <c r="G4064" s="751"/>
      <c r="H4064" s="985" t="s">
        <v>3383</v>
      </c>
      <c r="I4064" s="984"/>
      <c r="J4064" s="577"/>
      <c r="K4064" s="574"/>
      <c r="L4064" s="574"/>
      <c r="M4064" s="36"/>
      <c r="W4064" s="361"/>
    </row>
    <row r="4065" spans="6:23" ht="15.75">
      <c r="F4065" s="813"/>
      <c r="G4065" s="751"/>
      <c r="H4065" s="764" t="s">
        <v>3384</v>
      </c>
      <c r="I4065" s="924"/>
      <c r="J4065" s="574"/>
      <c r="K4065" s="753"/>
      <c r="L4065" s="574"/>
      <c r="M4065" s="36"/>
      <c r="W4065" s="361"/>
    </row>
    <row r="4066" spans="6:23" ht="15.75">
      <c r="F4066" s="783">
        <f>J4054</f>
        <v>4.0499999999999994E-2</v>
      </c>
      <c r="G4066" s="576" t="s">
        <v>108</v>
      </c>
      <c r="H4066" s="576" t="s">
        <v>3385</v>
      </c>
      <c r="I4066" s="574">
        <f>V3116</f>
        <v>99765.440000000002</v>
      </c>
      <c r="J4066" s="577" t="s">
        <v>108</v>
      </c>
      <c r="K4066" s="574">
        <f>(F4066*I4066)</f>
        <v>4040.5003199999996</v>
      </c>
      <c r="L4066" s="574"/>
      <c r="M4066" s="36"/>
      <c r="W4066" s="361"/>
    </row>
    <row r="4067" spans="6:23" ht="15.75">
      <c r="F4067" s="783">
        <f>J4057</f>
        <v>2.8499999999999996</v>
      </c>
      <c r="G4067" s="368" t="s">
        <v>107</v>
      </c>
      <c r="H4067" s="576" t="s">
        <v>1880</v>
      </c>
      <c r="I4067" s="574">
        <f>V3118</f>
        <v>1723.2</v>
      </c>
      <c r="J4067" s="368" t="s">
        <v>107</v>
      </c>
      <c r="K4067" s="574">
        <f>(F4067*I4067)</f>
        <v>4911.12</v>
      </c>
      <c r="L4067" s="574"/>
      <c r="M4067" s="36"/>
      <c r="W4067" s="361"/>
    </row>
    <row r="4068" spans="6:23" ht="15.75">
      <c r="F4068" s="783">
        <f>J4060</f>
        <v>1.9968749999999997</v>
      </c>
      <c r="G4068" s="368" t="s">
        <v>107</v>
      </c>
      <c r="H4068" s="576" t="s">
        <v>3379</v>
      </c>
      <c r="I4068" s="574">
        <f>V3117</f>
        <v>306.89999999999998</v>
      </c>
      <c r="J4068" s="368" t="s">
        <v>107</v>
      </c>
      <c r="K4068" s="574">
        <f t="shared" ref="K4068:K4074" si="385">(F4068*I4068)</f>
        <v>612.84093749999988</v>
      </c>
      <c r="L4068" s="574"/>
      <c r="M4068" s="36"/>
      <c r="W4068" s="361"/>
    </row>
    <row r="4069" spans="6:23" ht="15.75">
      <c r="F4069" s="574">
        <f>J4063</f>
        <v>12.899999999999999</v>
      </c>
      <c r="G4069" s="574" t="s">
        <v>31</v>
      </c>
      <c r="H4069" s="764" t="s">
        <v>3386</v>
      </c>
      <c r="I4069" s="574">
        <f t="shared" ref="I4069:I4074" si="386">V3119</f>
        <v>15.45</v>
      </c>
      <c r="J4069" s="574" t="s">
        <v>31</v>
      </c>
      <c r="K4069" s="574">
        <f t="shared" si="385"/>
        <v>199.30499999999998</v>
      </c>
      <c r="L4069" s="574"/>
      <c r="M4069" s="36"/>
      <c r="W4069" s="361"/>
    </row>
    <row r="4070" spans="6:23" ht="15.75">
      <c r="F4070" s="574">
        <v>9</v>
      </c>
      <c r="G4070" s="368" t="s">
        <v>151</v>
      </c>
      <c r="H4070" s="356" t="s">
        <v>1912</v>
      </c>
      <c r="I4070" s="574">
        <f t="shared" si="386"/>
        <v>89.6</v>
      </c>
      <c r="J4070" s="356" t="s">
        <v>151</v>
      </c>
      <c r="K4070" s="574">
        <f t="shared" si="385"/>
        <v>806.4</v>
      </c>
      <c r="L4070" s="574"/>
      <c r="M4070" s="36"/>
      <c r="W4070" s="361"/>
    </row>
    <row r="4071" spans="6:23" ht="15.75">
      <c r="F4071" s="574">
        <v>6</v>
      </c>
      <c r="G4071" s="368" t="s">
        <v>151</v>
      </c>
      <c r="H4071" s="356" t="s">
        <v>2961</v>
      </c>
      <c r="I4071" s="574">
        <f t="shared" si="386"/>
        <v>82.25</v>
      </c>
      <c r="J4071" s="356" t="s">
        <v>151</v>
      </c>
      <c r="K4071" s="574">
        <f t="shared" si="385"/>
        <v>493.5</v>
      </c>
      <c r="L4071" s="574"/>
      <c r="M4071" s="36"/>
      <c r="W4071" s="361"/>
    </row>
    <row r="4072" spans="6:23" ht="15.75">
      <c r="F4072" s="574">
        <v>3</v>
      </c>
      <c r="G4072" s="368" t="s">
        <v>151</v>
      </c>
      <c r="H4072" s="356" t="s">
        <v>2964</v>
      </c>
      <c r="I4072" s="574">
        <f t="shared" si="386"/>
        <v>57.65</v>
      </c>
      <c r="J4072" s="356" t="s">
        <v>151</v>
      </c>
      <c r="K4072" s="574">
        <f t="shared" si="385"/>
        <v>172.95</v>
      </c>
      <c r="L4072" s="574"/>
      <c r="M4072" s="36"/>
      <c r="W4072" s="361"/>
    </row>
    <row r="4073" spans="6:23" ht="15.75">
      <c r="F4073" s="574">
        <v>3</v>
      </c>
      <c r="G4073" s="368" t="s">
        <v>151</v>
      </c>
      <c r="H4073" s="356" t="s">
        <v>993</v>
      </c>
      <c r="I4073" s="574">
        <f t="shared" si="386"/>
        <v>7.3</v>
      </c>
      <c r="J4073" s="356" t="s">
        <v>151</v>
      </c>
      <c r="K4073" s="574">
        <f t="shared" si="385"/>
        <v>21.9</v>
      </c>
      <c r="L4073" s="574"/>
      <c r="M4073" s="36"/>
      <c r="W4073" s="361"/>
    </row>
    <row r="4074" spans="6:23" ht="15.75">
      <c r="F4074" s="574">
        <v>120</v>
      </c>
      <c r="G4074" s="368" t="s">
        <v>151</v>
      </c>
      <c r="H4074" s="356" t="s">
        <v>3387</v>
      </c>
      <c r="I4074" s="574">
        <f t="shared" si="386"/>
        <v>2.41</v>
      </c>
      <c r="J4074" s="356" t="s">
        <v>151</v>
      </c>
      <c r="K4074" s="574">
        <f t="shared" si="385"/>
        <v>289.20000000000005</v>
      </c>
      <c r="L4074" s="574"/>
      <c r="M4074" s="36"/>
      <c r="W4074" s="361"/>
    </row>
    <row r="4075" spans="6:23" ht="15.75">
      <c r="F4075" s="574"/>
      <c r="G4075" s="757"/>
      <c r="H4075" s="576"/>
      <c r="I4075" s="924"/>
      <c r="J4075" s="574"/>
      <c r="K4075" s="758" t="s">
        <v>117</v>
      </c>
      <c r="L4075" s="574"/>
      <c r="M4075" s="36"/>
      <c r="W4075" s="361"/>
    </row>
    <row r="4076" spans="6:23" ht="15.75">
      <c r="F4076" s="750"/>
      <c r="G4076" s="751"/>
      <c r="H4076" s="576" t="s">
        <v>3388</v>
      </c>
      <c r="I4076" s="924"/>
      <c r="J4076" s="577"/>
      <c r="K4076" s="754">
        <f>SUM(K4066:K4075)</f>
        <v>11547.7162575</v>
      </c>
      <c r="L4076" s="880"/>
      <c r="M4076" s="36"/>
      <c r="W4076" s="361"/>
    </row>
    <row r="4077" spans="6:23" ht="15.75">
      <c r="F4077" s="750"/>
      <c r="G4077" s="751"/>
      <c r="H4077" s="924"/>
      <c r="I4077" s="574"/>
      <c r="J4077" s="753"/>
      <c r="K4077" s="758" t="s">
        <v>117</v>
      </c>
      <c r="L4077" s="924"/>
      <c r="M4077" s="36"/>
      <c r="W4077" s="361"/>
    </row>
    <row r="4078" spans="6:23" ht="15.75">
      <c r="F4078" s="750"/>
      <c r="G4078" s="751"/>
      <c r="H4078" s="754" t="s">
        <v>392</v>
      </c>
      <c r="I4078" s="574"/>
      <c r="J4078" s="753"/>
      <c r="K4078" s="933">
        <f>K4076/F4067</f>
        <v>4051.8302657894742</v>
      </c>
      <c r="L4078" s="574">
        <f>SUM(L4062:L4077)</f>
        <v>0</v>
      </c>
      <c r="M4078" s="36"/>
      <c r="W4078" s="361"/>
    </row>
    <row r="4079" spans="6:23" ht="15.75">
      <c r="F4079" s="750"/>
      <c r="G4079" s="751"/>
      <c r="H4079" s="750"/>
      <c r="I4079" s="574"/>
      <c r="J4079" s="753"/>
      <c r="K4079" s="924"/>
      <c r="L4079" s="924"/>
      <c r="M4079" s="36"/>
      <c r="W4079" s="361"/>
    </row>
    <row r="4080" spans="6:23" ht="15.75">
      <c r="F4080" s="750"/>
      <c r="G4080" s="751"/>
      <c r="H4080" s="764"/>
      <c r="I4080" s="750"/>
      <c r="J4080" s="986"/>
      <c r="K4080" s="986"/>
      <c r="L4080" s="986"/>
      <c r="M4080" s="986"/>
      <c r="W4080" s="361"/>
    </row>
    <row r="4081" spans="7:23" ht="15">
      <c r="G4081" s="35"/>
      <c r="J4081" s="35"/>
      <c r="L4081" s="36"/>
      <c r="M4081" s="36"/>
      <c r="W4081" s="361"/>
    </row>
    <row r="4082" spans="7:23" ht="15">
      <c r="W4082" s="361"/>
    </row>
    <row r="4083" spans="7:23" ht="15">
      <c r="W4083" s="361"/>
    </row>
    <row r="4084" spans="7:23" ht="15">
      <c r="W4084" s="361"/>
    </row>
    <row r="4085" spans="7:23" ht="15">
      <c r="W4085" s="361"/>
    </row>
    <row r="4086" spans="7:23" ht="15">
      <c r="W4086" s="361"/>
    </row>
    <row r="4087" spans="7:23" ht="15">
      <c r="W4087" s="361"/>
    </row>
    <row r="4088" spans="7:23" ht="15">
      <c r="W4088" s="361"/>
    </row>
    <row r="4089" spans="7:23" ht="15">
      <c r="W4089" s="361"/>
    </row>
    <row r="4090" spans="7:23" ht="15">
      <c r="W4090" s="361"/>
    </row>
    <row r="4091" spans="7:23" ht="15">
      <c r="W4091" s="361"/>
    </row>
    <row r="4092" spans="7:23" ht="15">
      <c r="W4092" s="361"/>
    </row>
    <row r="4093" spans="7:23" ht="15">
      <c r="W4093" s="361"/>
    </row>
    <row r="4094" spans="7:23" ht="15">
      <c r="W4094" s="361"/>
    </row>
    <row r="4095" spans="7:23" ht="15">
      <c r="W4095" s="361"/>
    </row>
    <row r="4096" spans="7:23" ht="15">
      <c r="W4096" s="361"/>
    </row>
    <row r="4097" spans="23:23" ht="15">
      <c r="W4097" s="361"/>
    </row>
    <row r="4098" spans="23:23" ht="15">
      <c r="W4098" s="361"/>
    </row>
    <row r="4099" spans="23:23" ht="15">
      <c r="W4099" s="361"/>
    </row>
    <row r="4100" spans="23:23" ht="15">
      <c r="W4100" s="361"/>
    </row>
    <row r="4101" spans="23:23" ht="15">
      <c r="W4101" s="361"/>
    </row>
    <row r="4102" spans="23:23" ht="15">
      <c r="W4102" s="361"/>
    </row>
    <row r="4103" spans="23:23" ht="15">
      <c r="W4103" s="361"/>
    </row>
    <row r="4104" spans="23:23" ht="15">
      <c r="W4104" s="361"/>
    </row>
    <row r="4105" spans="23:23" ht="15">
      <c r="W4105" s="361"/>
    </row>
    <row r="4106" spans="23:23" ht="15">
      <c r="W4106" s="361"/>
    </row>
    <row r="4107" spans="23:23" ht="15">
      <c r="W4107" s="361"/>
    </row>
    <row r="4108" spans="23:23" ht="15">
      <c r="W4108" s="361"/>
    </row>
    <row r="4109" spans="23:23" ht="15">
      <c r="W4109" s="361"/>
    </row>
    <row r="4110" spans="23:23" ht="15">
      <c r="W4110" s="361"/>
    </row>
    <row r="4111" spans="23:23" ht="15">
      <c r="W4111" s="361"/>
    </row>
    <row r="4112" spans="23:23" ht="15">
      <c r="W4112" s="361"/>
    </row>
    <row r="4113" spans="23:23" ht="15">
      <c r="W4113" s="361"/>
    </row>
    <row r="4114" spans="23:23" ht="15">
      <c r="W4114" s="361"/>
    </row>
    <row r="4115" spans="23:23" ht="15">
      <c r="W4115" s="361"/>
    </row>
    <row r="4116" spans="23:23" ht="15">
      <c r="W4116" s="361"/>
    </row>
    <row r="4117" spans="23:23" ht="15">
      <c r="W4117" s="361"/>
    </row>
    <row r="4118" spans="23:23" ht="15">
      <c r="W4118" s="361"/>
    </row>
    <row r="4119" spans="23:23" ht="15">
      <c r="W4119" s="361"/>
    </row>
    <row r="4120" spans="23:23" ht="15">
      <c r="W4120" s="361"/>
    </row>
    <row r="4121" spans="23:23" ht="15">
      <c r="W4121" s="361"/>
    </row>
    <row r="4122" spans="23:23" ht="15">
      <c r="W4122" s="361"/>
    </row>
    <row r="4123" spans="23:23" ht="15">
      <c r="W4123" s="361"/>
    </row>
    <row r="4124" spans="23:23" ht="15">
      <c r="W4124" s="361"/>
    </row>
    <row r="4125" spans="23:23" ht="15">
      <c r="W4125" s="361"/>
    </row>
    <row r="4126" spans="23:23" ht="15">
      <c r="W4126" s="361"/>
    </row>
    <row r="4127" spans="23:23" ht="15">
      <c r="W4127" s="361"/>
    </row>
    <row r="4128" spans="23:23" ht="15">
      <c r="W4128" s="361"/>
    </row>
    <row r="4129" spans="23:23" ht="15">
      <c r="W4129" s="361"/>
    </row>
    <row r="4130" spans="23:23" ht="15">
      <c r="W4130" s="361"/>
    </row>
    <row r="4131" spans="23:23" ht="15">
      <c r="W4131" s="361"/>
    </row>
    <row r="4132" spans="23:23" ht="15">
      <c r="W4132" s="361"/>
    </row>
    <row r="4133" spans="23:23" ht="15">
      <c r="W4133" s="361"/>
    </row>
    <row r="4134" spans="23:23" ht="15">
      <c r="W4134" s="361"/>
    </row>
    <row r="4135" spans="23:23" ht="15">
      <c r="W4135" s="361"/>
    </row>
    <row r="4136" spans="23:23" ht="15">
      <c r="W4136" s="361"/>
    </row>
    <row r="4137" spans="23:23" ht="15">
      <c r="W4137" s="361"/>
    </row>
    <row r="4138" spans="23:23" ht="15">
      <c r="W4138" s="361"/>
    </row>
    <row r="4139" spans="23:23" ht="15">
      <c r="W4139" s="361"/>
    </row>
    <row r="4140" spans="23:23" ht="15">
      <c r="W4140" s="361"/>
    </row>
    <row r="4141" spans="23:23" ht="15">
      <c r="W4141" s="361"/>
    </row>
    <row r="4142" spans="23:23" ht="15">
      <c r="W4142" s="361"/>
    </row>
    <row r="4143" spans="23:23" ht="15">
      <c r="W4143" s="361"/>
    </row>
    <row r="4144" spans="23:23" ht="15">
      <c r="W4144" s="361"/>
    </row>
    <row r="4145" spans="23:23" ht="15">
      <c r="W4145" s="361"/>
    </row>
    <row r="4146" spans="23:23" ht="15">
      <c r="W4146" s="361"/>
    </row>
    <row r="4147" spans="23:23" ht="15">
      <c r="W4147" s="361"/>
    </row>
    <row r="4148" spans="23:23" ht="15">
      <c r="W4148" s="361"/>
    </row>
    <row r="4149" spans="23:23" ht="15">
      <c r="W4149" s="361"/>
    </row>
    <row r="4150" spans="23:23" ht="15">
      <c r="W4150" s="361"/>
    </row>
    <row r="4151" spans="23:23" ht="15">
      <c r="W4151" s="361"/>
    </row>
    <row r="4152" spans="23:23" ht="15">
      <c r="W4152" s="361"/>
    </row>
    <row r="4153" spans="23:23" ht="15">
      <c r="W4153" s="361"/>
    </row>
    <row r="4154" spans="23:23" ht="15">
      <c r="W4154" s="361"/>
    </row>
    <row r="4155" spans="23:23" ht="15">
      <c r="W4155" s="361"/>
    </row>
    <row r="4156" spans="23:23" ht="15">
      <c r="W4156" s="361"/>
    </row>
    <row r="4157" spans="23:23" ht="15">
      <c r="W4157" s="361"/>
    </row>
    <row r="4158" spans="23:23" ht="15">
      <c r="W4158" s="361"/>
    </row>
    <row r="4159" spans="23:23" ht="15">
      <c r="W4159" s="361"/>
    </row>
    <row r="4160" spans="23:23" ht="15">
      <c r="W4160" s="361"/>
    </row>
    <row r="4161" spans="23:23" ht="15">
      <c r="W4161" s="361"/>
    </row>
    <row r="4162" spans="23:23" ht="15">
      <c r="W4162" s="361"/>
    </row>
    <row r="4163" spans="23:23" ht="15">
      <c r="W4163" s="361"/>
    </row>
    <row r="4164" spans="23:23" ht="15">
      <c r="W4164" s="361"/>
    </row>
    <row r="4165" spans="23:23" ht="15">
      <c r="W4165" s="361"/>
    </row>
    <row r="4166" spans="23:23" ht="15">
      <c r="W4166" s="361"/>
    </row>
    <row r="4167" spans="23:23" ht="15">
      <c r="W4167" s="361"/>
    </row>
    <row r="4168" spans="23:23" ht="15">
      <c r="W4168" s="361"/>
    </row>
    <row r="4169" spans="23:23" ht="15">
      <c r="W4169" s="361"/>
    </row>
    <row r="4170" spans="23:23" ht="15">
      <c r="W4170" s="361"/>
    </row>
    <row r="4171" spans="23:23" ht="15">
      <c r="W4171" s="361"/>
    </row>
    <row r="4172" spans="23:23" ht="15">
      <c r="W4172" s="361"/>
    </row>
    <row r="4173" spans="23:23" ht="15">
      <c r="W4173" s="361"/>
    </row>
    <row r="4174" spans="23:23" ht="15">
      <c r="W4174" s="361"/>
    </row>
    <row r="4175" spans="23:23" ht="15">
      <c r="W4175" s="361"/>
    </row>
    <row r="4176" spans="23:23" ht="15">
      <c r="W4176" s="361"/>
    </row>
    <row r="4177" spans="23:23" ht="15">
      <c r="W4177" s="361"/>
    </row>
    <row r="4178" spans="23:23" ht="15">
      <c r="W4178" s="361"/>
    </row>
    <row r="4179" spans="23:23" ht="15">
      <c r="W4179" s="361"/>
    </row>
    <row r="4180" spans="23:23" ht="15">
      <c r="W4180" s="361"/>
    </row>
    <row r="4181" spans="23:23" ht="15">
      <c r="W4181" s="361"/>
    </row>
    <row r="4182" spans="23:23" ht="15">
      <c r="W4182" s="361"/>
    </row>
    <row r="4183" spans="23:23" ht="15">
      <c r="W4183" s="361"/>
    </row>
    <row r="4184" spans="23:23" ht="15">
      <c r="W4184" s="361"/>
    </row>
    <row r="4185" spans="23:23" ht="15">
      <c r="W4185" s="361"/>
    </row>
    <row r="4186" spans="23:23" ht="15">
      <c r="W4186" s="361"/>
    </row>
    <row r="4187" spans="23:23" ht="15">
      <c r="W4187" s="361"/>
    </row>
    <row r="4188" spans="23:23" ht="15">
      <c r="W4188" s="361"/>
    </row>
    <row r="4189" spans="23:23" ht="15">
      <c r="W4189" s="361"/>
    </row>
    <row r="4190" spans="23:23" ht="15">
      <c r="W4190" s="361"/>
    </row>
    <row r="4191" spans="23:23" ht="15">
      <c r="W4191" s="361"/>
    </row>
    <row r="4192" spans="23:23" ht="15">
      <c r="W4192" s="361"/>
    </row>
    <row r="4193" spans="23:23" ht="15">
      <c r="W4193" s="361"/>
    </row>
    <row r="4194" spans="23:23" ht="15">
      <c r="W4194" s="361"/>
    </row>
    <row r="4195" spans="23:23" ht="15">
      <c r="W4195" s="361"/>
    </row>
    <row r="4196" spans="23:23" ht="15">
      <c r="W4196" s="361"/>
    </row>
    <row r="4197" spans="23:23" ht="15">
      <c r="W4197" s="361"/>
    </row>
    <row r="4198" spans="23:23" ht="15">
      <c r="W4198" s="361"/>
    </row>
    <row r="4199" spans="23:23" ht="15">
      <c r="W4199" s="361"/>
    </row>
    <row r="4200" spans="23:23" ht="15">
      <c r="W4200" s="361"/>
    </row>
    <row r="4201" spans="23:23" ht="15">
      <c r="W4201" s="361"/>
    </row>
    <row r="4202" spans="23:23" ht="15">
      <c r="W4202" s="361"/>
    </row>
    <row r="4203" spans="23:23" ht="15">
      <c r="W4203" s="361"/>
    </row>
    <row r="4204" spans="23:23" ht="15">
      <c r="W4204" s="361"/>
    </row>
    <row r="4205" spans="23:23" ht="15">
      <c r="W4205" s="361"/>
    </row>
    <row r="4206" spans="23:23" ht="15">
      <c r="W4206" s="361"/>
    </row>
    <row r="4207" spans="23:23" ht="15">
      <c r="W4207" s="361"/>
    </row>
    <row r="4208" spans="23:23" ht="15">
      <c r="W4208" s="361"/>
    </row>
    <row r="4209" spans="23:23" ht="15">
      <c r="W4209" s="361"/>
    </row>
    <row r="4210" spans="23:23" ht="15">
      <c r="W4210" s="361"/>
    </row>
    <row r="4211" spans="23:23" ht="15">
      <c r="W4211" s="361"/>
    </row>
    <row r="4212" spans="23:23" ht="15">
      <c r="W4212" s="361"/>
    </row>
    <row r="4213" spans="23:23" ht="15">
      <c r="W4213" s="361"/>
    </row>
    <row r="4214" spans="23:23" ht="15">
      <c r="W4214" s="361"/>
    </row>
    <row r="4215" spans="23:23" ht="15">
      <c r="W4215" s="361"/>
    </row>
    <row r="4216" spans="23:23" ht="15">
      <c r="W4216" s="361"/>
    </row>
    <row r="4217" spans="23:23" ht="15">
      <c r="W4217" s="361"/>
    </row>
    <row r="4218" spans="23:23" ht="15">
      <c r="W4218" s="361"/>
    </row>
    <row r="4219" spans="23:23" ht="15">
      <c r="W4219" s="361"/>
    </row>
    <row r="4220" spans="23:23" ht="15">
      <c r="W4220" s="361"/>
    </row>
    <row r="4221" spans="23:23" ht="15">
      <c r="W4221" s="361"/>
    </row>
    <row r="4222" spans="23:23" ht="15">
      <c r="W4222" s="361"/>
    </row>
    <row r="4223" spans="23:23" ht="15">
      <c r="W4223" s="361"/>
    </row>
    <row r="4224" spans="23:23" ht="15">
      <c r="W4224" s="361"/>
    </row>
    <row r="4225" spans="23:23" ht="15">
      <c r="W4225" s="361"/>
    </row>
    <row r="4226" spans="23:23" ht="15">
      <c r="W4226" s="361"/>
    </row>
    <row r="4227" spans="23:23" ht="15">
      <c r="W4227" s="361"/>
    </row>
    <row r="4228" spans="23:23" ht="15">
      <c r="W4228" s="361"/>
    </row>
    <row r="4229" spans="23:23" ht="15">
      <c r="W4229" s="361"/>
    </row>
    <row r="4230" spans="23:23" ht="15">
      <c r="W4230" s="361"/>
    </row>
    <row r="4231" spans="23:23" ht="15">
      <c r="W4231" s="361"/>
    </row>
    <row r="4232" spans="23:23" ht="15">
      <c r="W4232" s="361"/>
    </row>
    <row r="4233" spans="23:23" ht="15">
      <c r="W4233" s="361"/>
    </row>
    <row r="4234" spans="23:23" ht="15">
      <c r="W4234" s="361"/>
    </row>
    <row r="4235" spans="23:23" ht="15">
      <c r="W4235" s="361"/>
    </row>
    <row r="4236" spans="23:23" ht="15">
      <c r="W4236" s="361"/>
    </row>
    <row r="4237" spans="23:23" ht="15">
      <c r="W4237" s="361"/>
    </row>
    <row r="4238" spans="23:23" ht="15">
      <c r="W4238" s="361"/>
    </row>
    <row r="4239" spans="23:23" ht="15">
      <c r="W4239" s="361"/>
    </row>
    <row r="4240" spans="23:23" ht="15">
      <c r="W4240" s="361"/>
    </row>
    <row r="4241" spans="23:23" ht="15">
      <c r="W4241" s="361"/>
    </row>
    <row r="4242" spans="23:23" ht="15">
      <c r="W4242" s="361"/>
    </row>
    <row r="4243" spans="23:23" ht="15">
      <c r="W4243" s="361"/>
    </row>
    <row r="4244" spans="23:23" ht="15">
      <c r="W4244" s="361"/>
    </row>
    <row r="4245" spans="23:23" ht="15">
      <c r="W4245" s="361"/>
    </row>
    <row r="4246" spans="23:23" ht="15">
      <c r="W4246" s="361"/>
    </row>
    <row r="4247" spans="23:23" ht="15">
      <c r="W4247" s="361"/>
    </row>
    <row r="4248" spans="23:23" ht="15">
      <c r="W4248" s="361"/>
    </row>
    <row r="4249" spans="23:23" ht="15">
      <c r="W4249" s="361"/>
    </row>
    <row r="4250" spans="23:23" ht="15">
      <c r="W4250" s="361"/>
    </row>
    <row r="4251" spans="23:23" ht="15">
      <c r="W4251" s="361"/>
    </row>
    <row r="4252" spans="23:23" ht="15">
      <c r="W4252" s="361"/>
    </row>
    <row r="4253" spans="23:23" ht="15">
      <c r="W4253" s="361"/>
    </row>
    <row r="4254" spans="23:23" ht="15">
      <c r="W4254" s="361"/>
    </row>
    <row r="4255" spans="23:23" ht="15">
      <c r="W4255" s="361"/>
    </row>
    <row r="4256" spans="23:23" ht="15">
      <c r="W4256" s="361"/>
    </row>
    <row r="4257" spans="23:23" ht="15">
      <c r="W4257" s="361"/>
    </row>
    <row r="4258" spans="23:23" ht="15">
      <c r="W4258" s="361"/>
    </row>
    <row r="4259" spans="23:23" ht="15">
      <c r="W4259" s="361"/>
    </row>
    <row r="4260" spans="23:23" ht="15">
      <c r="W4260" s="361"/>
    </row>
    <row r="4261" spans="23:23" ht="15">
      <c r="W4261" s="361"/>
    </row>
    <row r="4262" spans="23:23" ht="15">
      <c r="W4262" s="361"/>
    </row>
    <row r="4263" spans="23:23" ht="15">
      <c r="W4263" s="361"/>
    </row>
    <row r="4264" spans="23:23" ht="15">
      <c r="W4264" s="361"/>
    </row>
    <row r="4265" spans="23:23" ht="15">
      <c r="W4265" s="361"/>
    </row>
    <row r="4266" spans="23:23" ht="15">
      <c r="W4266" s="361"/>
    </row>
    <row r="4267" spans="23:23" ht="15">
      <c r="W4267" s="361"/>
    </row>
    <row r="4268" spans="23:23" ht="15">
      <c r="W4268" s="361"/>
    </row>
    <row r="4269" spans="23:23" ht="15">
      <c r="W4269" s="361"/>
    </row>
    <row r="4270" spans="23:23" ht="15">
      <c r="W4270" s="361"/>
    </row>
    <row r="4271" spans="23:23" ht="15">
      <c r="W4271" s="361"/>
    </row>
    <row r="4272" spans="23:23" ht="15">
      <c r="W4272" s="361"/>
    </row>
    <row r="4273" spans="23:23" ht="15">
      <c r="W4273" s="361"/>
    </row>
    <row r="4274" spans="23:23" ht="15">
      <c r="W4274" s="361"/>
    </row>
    <row r="4275" spans="23:23" ht="15">
      <c r="W4275" s="361"/>
    </row>
    <row r="4276" spans="23:23" ht="15">
      <c r="W4276" s="361"/>
    </row>
    <row r="4277" spans="23:23" ht="15">
      <c r="W4277" s="361"/>
    </row>
    <row r="4278" spans="23:23" ht="15">
      <c r="W4278" s="361"/>
    </row>
    <row r="4279" spans="23:23" ht="15">
      <c r="W4279" s="361"/>
    </row>
    <row r="4280" spans="23:23" ht="15">
      <c r="W4280" s="361"/>
    </row>
    <row r="4281" spans="23:23" ht="15">
      <c r="W4281" s="361"/>
    </row>
    <row r="4282" spans="23:23" ht="15">
      <c r="W4282" s="361"/>
    </row>
    <row r="4283" spans="23:23" ht="15">
      <c r="W4283" s="361"/>
    </row>
    <row r="4284" spans="23:23" ht="15">
      <c r="W4284" s="361"/>
    </row>
    <row r="4285" spans="23:23" ht="15">
      <c r="W4285" s="361"/>
    </row>
    <row r="4286" spans="23:23" ht="15">
      <c r="W4286" s="361"/>
    </row>
    <row r="4287" spans="23:23" ht="15">
      <c r="W4287" s="361"/>
    </row>
    <row r="4288" spans="23:23" ht="15">
      <c r="W4288" s="361"/>
    </row>
    <row r="4289" spans="23:23" ht="15">
      <c r="W4289" s="361"/>
    </row>
    <row r="4290" spans="23:23" ht="15">
      <c r="W4290" s="361"/>
    </row>
    <row r="4291" spans="23:23" ht="15">
      <c r="W4291" s="361"/>
    </row>
    <row r="4292" spans="23:23" ht="15">
      <c r="W4292" s="361"/>
    </row>
    <row r="4293" spans="23:23" ht="15">
      <c r="W4293" s="361"/>
    </row>
    <row r="4294" spans="23:23" ht="15">
      <c r="W4294" s="361"/>
    </row>
    <row r="4295" spans="23:23" ht="15">
      <c r="W4295" s="361"/>
    </row>
    <row r="4296" spans="23:23" ht="15">
      <c r="W4296" s="361"/>
    </row>
    <row r="4297" spans="23:23" ht="15">
      <c r="W4297" s="361"/>
    </row>
    <row r="4298" spans="23:23" ht="15">
      <c r="W4298" s="361"/>
    </row>
    <row r="4299" spans="23:23" ht="15">
      <c r="W4299" s="361"/>
    </row>
    <row r="4300" spans="23:23" ht="15">
      <c r="W4300" s="361"/>
    </row>
    <row r="4301" spans="23:23" ht="15">
      <c r="W4301" s="361"/>
    </row>
    <row r="4302" spans="23:23" ht="15">
      <c r="W4302" s="361"/>
    </row>
    <row r="4303" spans="23:23" ht="15">
      <c r="W4303" s="361"/>
    </row>
    <row r="4304" spans="23:23" ht="15">
      <c r="W4304" s="361"/>
    </row>
    <row r="4305" spans="23:23" ht="15">
      <c r="W4305" s="361"/>
    </row>
    <row r="4306" spans="23:23" ht="15">
      <c r="W4306" s="361"/>
    </row>
    <row r="4307" spans="23:23" ht="15">
      <c r="W4307" s="361"/>
    </row>
    <row r="4308" spans="23:23" ht="15">
      <c r="W4308" s="361"/>
    </row>
    <row r="4309" spans="23:23" ht="15">
      <c r="W4309" s="361"/>
    </row>
    <row r="4310" spans="23:23" ht="15">
      <c r="W4310" s="361"/>
    </row>
    <row r="4311" spans="23:23" ht="15">
      <c r="W4311" s="361"/>
    </row>
    <row r="4312" spans="23:23" ht="15">
      <c r="W4312" s="361"/>
    </row>
    <row r="4313" spans="23:23" ht="15">
      <c r="W4313" s="361"/>
    </row>
    <row r="4314" spans="23:23" ht="15">
      <c r="W4314" s="361"/>
    </row>
    <row r="4315" spans="23:23" ht="15">
      <c r="W4315" s="361"/>
    </row>
    <row r="4316" spans="23:23" ht="15">
      <c r="W4316" s="361"/>
    </row>
    <row r="4317" spans="23:23" ht="15">
      <c r="W4317" s="361"/>
    </row>
    <row r="4318" spans="23:23" ht="15">
      <c r="W4318" s="361"/>
    </row>
    <row r="4319" spans="23:23" ht="15">
      <c r="W4319" s="361"/>
    </row>
    <row r="4320" spans="23:23" ht="15">
      <c r="W4320" s="361"/>
    </row>
    <row r="4321" spans="23:23" ht="15">
      <c r="W4321" s="361"/>
    </row>
    <row r="4322" spans="23:23" ht="15">
      <c r="W4322" s="361"/>
    </row>
    <row r="4323" spans="23:23" ht="15">
      <c r="W4323" s="361"/>
    </row>
    <row r="4324" spans="23:23" ht="15">
      <c r="W4324" s="361"/>
    </row>
    <row r="4325" spans="23:23" ht="15">
      <c r="W4325" s="361"/>
    </row>
    <row r="4326" spans="23:23" ht="15">
      <c r="W4326" s="361"/>
    </row>
    <row r="4327" spans="23:23" ht="15">
      <c r="W4327" s="361"/>
    </row>
    <row r="4328" spans="23:23" ht="15">
      <c r="W4328" s="361"/>
    </row>
    <row r="4329" spans="23:23" ht="15">
      <c r="W4329" s="361"/>
    </row>
    <row r="4330" spans="23:23" ht="15">
      <c r="W4330" s="361"/>
    </row>
    <row r="4331" spans="23:23" ht="15">
      <c r="W4331" s="361"/>
    </row>
    <row r="4332" spans="23:23" ht="15">
      <c r="W4332" s="361"/>
    </row>
    <row r="4333" spans="23:23" ht="15">
      <c r="W4333" s="361"/>
    </row>
    <row r="4334" spans="23:23" ht="15">
      <c r="W4334" s="361"/>
    </row>
    <row r="4335" spans="23:23" ht="15">
      <c r="W4335" s="361"/>
    </row>
    <row r="4336" spans="23:23" ht="15">
      <c r="W4336" s="361"/>
    </row>
    <row r="4337" spans="23:23" ht="15">
      <c r="W4337" s="361"/>
    </row>
    <row r="4338" spans="23:23" ht="15">
      <c r="W4338" s="361"/>
    </row>
    <row r="4339" spans="23:23" ht="15">
      <c r="W4339" s="361"/>
    </row>
    <row r="4340" spans="23:23" ht="15">
      <c r="W4340" s="361"/>
    </row>
    <row r="4341" spans="23:23" ht="15">
      <c r="W4341" s="361"/>
    </row>
    <row r="4342" spans="23:23" ht="15">
      <c r="W4342" s="361"/>
    </row>
    <row r="4343" spans="23:23" ht="15">
      <c r="W4343" s="361"/>
    </row>
    <row r="4344" spans="23:23" ht="15">
      <c r="W4344" s="361"/>
    </row>
    <row r="4345" spans="23:23" ht="15">
      <c r="W4345" s="361"/>
    </row>
    <row r="4346" spans="23:23" ht="15">
      <c r="W4346" s="361"/>
    </row>
    <row r="4347" spans="23:23" ht="15">
      <c r="W4347" s="361"/>
    </row>
    <row r="4348" spans="23:23" ht="15">
      <c r="W4348" s="361"/>
    </row>
    <row r="4349" spans="23:23" ht="15">
      <c r="W4349" s="361"/>
    </row>
    <row r="4350" spans="23:23" ht="15">
      <c r="W4350" s="361"/>
    </row>
    <row r="4351" spans="23:23" ht="15">
      <c r="W4351" s="361"/>
    </row>
    <row r="4352" spans="23:23" ht="15">
      <c r="W4352" s="361"/>
    </row>
    <row r="4353" spans="23:23" ht="15">
      <c r="W4353" s="361"/>
    </row>
    <row r="4354" spans="23:23" ht="15">
      <c r="W4354" s="361"/>
    </row>
    <row r="4355" spans="23:23" ht="15">
      <c r="W4355" s="361"/>
    </row>
    <row r="4356" spans="23:23" ht="15">
      <c r="W4356" s="361"/>
    </row>
    <row r="4357" spans="23:23" ht="15">
      <c r="W4357" s="361"/>
    </row>
    <row r="4358" spans="23:23" ht="15">
      <c r="W4358" s="361"/>
    </row>
    <row r="4359" spans="23:23" ht="15">
      <c r="W4359" s="361"/>
    </row>
    <row r="4360" spans="23:23" ht="15">
      <c r="W4360" s="361"/>
    </row>
    <row r="4361" spans="23:23" ht="15">
      <c r="W4361" s="361"/>
    </row>
    <row r="4362" spans="23:23" ht="15">
      <c r="W4362" s="361"/>
    </row>
    <row r="4363" spans="23:23" ht="15">
      <c r="W4363" s="361"/>
    </row>
    <row r="4364" spans="23:23" ht="15">
      <c r="W4364" s="361"/>
    </row>
    <row r="4365" spans="23:23" ht="15">
      <c r="W4365" s="361"/>
    </row>
    <row r="4366" spans="23:23" ht="15">
      <c r="W4366" s="361"/>
    </row>
    <row r="4367" spans="23:23" ht="15">
      <c r="W4367" s="361"/>
    </row>
    <row r="4368" spans="23:23" ht="15">
      <c r="W4368" s="361"/>
    </row>
    <row r="4369" spans="23:23" ht="15">
      <c r="W4369" s="361"/>
    </row>
    <row r="4370" spans="23:23" ht="15">
      <c r="W4370" s="361"/>
    </row>
    <row r="4371" spans="23:23" ht="15">
      <c r="W4371" s="361"/>
    </row>
    <row r="4372" spans="23:23" ht="15">
      <c r="W4372" s="361"/>
    </row>
    <row r="4373" spans="23:23" ht="15">
      <c r="W4373" s="361"/>
    </row>
    <row r="4374" spans="23:23" ht="15">
      <c r="W4374" s="361"/>
    </row>
    <row r="4375" spans="23:23" ht="15">
      <c r="W4375" s="361"/>
    </row>
    <row r="4376" spans="23:23" ht="15">
      <c r="W4376" s="361"/>
    </row>
    <row r="4377" spans="23:23" ht="15">
      <c r="W4377" s="361"/>
    </row>
    <row r="4378" spans="23:23" ht="15">
      <c r="W4378" s="361"/>
    </row>
    <row r="4379" spans="23:23" ht="15">
      <c r="W4379" s="361"/>
    </row>
    <row r="4380" spans="23:23" ht="15">
      <c r="W4380" s="361"/>
    </row>
    <row r="4381" spans="23:23" ht="15">
      <c r="W4381" s="361"/>
    </row>
    <row r="4382" spans="23:23" ht="15">
      <c r="W4382" s="361"/>
    </row>
    <row r="4383" spans="23:23" ht="15">
      <c r="W4383" s="361"/>
    </row>
    <row r="4384" spans="23:23" ht="15">
      <c r="W4384" s="361"/>
    </row>
    <row r="4385" spans="23:23" ht="15">
      <c r="W4385" s="361"/>
    </row>
    <row r="4386" spans="23:23" ht="15">
      <c r="W4386" s="361"/>
    </row>
    <row r="4387" spans="23:23" ht="15">
      <c r="W4387" s="361"/>
    </row>
    <row r="4388" spans="23:23" ht="15">
      <c r="W4388" s="361"/>
    </row>
    <row r="4389" spans="23:23" ht="15">
      <c r="W4389" s="361"/>
    </row>
    <row r="4390" spans="23:23" ht="15">
      <c r="W4390" s="361"/>
    </row>
    <row r="4391" spans="23:23" ht="15">
      <c r="W4391" s="361"/>
    </row>
    <row r="4392" spans="23:23" ht="15">
      <c r="W4392" s="361"/>
    </row>
    <row r="4393" spans="23:23" ht="15">
      <c r="W4393" s="361"/>
    </row>
    <row r="4394" spans="23:23" ht="15">
      <c r="W4394" s="361"/>
    </row>
    <row r="4395" spans="23:23" ht="15">
      <c r="W4395" s="361"/>
    </row>
    <row r="4396" spans="23:23" ht="15">
      <c r="W4396" s="361"/>
    </row>
    <row r="4397" spans="23:23" ht="15">
      <c r="W4397" s="361"/>
    </row>
    <row r="4398" spans="23:23" ht="15">
      <c r="W4398" s="361"/>
    </row>
    <row r="4399" spans="23:23" ht="15">
      <c r="W4399" s="361"/>
    </row>
    <row r="4400" spans="23:23" ht="15">
      <c r="W4400" s="361"/>
    </row>
    <row r="4401" spans="23:23" ht="15">
      <c r="W4401" s="361"/>
    </row>
    <row r="4402" spans="23:23" ht="15">
      <c r="W4402" s="361"/>
    </row>
    <row r="4403" spans="23:23" ht="15">
      <c r="W4403" s="361"/>
    </row>
    <row r="4404" spans="23:23" ht="15">
      <c r="W4404" s="361"/>
    </row>
    <row r="4405" spans="23:23" ht="15">
      <c r="W4405" s="361"/>
    </row>
    <row r="4406" spans="23:23" ht="15">
      <c r="W4406" s="361"/>
    </row>
    <row r="4407" spans="23:23" ht="15">
      <c r="W4407" s="361"/>
    </row>
    <row r="4408" spans="23:23" ht="15">
      <c r="W4408" s="361"/>
    </row>
    <row r="4409" spans="23:23" ht="15">
      <c r="W4409" s="361"/>
    </row>
    <row r="4410" spans="23:23" ht="15">
      <c r="W4410" s="361"/>
    </row>
    <row r="4411" spans="23:23" ht="15">
      <c r="W4411" s="361"/>
    </row>
    <row r="4412" spans="23:23" ht="15">
      <c r="W4412" s="361"/>
    </row>
    <row r="4413" spans="23:23" ht="15">
      <c r="W4413" s="361"/>
    </row>
    <row r="4414" spans="23:23" ht="15">
      <c r="W4414" s="361"/>
    </row>
    <row r="4415" spans="23:23" ht="15">
      <c r="W4415" s="361"/>
    </row>
    <row r="4416" spans="23:23" ht="15">
      <c r="W4416" s="361"/>
    </row>
    <row r="4417" spans="23:23" ht="15">
      <c r="W4417" s="361"/>
    </row>
    <row r="4418" spans="23:23" ht="15">
      <c r="W4418" s="361"/>
    </row>
    <row r="4419" spans="23:23" ht="15">
      <c r="W4419" s="361"/>
    </row>
    <row r="4420" spans="23:23" ht="15">
      <c r="W4420" s="361"/>
    </row>
    <row r="4421" spans="23:23" ht="15">
      <c r="W4421" s="361"/>
    </row>
    <row r="4422" spans="23:23" ht="15">
      <c r="W4422" s="361"/>
    </row>
    <row r="4423" spans="23:23" ht="15">
      <c r="W4423" s="361"/>
    </row>
    <row r="4424" spans="23:23" ht="15">
      <c r="W4424" s="361"/>
    </row>
    <row r="4425" spans="23:23" ht="15">
      <c r="W4425" s="361"/>
    </row>
    <row r="4426" spans="23:23" ht="15">
      <c r="W4426" s="361"/>
    </row>
    <row r="4427" spans="23:23" ht="15">
      <c r="W4427" s="361"/>
    </row>
    <row r="4428" spans="23:23" ht="15">
      <c r="W4428" s="361"/>
    </row>
    <row r="4429" spans="23:23" ht="15">
      <c r="W4429" s="361"/>
    </row>
    <row r="4430" spans="23:23" ht="15">
      <c r="W4430" s="361"/>
    </row>
    <row r="4431" spans="23:23" ht="15">
      <c r="W4431" s="361"/>
    </row>
    <row r="4432" spans="23:23" ht="15">
      <c r="W4432" s="361"/>
    </row>
    <row r="4433" spans="23:23" ht="15">
      <c r="W4433" s="361"/>
    </row>
    <row r="4434" spans="23:23" ht="15">
      <c r="W4434" s="361"/>
    </row>
    <row r="4435" spans="23:23" ht="15">
      <c r="W4435" s="361"/>
    </row>
    <row r="4436" spans="23:23" ht="15">
      <c r="W4436" s="361"/>
    </row>
    <row r="4437" spans="23:23" ht="15">
      <c r="W4437" s="361"/>
    </row>
    <row r="4438" spans="23:23" ht="15">
      <c r="W4438" s="361"/>
    </row>
    <row r="4439" spans="23:23" ht="15">
      <c r="W4439" s="361"/>
    </row>
    <row r="4440" spans="23:23" ht="15">
      <c r="W4440" s="361"/>
    </row>
    <row r="4441" spans="23:23" ht="15">
      <c r="W4441" s="361"/>
    </row>
    <row r="4442" spans="23:23" ht="15">
      <c r="W4442" s="361"/>
    </row>
    <row r="4443" spans="23:23" ht="15">
      <c r="W4443" s="361"/>
    </row>
    <row r="4444" spans="23:23" ht="15">
      <c r="W4444" s="361"/>
    </row>
    <row r="4445" spans="23:23" ht="15">
      <c r="W4445" s="361"/>
    </row>
    <row r="4446" spans="23:23" ht="15">
      <c r="W4446" s="361"/>
    </row>
    <row r="4447" spans="23:23" ht="15">
      <c r="W4447" s="361"/>
    </row>
    <row r="4448" spans="23:23" ht="15">
      <c r="W4448" s="361"/>
    </row>
    <row r="4449" spans="23:23" ht="15">
      <c r="W4449" s="361"/>
    </row>
    <row r="4450" spans="23:23" ht="15">
      <c r="W4450" s="361"/>
    </row>
    <row r="4451" spans="23:23" ht="15">
      <c r="W4451" s="361"/>
    </row>
    <row r="4452" spans="23:23" ht="15">
      <c r="W4452" s="361"/>
    </row>
    <row r="4453" spans="23:23" ht="15">
      <c r="W4453" s="361"/>
    </row>
    <row r="4454" spans="23:23" ht="15">
      <c r="W4454" s="361"/>
    </row>
    <row r="4455" spans="23:23" ht="15">
      <c r="W4455" s="361"/>
    </row>
    <row r="4456" spans="23:23" ht="15">
      <c r="W4456" s="361"/>
    </row>
    <row r="4457" spans="23:23" ht="15">
      <c r="W4457" s="361"/>
    </row>
    <row r="4458" spans="23:23" ht="15">
      <c r="W4458" s="361"/>
    </row>
    <row r="4459" spans="23:23" ht="15">
      <c r="W4459" s="361"/>
    </row>
    <row r="4460" spans="23:23" ht="15">
      <c r="W4460" s="361"/>
    </row>
    <row r="4461" spans="23:23" ht="15">
      <c r="W4461" s="361"/>
    </row>
    <row r="4462" spans="23:23" ht="15">
      <c r="W4462" s="361"/>
    </row>
    <row r="4463" spans="23:23" ht="15">
      <c r="W4463" s="361"/>
    </row>
    <row r="4464" spans="23:23" ht="15">
      <c r="W4464" s="361"/>
    </row>
    <row r="4465" spans="23:23" ht="15">
      <c r="W4465" s="361"/>
    </row>
    <row r="4466" spans="23:23" ht="15">
      <c r="W4466" s="361"/>
    </row>
    <row r="4467" spans="23:23" ht="15">
      <c r="W4467" s="361"/>
    </row>
    <row r="4468" spans="23:23" ht="15">
      <c r="W4468" s="361"/>
    </row>
    <row r="4469" spans="23:23" ht="15">
      <c r="W4469" s="361"/>
    </row>
    <row r="4470" spans="23:23" ht="15">
      <c r="W4470" s="361"/>
    </row>
    <row r="4471" spans="23:23" ht="15">
      <c r="W4471" s="361"/>
    </row>
    <row r="4472" spans="23:23" ht="15">
      <c r="W4472" s="361"/>
    </row>
    <row r="4473" spans="23:23" ht="15">
      <c r="W4473" s="361"/>
    </row>
    <row r="4474" spans="23:23" ht="15">
      <c r="W4474" s="361"/>
    </row>
    <row r="4475" spans="23:23" ht="15">
      <c r="W4475" s="361"/>
    </row>
    <row r="4476" spans="23:23" ht="15">
      <c r="W4476" s="361"/>
    </row>
    <row r="4477" spans="23:23" ht="15">
      <c r="W4477" s="361"/>
    </row>
    <row r="4478" spans="23:23" ht="15">
      <c r="W4478" s="361"/>
    </row>
    <row r="4479" spans="23:23" ht="15">
      <c r="W4479" s="361"/>
    </row>
    <row r="4480" spans="23:23" ht="15">
      <c r="W4480" s="361"/>
    </row>
    <row r="4481" spans="23:23" ht="15">
      <c r="W4481" s="361"/>
    </row>
    <row r="4482" spans="23:23" ht="15">
      <c r="W4482" s="361"/>
    </row>
    <row r="4483" spans="23:23" ht="15">
      <c r="W4483" s="361"/>
    </row>
    <row r="4484" spans="23:23" ht="15">
      <c r="W4484" s="361"/>
    </row>
    <row r="4485" spans="23:23" ht="15">
      <c r="W4485" s="361"/>
    </row>
    <row r="4486" spans="23:23" ht="15">
      <c r="W4486" s="361"/>
    </row>
    <row r="4487" spans="23:23" ht="15">
      <c r="W4487" s="361"/>
    </row>
    <row r="4488" spans="23:23" ht="15">
      <c r="W4488" s="361"/>
    </row>
    <row r="4489" spans="23:23" ht="15">
      <c r="W4489" s="361"/>
    </row>
    <row r="4490" spans="23:23" ht="15">
      <c r="W4490" s="361"/>
    </row>
    <row r="4491" spans="23:23" ht="15">
      <c r="W4491" s="361"/>
    </row>
    <row r="4492" spans="23:23" ht="15">
      <c r="W4492" s="361"/>
    </row>
    <row r="4493" spans="23:23" ht="15">
      <c r="W4493" s="361"/>
    </row>
    <row r="4494" spans="23:23" ht="15">
      <c r="W4494" s="361"/>
    </row>
    <row r="4495" spans="23:23" ht="15">
      <c r="W4495" s="361"/>
    </row>
    <row r="4496" spans="23:23" ht="15">
      <c r="W4496" s="361"/>
    </row>
    <row r="4497" spans="23:23" ht="15">
      <c r="W4497" s="361"/>
    </row>
    <row r="4498" spans="23:23" ht="15">
      <c r="W4498" s="361"/>
    </row>
    <row r="4499" spans="23:23" ht="15">
      <c r="W4499" s="361"/>
    </row>
    <row r="4500" spans="23:23" ht="15">
      <c r="W4500" s="361"/>
    </row>
    <row r="4501" spans="23:23" ht="15">
      <c r="W4501" s="361"/>
    </row>
    <row r="4502" spans="23:23" ht="15">
      <c r="W4502" s="361"/>
    </row>
    <row r="4503" spans="23:23" ht="15">
      <c r="W4503" s="361"/>
    </row>
    <row r="4504" spans="23:23" ht="15">
      <c r="W4504" s="361"/>
    </row>
    <row r="4505" spans="23:23" ht="15">
      <c r="W4505" s="361"/>
    </row>
    <row r="4506" spans="23:23" ht="15">
      <c r="W4506" s="361"/>
    </row>
    <row r="4507" spans="23:23" ht="15">
      <c r="W4507" s="361"/>
    </row>
    <row r="4508" spans="23:23" ht="15">
      <c r="W4508" s="361"/>
    </row>
    <row r="4509" spans="23:23" ht="15">
      <c r="W4509" s="361"/>
    </row>
    <row r="4510" spans="23:23" ht="15">
      <c r="W4510" s="361"/>
    </row>
    <row r="4511" spans="23:23" ht="15">
      <c r="W4511" s="361"/>
    </row>
    <row r="4512" spans="23:23" ht="15">
      <c r="W4512" s="361"/>
    </row>
    <row r="4513" spans="23:23" ht="15">
      <c r="W4513" s="361"/>
    </row>
    <row r="4514" spans="23:23" ht="15">
      <c r="W4514" s="361"/>
    </row>
    <row r="4515" spans="23:23" ht="15">
      <c r="W4515" s="361"/>
    </row>
    <row r="4516" spans="23:23" ht="15">
      <c r="W4516" s="361"/>
    </row>
    <row r="4517" spans="23:23" ht="15">
      <c r="W4517" s="361"/>
    </row>
    <row r="4518" spans="23:23" ht="15">
      <c r="W4518" s="361"/>
    </row>
    <row r="4519" spans="23:23" ht="15">
      <c r="W4519" s="361"/>
    </row>
    <row r="4520" spans="23:23" ht="15">
      <c r="W4520" s="361"/>
    </row>
    <row r="4521" spans="23:23" ht="15">
      <c r="W4521" s="361"/>
    </row>
    <row r="4522" spans="23:23" ht="15">
      <c r="W4522" s="361"/>
    </row>
    <row r="4523" spans="23:23" ht="15">
      <c r="W4523" s="361"/>
    </row>
    <row r="4524" spans="23:23" ht="15">
      <c r="W4524" s="361"/>
    </row>
    <row r="4525" spans="23:23" ht="15">
      <c r="W4525" s="361"/>
    </row>
    <row r="4526" spans="23:23" ht="15">
      <c r="W4526" s="361"/>
    </row>
    <row r="4527" spans="23:23" ht="15">
      <c r="W4527" s="361"/>
    </row>
    <row r="4528" spans="23:23" ht="15">
      <c r="W4528" s="361"/>
    </row>
    <row r="4529" spans="23:23" ht="15">
      <c r="W4529" s="361"/>
    </row>
    <row r="4530" spans="23:23" ht="15">
      <c r="W4530" s="361"/>
    </row>
    <row r="4531" spans="23:23" ht="15">
      <c r="W4531" s="361"/>
    </row>
    <row r="4532" spans="23:23" ht="15">
      <c r="W4532" s="361"/>
    </row>
    <row r="4533" spans="23:23" ht="15">
      <c r="W4533" s="361"/>
    </row>
    <row r="4534" spans="23:23" ht="15">
      <c r="W4534" s="361"/>
    </row>
    <row r="4535" spans="23:23" ht="15">
      <c r="W4535" s="361"/>
    </row>
    <row r="4536" spans="23:23" ht="15">
      <c r="W4536" s="361"/>
    </row>
    <row r="4537" spans="23:23" ht="15">
      <c r="W4537" s="361"/>
    </row>
    <row r="4538" spans="23:23" ht="15">
      <c r="W4538" s="361"/>
    </row>
    <row r="4539" spans="23:23" ht="15">
      <c r="W4539" s="361"/>
    </row>
    <row r="4540" spans="23:23" ht="15">
      <c r="W4540" s="361"/>
    </row>
    <row r="4541" spans="23:23" ht="15">
      <c r="W4541" s="361"/>
    </row>
    <row r="4542" spans="23:23" ht="15">
      <c r="W4542" s="361"/>
    </row>
    <row r="4543" spans="23:23" ht="15">
      <c r="W4543" s="361"/>
    </row>
    <row r="4544" spans="23:23" ht="15">
      <c r="W4544" s="361"/>
    </row>
    <row r="4545" spans="23:23" ht="15">
      <c r="W4545" s="361"/>
    </row>
    <row r="4546" spans="23:23" ht="15">
      <c r="W4546" s="361"/>
    </row>
    <row r="4547" spans="23:23" ht="15">
      <c r="W4547" s="361"/>
    </row>
    <row r="4548" spans="23:23" ht="15">
      <c r="W4548" s="361"/>
    </row>
    <row r="4549" spans="23:23" ht="15">
      <c r="W4549" s="361"/>
    </row>
    <row r="4550" spans="23:23" ht="15">
      <c r="W4550" s="361"/>
    </row>
    <row r="4551" spans="23:23" ht="15">
      <c r="W4551" s="361"/>
    </row>
    <row r="4552" spans="23:23" ht="15">
      <c r="W4552" s="361"/>
    </row>
    <row r="4553" spans="23:23" ht="15">
      <c r="W4553" s="361"/>
    </row>
    <row r="4554" spans="23:23" ht="15">
      <c r="W4554" s="361"/>
    </row>
    <row r="4555" spans="23:23" ht="15">
      <c r="W4555" s="361"/>
    </row>
    <row r="4556" spans="23:23" ht="15">
      <c r="W4556" s="361"/>
    </row>
    <row r="4557" spans="23:23" ht="15">
      <c r="W4557" s="361"/>
    </row>
    <row r="4558" spans="23:23" ht="15">
      <c r="W4558" s="361"/>
    </row>
    <row r="4559" spans="23:23" ht="15">
      <c r="W4559" s="361"/>
    </row>
    <row r="4560" spans="23:23" ht="15">
      <c r="W4560" s="361"/>
    </row>
    <row r="4561" spans="23:23" ht="15">
      <c r="W4561" s="361"/>
    </row>
    <row r="4562" spans="23:23" ht="15">
      <c r="W4562" s="361"/>
    </row>
    <row r="4563" spans="23:23" ht="15">
      <c r="W4563" s="361"/>
    </row>
    <row r="4564" spans="23:23" ht="15">
      <c r="W4564" s="361"/>
    </row>
    <row r="4565" spans="23:23" ht="15">
      <c r="W4565" s="361"/>
    </row>
    <row r="4566" spans="23:23" ht="15">
      <c r="W4566" s="361"/>
    </row>
    <row r="4567" spans="23:23" ht="15">
      <c r="W4567" s="361"/>
    </row>
    <row r="4568" spans="23:23" ht="15">
      <c r="W4568" s="361"/>
    </row>
    <row r="4569" spans="23:23" ht="15">
      <c r="W4569" s="361"/>
    </row>
    <row r="4570" spans="23:23" ht="15">
      <c r="W4570" s="361"/>
    </row>
    <row r="4571" spans="23:23" ht="15">
      <c r="W4571" s="361"/>
    </row>
    <row r="4572" spans="23:23" ht="15">
      <c r="W4572" s="361"/>
    </row>
    <row r="4573" spans="23:23" ht="15">
      <c r="W4573" s="361"/>
    </row>
    <row r="4574" spans="23:23" ht="15">
      <c r="W4574" s="361"/>
    </row>
    <row r="4575" spans="23:23" ht="15">
      <c r="W4575" s="361"/>
    </row>
    <row r="4576" spans="23:23" ht="15">
      <c r="W4576" s="361"/>
    </row>
    <row r="4577" spans="23:23" ht="15">
      <c r="W4577" s="361"/>
    </row>
    <row r="4578" spans="23:23" ht="15">
      <c r="W4578" s="361"/>
    </row>
    <row r="4579" spans="23:23" ht="15">
      <c r="W4579" s="361"/>
    </row>
    <row r="4580" spans="23:23" ht="15">
      <c r="W4580" s="361"/>
    </row>
    <row r="4581" spans="23:23" ht="15">
      <c r="W4581" s="361"/>
    </row>
    <row r="4582" spans="23:23" ht="15">
      <c r="W4582" s="361"/>
    </row>
    <row r="4583" spans="23:23" ht="15">
      <c r="W4583" s="361"/>
    </row>
    <row r="4584" spans="23:23" ht="15">
      <c r="W4584" s="361"/>
    </row>
    <row r="4585" spans="23:23" ht="15">
      <c r="W4585" s="361"/>
    </row>
    <row r="4586" spans="23:23" ht="15">
      <c r="W4586" s="361"/>
    </row>
    <row r="4587" spans="23:23" ht="15">
      <c r="W4587" s="361"/>
    </row>
    <row r="4588" spans="23:23" ht="15">
      <c r="W4588" s="361"/>
    </row>
    <row r="4589" spans="23:23" ht="15">
      <c r="W4589" s="361"/>
    </row>
    <row r="4590" spans="23:23" ht="15">
      <c r="W4590" s="361"/>
    </row>
    <row r="4591" spans="23:23" ht="15">
      <c r="W4591" s="361"/>
    </row>
    <row r="4592" spans="23:23" ht="15">
      <c r="W4592" s="361"/>
    </row>
    <row r="4593" spans="23:23" ht="15">
      <c r="W4593" s="361"/>
    </row>
    <row r="4594" spans="23:23" ht="15">
      <c r="W4594" s="361"/>
    </row>
    <row r="4595" spans="23:23" ht="15">
      <c r="W4595" s="361"/>
    </row>
    <row r="4596" spans="23:23" ht="15">
      <c r="W4596" s="361"/>
    </row>
    <row r="4597" spans="23:23" ht="15">
      <c r="W4597" s="361"/>
    </row>
    <row r="4598" spans="23:23" ht="15">
      <c r="W4598" s="361"/>
    </row>
    <row r="4599" spans="23:23" ht="15">
      <c r="W4599" s="361"/>
    </row>
    <row r="4600" spans="23:23" ht="15">
      <c r="W4600" s="361"/>
    </row>
    <row r="4601" spans="23:23" ht="15">
      <c r="W4601" s="361"/>
    </row>
    <row r="4602" spans="23:23" ht="15">
      <c r="W4602" s="361"/>
    </row>
    <row r="4603" spans="23:23" ht="15">
      <c r="W4603" s="361"/>
    </row>
    <row r="4604" spans="23:23" ht="15">
      <c r="W4604" s="361"/>
    </row>
    <row r="4605" spans="23:23" ht="15">
      <c r="W4605" s="361"/>
    </row>
    <row r="4606" spans="23:23" ht="15">
      <c r="W4606" s="361"/>
    </row>
    <row r="4607" spans="23:23" ht="15">
      <c r="W4607" s="361"/>
    </row>
    <row r="4608" spans="23:23" ht="15">
      <c r="W4608" s="361"/>
    </row>
    <row r="4609" spans="23:23" ht="15">
      <c r="W4609" s="361"/>
    </row>
    <row r="4610" spans="23:23" ht="15">
      <c r="W4610" s="361"/>
    </row>
    <row r="4611" spans="23:23" ht="15">
      <c r="W4611" s="361"/>
    </row>
    <row r="4612" spans="23:23" ht="15">
      <c r="W4612" s="361"/>
    </row>
    <row r="4613" spans="23:23" ht="15">
      <c r="W4613" s="361"/>
    </row>
    <row r="4614" spans="23:23" ht="15">
      <c r="W4614" s="361"/>
    </row>
    <row r="4615" spans="23:23" ht="15">
      <c r="W4615" s="361"/>
    </row>
    <row r="4616" spans="23:23" ht="15">
      <c r="W4616" s="361"/>
    </row>
    <row r="4617" spans="23:23" ht="15">
      <c r="W4617" s="361"/>
    </row>
    <row r="4618" spans="23:23" ht="15">
      <c r="W4618" s="361"/>
    </row>
    <row r="4619" spans="23:23" ht="15">
      <c r="W4619" s="361"/>
    </row>
    <row r="4620" spans="23:23" ht="15">
      <c r="W4620" s="361"/>
    </row>
    <row r="4621" spans="23:23" ht="15">
      <c r="W4621" s="361"/>
    </row>
    <row r="4622" spans="23:23" ht="15">
      <c r="W4622" s="361"/>
    </row>
    <row r="4623" spans="23:23" ht="15">
      <c r="W4623" s="361"/>
    </row>
    <row r="4624" spans="23:23" ht="15">
      <c r="W4624" s="361"/>
    </row>
    <row r="4625" spans="23:23" ht="15">
      <c r="W4625" s="361"/>
    </row>
    <row r="4626" spans="23:23" ht="15">
      <c r="W4626" s="361"/>
    </row>
    <row r="4627" spans="23:23" ht="15">
      <c r="W4627" s="361"/>
    </row>
    <row r="4628" spans="23:23" ht="15">
      <c r="W4628" s="361"/>
    </row>
    <row r="4629" spans="23:23" ht="15">
      <c r="W4629" s="361"/>
    </row>
    <row r="4630" spans="23:23" ht="15">
      <c r="W4630" s="361"/>
    </row>
    <row r="4631" spans="23:23" ht="15">
      <c r="W4631" s="361"/>
    </row>
    <row r="4632" spans="23:23" ht="15">
      <c r="W4632" s="361"/>
    </row>
    <row r="4633" spans="23:23" ht="15">
      <c r="W4633" s="361"/>
    </row>
    <row r="4634" spans="23:23" ht="15">
      <c r="W4634" s="361"/>
    </row>
    <row r="4635" spans="23:23" ht="15">
      <c r="W4635" s="361"/>
    </row>
    <row r="4636" spans="23:23" ht="15">
      <c r="W4636" s="361"/>
    </row>
    <row r="4637" spans="23:23" ht="15">
      <c r="W4637" s="361"/>
    </row>
    <row r="4638" spans="23:23" ht="15">
      <c r="W4638" s="361"/>
    </row>
    <row r="4639" spans="23:23" ht="15">
      <c r="W4639" s="361"/>
    </row>
    <row r="4640" spans="23:23" ht="15">
      <c r="W4640" s="361"/>
    </row>
    <row r="4641" spans="23:23" ht="15">
      <c r="W4641" s="361"/>
    </row>
    <row r="4642" spans="23:23" ht="15">
      <c r="W4642" s="361"/>
    </row>
    <row r="4643" spans="23:23" ht="15">
      <c r="W4643" s="361"/>
    </row>
    <row r="4644" spans="23:23" ht="15">
      <c r="W4644" s="361"/>
    </row>
    <row r="4645" spans="23:23" ht="15">
      <c r="W4645" s="361"/>
    </row>
    <row r="4646" spans="23:23" ht="15">
      <c r="W4646" s="361"/>
    </row>
    <row r="4647" spans="23:23" ht="15">
      <c r="W4647" s="361"/>
    </row>
    <row r="4648" spans="23:23" ht="15">
      <c r="W4648" s="361"/>
    </row>
    <row r="4649" spans="23:23" ht="15">
      <c r="W4649" s="361"/>
    </row>
    <row r="4650" spans="23:23" ht="15">
      <c r="W4650" s="361"/>
    </row>
    <row r="4651" spans="23:23" ht="15">
      <c r="W4651" s="361"/>
    </row>
    <row r="4652" spans="23:23" ht="15">
      <c r="W4652" s="361"/>
    </row>
    <row r="4653" spans="23:23" ht="15">
      <c r="W4653" s="361"/>
    </row>
    <row r="4654" spans="23:23" ht="15">
      <c r="W4654" s="361"/>
    </row>
    <row r="4655" spans="23:23" ht="15">
      <c r="W4655" s="361"/>
    </row>
    <row r="4656" spans="23:23" ht="15">
      <c r="W4656" s="361"/>
    </row>
    <row r="4657" spans="23:23" ht="15">
      <c r="W4657" s="361"/>
    </row>
    <row r="4658" spans="23:23" ht="15">
      <c r="W4658" s="361"/>
    </row>
    <row r="4659" spans="23:23" ht="15">
      <c r="W4659" s="361"/>
    </row>
    <row r="4660" spans="23:23" ht="15">
      <c r="W4660" s="361"/>
    </row>
    <row r="4661" spans="23:23" ht="15">
      <c r="W4661" s="361"/>
    </row>
    <row r="4662" spans="23:23" ht="15">
      <c r="W4662" s="361"/>
    </row>
    <row r="4663" spans="23:23" ht="15">
      <c r="W4663" s="361"/>
    </row>
    <row r="4664" spans="23:23" ht="15">
      <c r="W4664" s="361"/>
    </row>
    <row r="4665" spans="23:23" ht="15">
      <c r="W4665" s="361"/>
    </row>
    <row r="4666" spans="23:23" ht="15">
      <c r="W4666" s="361"/>
    </row>
    <row r="4667" spans="23:23" ht="15">
      <c r="W4667" s="361"/>
    </row>
    <row r="4668" spans="23:23" ht="15">
      <c r="W4668" s="361"/>
    </row>
    <row r="4669" spans="23:23" ht="15">
      <c r="W4669" s="361"/>
    </row>
    <row r="4670" spans="23:23" ht="15">
      <c r="W4670" s="361"/>
    </row>
    <row r="4671" spans="23:23" ht="15">
      <c r="W4671" s="361"/>
    </row>
    <row r="4672" spans="23:23" ht="15">
      <c r="W4672" s="361"/>
    </row>
    <row r="4673" spans="23:23" ht="15">
      <c r="W4673" s="361"/>
    </row>
    <row r="4674" spans="23:23" ht="15">
      <c r="W4674" s="361"/>
    </row>
    <row r="4675" spans="23:23" ht="15">
      <c r="W4675" s="361"/>
    </row>
    <row r="4676" spans="23:23" ht="15">
      <c r="W4676" s="361"/>
    </row>
    <row r="4677" spans="23:23" ht="15">
      <c r="W4677" s="361"/>
    </row>
    <row r="4678" spans="23:23" ht="15">
      <c r="W4678" s="361"/>
    </row>
    <row r="4679" spans="23:23" ht="15">
      <c r="W4679" s="361"/>
    </row>
    <row r="4680" spans="23:23" ht="15">
      <c r="W4680" s="361"/>
    </row>
    <row r="4681" spans="23:23" ht="15">
      <c r="W4681" s="361"/>
    </row>
    <row r="4682" spans="23:23" ht="15">
      <c r="W4682" s="361"/>
    </row>
    <row r="4683" spans="23:23" ht="15">
      <c r="W4683" s="361"/>
    </row>
    <row r="4684" spans="23:23" ht="15">
      <c r="W4684" s="361"/>
    </row>
    <row r="4685" spans="23:23" ht="15">
      <c r="W4685" s="361"/>
    </row>
    <row r="4686" spans="23:23" ht="15">
      <c r="W4686" s="361"/>
    </row>
    <row r="4687" spans="23:23" ht="15">
      <c r="W4687" s="361"/>
    </row>
    <row r="4688" spans="23:23" ht="15">
      <c r="W4688" s="361"/>
    </row>
    <row r="4689" spans="23:23" ht="15">
      <c r="W4689" s="361"/>
    </row>
    <row r="4690" spans="23:23" ht="15">
      <c r="W4690" s="361"/>
    </row>
    <row r="4691" spans="23:23" ht="15">
      <c r="W4691" s="361"/>
    </row>
    <row r="4692" spans="23:23" ht="15">
      <c r="W4692" s="361"/>
    </row>
    <row r="4693" spans="23:23" ht="15">
      <c r="W4693" s="361"/>
    </row>
    <row r="4694" spans="23:23" ht="15">
      <c r="W4694" s="361"/>
    </row>
    <row r="4695" spans="23:23" ht="15">
      <c r="W4695" s="361"/>
    </row>
    <row r="4696" spans="23:23" ht="15">
      <c r="W4696" s="361"/>
    </row>
    <row r="4697" spans="23:23" ht="15">
      <c r="W4697" s="361"/>
    </row>
    <row r="4698" spans="23:23" ht="15">
      <c r="W4698" s="361"/>
    </row>
    <row r="4699" spans="23:23" ht="15">
      <c r="W4699" s="361"/>
    </row>
    <row r="4700" spans="23:23" ht="15">
      <c r="W4700" s="361"/>
    </row>
    <row r="4701" spans="23:23" ht="15">
      <c r="W4701" s="361"/>
    </row>
    <row r="4702" spans="23:23" ht="15">
      <c r="W4702" s="361"/>
    </row>
    <row r="4703" spans="23:23" ht="15">
      <c r="W4703" s="361"/>
    </row>
    <row r="4704" spans="23:23" ht="15">
      <c r="W4704" s="361"/>
    </row>
    <row r="4705" spans="23:23" ht="15">
      <c r="W4705" s="361"/>
    </row>
    <row r="4706" spans="23:23" ht="15">
      <c r="W4706" s="361"/>
    </row>
    <row r="4707" spans="23:23" ht="15">
      <c r="W4707" s="361"/>
    </row>
    <row r="4708" spans="23:23" ht="15">
      <c r="W4708" s="361"/>
    </row>
    <row r="4709" spans="23:23" ht="15">
      <c r="W4709" s="361"/>
    </row>
    <row r="4710" spans="23:23" ht="15">
      <c r="W4710" s="361"/>
    </row>
    <row r="4711" spans="23:23" ht="15">
      <c r="W4711" s="361"/>
    </row>
    <row r="4712" spans="23:23" ht="15">
      <c r="W4712" s="361"/>
    </row>
    <row r="4713" spans="23:23" ht="15">
      <c r="W4713" s="361"/>
    </row>
    <row r="4714" spans="23:23" ht="15">
      <c r="W4714" s="361"/>
    </row>
    <row r="4715" spans="23:23" ht="15">
      <c r="W4715" s="361"/>
    </row>
    <row r="4716" spans="23:23" ht="15">
      <c r="W4716" s="361"/>
    </row>
    <row r="4717" spans="23:23" ht="15">
      <c r="W4717" s="361"/>
    </row>
    <row r="4718" spans="23:23" ht="15">
      <c r="W4718" s="361"/>
    </row>
    <row r="4719" spans="23:23" ht="15">
      <c r="W4719" s="361"/>
    </row>
    <row r="4720" spans="23:23" ht="15">
      <c r="W4720" s="361"/>
    </row>
    <row r="4721" spans="23:23" ht="15">
      <c r="W4721" s="361"/>
    </row>
    <row r="4722" spans="23:23" ht="15">
      <c r="W4722" s="361"/>
    </row>
    <row r="4723" spans="23:23" ht="15">
      <c r="W4723" s="361"/>
    </row>
    <row r="4724" spans="23:23" ht="15">
      <c r="W4724" s="361"/>
    </row>
    <row r="4725" spans="23:23" ht="15">
      <c r="W4725" s="361"/>
    </row>
    <row r="4726" spans="23:23" ht="15">
      <c r="W4726" s="361"/>
    </row>
    <row r="4727" spans="23:23" ht="15">
      <c r="W4727" s="361"/>
    </row>
    <row r="4728" spans="23:23" ht="15">
      <c r="W4728" s="361"/>
    </row>
    <row r="4729" spans="23:23" ht="15">
      <c r="W4729" s="361"/>
    </row>
    <row r="4730" spans="23:23" ht="15">
      <c r="W4730" s="361"/>
    </row>
    <row r="4731" spans="23:23" ht="15">
      <c r="W4731" s="361"/>
    </row>
    <row r="4732" spans="23:23" ht="15">
      <c r="W4732" s="361"/>
    </row>
    <row r="4733" spans="23:23" ht="15">
      <c r="W4733" s="361"/>
    </row>
    <row r="4734" spans="23:23" ht="15">
      <c r="W4734" s="361"/>
    </row>
    <row r="4735" spans="23:23" ht="15">
      <c r="W4735" s="361"/>
    </row>
    <row r="4736" spans="23:23" ht="15">
      <c r="W4736" s="361"/>
    </row>
    <row r="4737" spans="23:23" ht="15">
      <c r="W4737" s="361"/>
    </row>
    <row r="4738" spans="23:23" ht="15">
      <c r="W4738" s="361"/>
    </row>
    <row r="4739" spans="23:23" ht="15">
      <c r="W4739" s="361"/>
    </row>
    <row r="4740" spans="23:23" ht="15">
      <c r="W4740" s="361"/>
    </row>
    <row r="4741" spans="23:23" ht="15">
      <c r="W4741" s="361"/>
    </row>
    <row r="4742" spans="23:23" ht="15">
      <c r="W4742" s="361"/>
    </row>
    <row r="4743" spans="23:23" ht="15">
      <c r="W4743" s="361"/>
    </row>
    <row r="4744" spans="23:23" ht="15">
      <c r="W4744" s="361"/>
    </row>
    <row r="4745" spans="23:23" ht="15">
      <c r="W4745" s="361"/>
    </row>
    <row r="4746" spans="23:23" ht="15">
      <c r="W4746" s="361"/>
    </row>
    <row r="4747" spans="23:23" ht="15">
      <c r="W4747" s="361"/>
    </row>
    <row r="4748" spans="23:23" ht="15">
      <c r="W4748" s="361"/>
    </row>
    <row r="4749" spans="23:23" ht="15">
      <c r="W4749" s="361"/>
    </row>
    <row r="4750" spans="23:23" ht="15">
      <c r="W4750" s="361"/>
    </row>
    <row r="4751" spans="23:23" ht="15">
      <c r="W4751" s="361"/>
    </row>
    <row r="4752" spans="23:23" ht="15">
      <c r="W4752" s="361"/>
    </row>
    <row r="4753" spans="23:23" ht="15">
      <c r="W4753" s="361"/>
    </row>
    <row r="4754" spans="23:23" ht="15">
      <c r="W4754" s="361"/>
    </row>
    <row r="4755" spans="23:23" ht="15">
      <c r="W4755" s="361"/>
    </row>
    <row r="4756" spans="23:23" ht="15">
      <c r="W4756" s="361"/>
    </row>
    <row r="4757" spans="23:23" ht="15">
      <c r="W4757" s="361"/>
    </row>
    <row r="4758" spans="23:23" ht="15">
      <c r="W4758" s="361"/>
    </row>
    <row r="4759" spans="23:23" ht="15">
      <c r="W4759" s="361"/>
    </row>
    <row r="4760" spans="23:23" ht="15">
      <c r="W4760" s="361"/>
    </row>
    <row r="4761" spans="23:23" ht="15">
      <c r="W4761" s="361"/>
    </row>
    <row r="4762" spans="23:23" ht="15">
      <c r="W4762" s="361"/>
    </row>
    <row r="4763" spans="23:23" ht="15">
      <c r="W4763" s="361"/>
    </row>
    <row r="4764" spans="23:23" ht="15">
      <c r="W4764" s="361"/>
    </row>
    <row r="4765" spans="23:23" ht="15">
      <c r="W4765" s="361"/>
    </row>
    <row r="4766" spans="23:23" ht="15">
      <c r="W4766" s="361"/>
    </row>
    <row r="4767" spans="23:23" ht="15">
      <c r="W4767" s="361"/>
    </row>
    <row r="4768" spans="23:23" ht="15">
      <c r="W4768" s="361"/>
    </row>
    <row r="4769" spans="23:23" ht="15">
      <c r="W4769" s="361"/>
    </row>
    <row r="4770" spans="23:23" ht="15">
      <c r="W4770" s="361"/>
    </row>
    <row r="4771" spans="23:23" ht="15">
      <c r="W4771" s="361"/>
    </row>
    <row r="4772" spans="23:23" ht="15">
      <c r="W4772" s="361"/>
    </row>
    <row r="4773" spans="23:23" ht="15">
      <c r="W4773" s="361"/>
    </row>
    <row r="4774" spans="23:23" ht="15">
      <c r="W4774" s="361"/>
    </row>
    <row r="4775" spans="23:23" ht="15">
      <c r="W4775" s="361"/>
    </row>
    <row r="4776" spans="23:23" ht="15">
      <c r="W4776" s="361"/>
    </row>
    <row r="4777" spans="23:23" ht="15">
      <c r="W4777" s="361"/>
    </row>
    <row r="4778" spans="23:23" ht="15">
      <c r="W4778" s="361"/>
    </row>
    <row r="4779" spans="23:23" ht="15">
      <c r="W4779" s="361"/>
    </row>
    <row r="4780" spans="23:23" ht="15">
      <c r="W4780" s="361"/>
    </row>
    <row r="4781" spans="23:23" ht="15">
      <c r="W4781" s="361"/>
    </row>
    <row r="4782" spans="23:23" ht="15">
      <c r="W4782" s="361"/>
    </row>
    <row r="4783" spans="23:23" ht="15">
      <c r="W4783" s="361"/>
    </row>
    <row r="4784" spans="23:23" ht="15">
      <c r="W4784" s="361"/>
    </row>
    <row r="4785" spans="23:23" ht="15">
      <c r="W4785" s="361"/>
    </row>
    <row r="4786" spans="23:23" ht="15">
      <c r="W4786" s="361"/>
    </row>
    <row r="4787" spans="23:23" ht="15">
      <c r="W4787" s="361"/>
    </row>
    <row r="4788" spans="23:23" ht="15">
      <c r="W4788" s="361"/>
    </row>
    <row r="4789" spans="23:23" ht="15">
      <c r="W4789" s="361"/>
    </row>
    <row r="4790" spans="23:23" ht="15">
      <c r="W4790" s="361"/>
    </row>
    <row r="4791" spans="23:23" ht="15">
      <c r="W4791" s="361"/>
    </row>
    <row r="4792" spans="23:23" ht="15">
      <c r="W4792" s="361"/>
    </row>
    <row r="4793" spans="23:23" ht="15">
      <c r="W4793" s="361"/>
    </row>
    <row r="4794" spans="23:23" ht="15">
      <c r="W4794" s="361"/>
    </row>
    <row r="4795" spans="23:23" ht="15">
      <c r="W4795" s="361"/>
    </row>
    <row r="4796" spans="23:23" ht="15">
      <c r="W4796" s="361"/>
    </row>
    <row r="4797" spans="23:23" ht="15">
      <c r="W4797" s="361"/>
    </row>
    <row r="4798" spans="23:23" ht="15">
      <c r="W4798" s="361"/>
    </row>
    <row r="4799" spans="23:23" ht="15">
      <c r="W4799" s="361"/>
    </row>
    <row r="4800" spans="23:23" ht="15">
      <c r="W4800" s="361"/>
    </row>
    <row r="4801" spans="23:23" ht="15">
      <c r="W4801" s="361"/>
    </row>
    <row r="4802" spans="23:23" ht="15">
      <c r="W4802" s="361"/>
    </row>
    <row r="4803" spans="23:23" ht="15">
      <c r="W4803" s="361"/>
    </row>
    <row r="4804" spans="23:23" ht="15">
      <c r="W4804" s="361"/>
    </row>
    <row r="4805" spans="23:23" ht="15">
      <c r="W4805" s="361"/>
    </row>
    <row r="4806" spans="23:23" ht="15">
      <c r="W4806" s="361"/>
    </row>
    <row r="4807" spans="23:23" ht="15">
      <c r="W4807" s="361"/>
    </row>
    <row r="4808" spans="23:23" ht="15">
      <c r="W4808" s="361"/>
    </row>
    <row r="4809" spans="23:23" ht="15">
      <c r="W4809" s="361"/>
    </row>
    <row r="4810" spans="23:23" ht="15">
      <c r="W4810" s="361"/>
    </row>
    <row r="4811" spans="23:23" ht="15">
      <c r="W4811" s="361"/>
    </row>
    <row r="4812" spans="23:23" ht="15">
      <c r="W4812" s="361"/>
    </row>
    <row r="4813" spans="23:23" ht="15">
      <c r="W4813" s="361"/>
    </row>
    <row r="4814" spans="23:23" ht="15">
      <c r="W4814" s="361"/>
    </row>
    <row r="4815" spans="23:23" ht="15">
      <c r="W4815" s="361"/>
    </row>
    <row r="4816" spans="23:23" ht="15">
      <c r="W4816" s="361"/>
    </row>
    <row r="4817" spans="23:23" ht="15">
      <c r="W4817" s="361"/>
    </row>
    <row r="4818" spans="23:23" ht="15">
      <c r="W4818" s="361"/>
    </row>
    <row r="4819" spans="23:23" ht="15">
      <c r="W4819" s="361"/>
    </row>
    <row r="4820" spans="23:23" ht="15">
      <c r="W4820" s="361"/>
    </row>
    <row r="4821" spans="23:23" ht="15">
      <c r="W4821" s="361"/>
    </row>
    <row r="4822" spans="23:23" ht="15">
      <c r="W4822" s="361"/>
    </row>
    <row r="4823" spans="23:23" ht="15">
      <c r="W4823" s="361"/>
    </row>
    <row r="4824" spans="23:23" ht="15">
      <c r="W4824" s="361"/>
    </row>
    <row r="4825" spans="23:23" ht="15">
      <c r="W4825" s="361"/>
    </row>
    <row r="4826" spans="23:23" ht="15">
      <c r="W4826" s="361"/>
    </row>
    <row r="4827" spans="23:23" ht="15">
      <c r="W4827" s="361"/>
    </row>
    <row r="4828" spans="23:23" ht="15">
      <c r="W4828" s="361"/>
    </row>
    <row r="4829" spans="23:23" ht="15">
      <c r="W4829" s="361"/>
    </row>
    <row r="4830" spans="23:23" ht="15">
      <c r="W4830" s="361"/>
    </row>
    <row r="4831" spans="23:23" ht="15">
      <c r="W4831" s="361"/>
    </row>
    <row r="4832" spans="23:23" ht="15">
      <c r="W4832" s="361"/>
    </row>
    <row r="4833" spans="23:23" ht="15">
      <c r="W4833" s="361"/>
    </row>
    <row r="4834" spans="23:23" ht="15">
      <c r="W4834" s="361"/>
    </row>
    <row r="4835" spans="23:23" ht="15">
      <c r="W4835" s="361"/>
    </row>
    <row r="4836" spans="23:23" ht="15">
      <c r="W4836" s="361"/>
    </row>
    <row r="4837" spans="23:23" ht="15">
      <c r="W4837" s="361"/>
    </row>
    <row r="4838" spans="23:23" ht="15">
      <c r="W4838" s="361"/>
    </row>
    <row r="4839" spans="23:23" ht="15">
      <c r="W4839" s="361"/>
    </row>
    <row r="4840" spans="23:23" ht="15">
      <c r="W4840" s="361"/>
    </row>
    <row r="4841" spans="23:23" ht="15">
      <c r="W4841" s="361"/>
    </row>
    <row r="4842" spans="23:23" ht="15">
      <c r="W4842" s="361"/>
    </row>
    <row r="4843" spans="23:23" ht="15">
      <c r="W4843" s="361"/>
    </row>
    <row r="4844" spans="23:23" ht="15">
      <c r="W4844" s="361"/>
    </row>
    <row r="4845" spans="23:23" ht="15">
      <c r="W4845" s="361"/>
    </row>
    <row r="4846" spans="23:23" ht="15">
      <c r="W4846" s="361"/>
    </row>
    <row r="4847" spans="23:23" ht="15">
      <c r="W4847" s="361"/>
    </row>
    <row r="4848" spans="23:23" ht="15">
      <c r="W4848" s="361"/>
    </row>
    <row r="4849" spans="23:23" ht="15">
      <c r="W4849" s="361"/>
    </row>
    <row r="4850" spans="23:23" ht="15">
      <c r="W4850" s="361"/>
    </row>
    <row r="4851" spans="23:23" ht="15">
      <c r="W4851" s="361"/>
    </row>
    <row r="4852" spans="23:23" ht="15">
      <c r="W4852" s="361"/>
    </row>
    <row r="4853" spans="23:23" ht="15">
      <c r="W4853" s="361"/>
    </row>
    <row r="4854" spans="23:23" ht="15">
      <c r="W4854" s="361"/>
    </row>
    <row r="4855" spans="23:23" ht="15">
      <c r="W4855" s="361"/>
    </row>
    <row r="4856" spans="23:23" ht="15">
      <c r="W4856" s="361"/>
    </row>
    <row r="4857" spans="23:23" ht="15">
      <c r="W4857" s="361"/>
    </row>
    <row r="4858" spans="23:23" ht="15">
      <c r="W4858" s="361"/>
    </row>
    <row r="4859" spans="23:23" ht="15">
      <c r="W4859" s="361"/>
    </row>
    <row r="4860" spans="23:23" ht="15">
      <c r="W4860" s="361"/>
    </row>
    <row r="4861" spans="23:23" ht="15">
      <c r="W4861" s="361"/>
    </row>
    <row r="4862" spans="23:23" ht="15">
      <c r="W4862" s="361"/>
    </row>
    <row r="4863" spans="23:23" ht="15">
      <c r="W4863" s="361"/>
    </row>
    <row r="4864" spans="23:23" ht="15">
      <c r="W4864" s="361"/>
    </row>
    <row r="4865" spans="23:23" ht="15">
      <c r="W4865" s="361"/>
    </row>
    <row r="4866" spans="23:23" ht="15">
      <c r="W4866" s="361"/>
    </row>
    <row r="4867" spans="23:23" ht="15">
      <c r="W4867" s="361"/>
    </row>
    <row r="4868" spans="23:23" ht="15">
      <c r="W4868" s="361"/>
    </row>
    <row r="4869" spans="23:23" ht="15">
      <c r="W4869" s="361"/>
    </row>
    <row r="4870" spans="23:23" ht="15">
      <c r="W4870" s="361"/>
    </row>
    <row r="4871" spans="23:23" ht="15">
      <c r="W4871" s="361"/>
    </row>
    <row r="4872" spans="23:23" ht="15">
      <c r="W4872" s="361"/>
    </row>
    <row r="4873" spans="23:23" ht="15">
      <c r="W4873" s="361"/>
    </row>
    <row r="4874" spans="23:23" ht="15">
      <c r="W4874" s="361"/>
    </row>
    <row r="4875" spans="23:23" ht="15">
      <c r="W4875" s="361"/>
    </row>
    <row r="4876" spans="23:23" ht="15">
      <c r="W4876" s="361"/>
    </row>
    <row r="4877" spans="23:23" ht="15">
      <c r="W4877" s="361"/>
    </row>
    <row r="4878" spans="23:23" ht="15">
      <c r="W4878" s="361"/>
    </row>
    <row r="4879" spans="23:23" ht="15">
      <c r="W4879" s="361"/>
    </row>
    <row r="4880" spans="23:23" ht="15">
      <c r="W4880" s="361"/>
    </row>
    <row r="4881" spans="23:23" ht="15">
      <c r="W4881" s="361"/>
    </row>
    <row r="4882" spans="23:23" ht="15">
      <c r="W4882" s="361"/>
    </row>
    <row r="4883" spans="23:23" ht="15">
      <c r="W4883" s="361"/>
    </row>
    <row r="4884" spans="23:23" ht="15">
      <c r="W4884" s="361"/>
    </row>
    <row r="4885" spans="23:23" ht="15">
      <c r="W4885" s="361"/>
    </row>
    <row r="4886" spans="23:23" ht="15">
      <c r="W4886" s="361"/>
    </row>
    <row r="4887" spans="23:23" ht="15">
      <c r="W4887" s="361"/>
    </row>
    <row r="4888" spans="23:23" ht="15">
      <c r="W4888" s="361"/>
    </row>
    <row r="4889" spans="23:23" ht="15">
      <c r="W4889" s="361"/>
    </row>
    <row r="4890" spans="23:23" ht="15">
      <c r="W4890" s="361"/>
    </row>
    <row r="4891" spans="23:23" ht="15">
      <c r="W4891" s="361"/>
    </row>
    <row r="4892" spans="23:23" ht="15">
      <c r="W4892" s="361"/>
    </row>
    <row r="4893" spans="23:23" ht="15">
      <c r="W4893" s="361"/>
    </row>
    <row r="4894" spans="23:23" ht="15">
      <c r="W4894" s="361"/>
    </row>
    <row r="4895" spans="23:23" ht="15">
      <c r="W4895" s="361"/>
    </row>
    <row r="4896" spans="23:23" ht="15">
      <c r="W4896" s="361"/>
    </row>
    <row r="4897" spans="23:23" ht="15">
      <c r="W4897" s="361"/>
    </row>
    <row r="4898" spans="23:23" ht="15">
      <c r="W4898" s="361"/>
    </row>
    <row r="4899" spans="23:23" ht="15">
      <c r="W4899" s="361"/>
    </row>
    <row r="4900" spans="23:23" ht="15">
      <c r="W4900" s="361"/>
    </row>
    <row r="4901" spans="23:23" ht="15">
      <c r="W4901" s="361"/>
    </row>
    <row r="4902" spans="23:23" ht="15">
      <c r="W4902" s="361"/>
    </row>
    <row r="4903" spans="23:23" ht="15">
      <c r="W4903" s="361"/>
    </row>
    <row r="4904" spans="23:23" ht="15">
      <c r="W4904" s="361"/>
    </row>
    <row r="4905" spans="23:23" ht="15">
      <c r="W4905" s="361"/>
    </row>
    <row r="4906" spans="23:23" ht="15">
      <c r="W4906" s="361"/>
    </row>
    <row r="4907" spans="23:23" ht="15">
      <c r="W4907" s="361"/>
    </row>
    <row r="4908" spans="23:23" ht="15">
      <c r="W4908" s="361"/>
    </row>
    <row r="4909" spans="23:23" ht="15">
      <c r="W4909" s="361"/>
    </row>
    <row r="4910" spans="23:23" ht="15">
      <c r="W4910" s="361"/>
    </row>
    <row r="4911" spans="23:23" ht="15">
      <c r="W4911" s="361"/>
    </row>
    <row r="4912" spans="23:23" ht="15">
      <c r="W4912" s="361"/>
    </row>
    <row r="4913" spans="23:23" ht="15">
      <c r="W4913" s="361"/>
    </row>
    <row r="4914" spans="23:23" ht="15">
      <c r="W4914" s="361"/>
    </row>
    <row r="4915" spans="23:23" ht="15">
      <c r="W4915" s="361"/>
    </row>
    <row r="4916" spans="23:23" ht="15">
      <c r="W4916" s="361"/>
    </row>
    <row r="4917" spans="23:23" ht="15">
      <c r="W4917" s="361"/>
    </row>
    <row r="4918" spans="23:23" ht="15">
      <c r="W4918" s="361"/>
    </row>
    <row r="4919" spans="23:23" ht="15">
      <c r="W4919" s="361"/>
    </row>
    <row r="4920" spans="23:23" ht="15">
      <c r="W4920" s="361"/>
    </row>
    <row r="4921" spans="23:23" ht="15">
      <c r="W4921" s="361"/>
    </row>
    <row r="4922" spans="23:23" ht="15">
      <c r="W4922" s="361"/>
    </row>
    <row r="4923" spans="23:23" ht="15">
      <c r="W4923" s="361"/>
    </row>
    <row r="4924" spans="23:23" ht="15">
      <c r="W4924" s="361"/>
    </row>
    <row r="4925" spans="23:23" ht="15">
      <c r="W4925" s="361"/>
    </row>
    <row r="4926" spans="23:23" ht="15">
      <c r="W4926" s="361"/>
    </row>
    <row r="4927" spans="23:23" ht="15">
      <c r="W4927" s="361"/>
    </row>
    <row r="4928" spans="23:23" ht="15">
      <c r="W4928" s="361"/>
    </row>
    <row r="4929" spans="23:23" ht="15">
      <c r="W4929" s="361"/>
    </row>
    <row r="4930" spans="23:23" ht="15">
      <c r="W4930" s="361"/>
    </row>
    <row r="4931" spans="23:23" ht="15">
      <c r="W4931" s="361"/>
    </row>
    <row r="4932" spans="23:23" ht="15">
      <c r="W4932" s="361"/>
    </row>
    <row r="4933" spans="23:23" ht="15">
      <c r="W4933" s="361"/>
    </row>
    <row r="4934" spans="23:23" ht="15">
      <c r="W4934" s="361"/>
    </row>
    <row r="4935" spans="23:23" ht="15">
      <c r="W4935" s="361"/>
    </row>
    <row r="4936" spans="23:23" ht="15">
      <c r="W4936" s="361"/>
    </row>
    <row r="4937" spans="23:23" ht="15">
      <c r="W4937" s="361"/>
    </row>
    <row r="4938" spans="23:23" ht="15">
      <c r="W4938" s="361"/>
    </row>
    <row r="4939" spans="23:23" ht="15">
      <c r="W4939" s="361"/>
    </row>
    <row r="4940" spans="23:23" ht="15">
      <c r="W4940" s="361"/>
    </row>
    <row r="4941" spans="23:23" ht="15">
      <c r="W4941" s="361"/>
    </row>
    <row r="4942" spans="23:23" ht="15">
      <c r="W4942" s="361"/>
    </row>
    <row r="4943" spans="23:23" ht="15">
      <c r="W4943" s="361"/>
    </row>
    <row r="4944" spans="23:23" ht="15">
      <c r="W4944" s="361"/>
    </row>
    <row r="4945" spans="23:23" ht="15">
      <c r="W4945" s="361"/>
    </row>
    <row r="4946" spans="23:23" ht="15">
      <c r="W4946" s="361"/>
    </row>
    <row r="4947" spans="23:23" ht="15">
      <c r="W4947" s="361"/>
    </row>
    <row r="4948" spans="23:23" ht="15">
      <c r="W4948" s="361"/>
    </row>
    <row r="4949" spans="23:23" ht="15">
      <c r="W4949" s="361"/>
    </row>
    <row r="4950" spans="23:23" ht="15">
      <c r="W4950" s="361"/>
    </row>
    <row r="4951" spans="23:23" ht="15">
      <c r="W4951" s="361"/>
    </row>
    <row r="4952" spans="23:23" ht="15">
      <c r="W4952" s="361"/>
    </row>
    <row r="4953" spans="23:23" ht="15">
      <c r="W4953" s="361"/>
    </row>
    <row r="4954" spans="23:23" ht="15">
      <c r="W4954" s="361"/>
    </row>
    <row r="4955" spans="23:23" ht="15">
      <c r="W4955" s="361"/>
    </row>
    <row r="4956" spans="23:23" ht="15">
      <c r="W4956" s="361"/>
    </row>
    <row r="4957" spans="23:23" ht="15">
      <c r="W4957" s="361"/>
    </row>
    <row r="4958" spans="23:23" ht="15">
      <c r="W4958" s="361"/>
    </row>
    <row r="4959" spans="23:23" ht="15">
      <c r="W4959" s="361"/>
    </row>
    <row r="4960" spans="23:23" ht="15">
      <c r="W4960" s="361"/>
    </row>
    <row r="4961" spans="23:23" ht="15">
      <c r="W4961" s="361"/>
    </row>
    <row r="4962" spans="23:23" ht="15">
      <c r="W4962" s="361"/>
    </row>
    <row r="4963" spans="23:23" ht="15">
      <c r="W4963" s="361"/>
    </row>
    <row r="4964" spans="23:23" ht="15">
      <c r="W4964" s="361"/>
    </row>
    <row r="4965" spans="23:23" ht="15">
      <c r="W4965" s="361"/>
    </row>
    <row r="4966" spans="23:23" ht="15">
      <c r="W4966" s="361"/>
    </row>
    <row r="4967" spans="23:23" ht="15">
      <c r="W4967" s="361"/>
    </row>
    <row r="4968" spans="23:23" ht="15">
      <c r="W4968" s="361"/>
    </row>
    <row r="4969" spans="23:23" ht="15">
      <c r="W4969" s="361"/>
    </row>
    <row r="4970" spans="23:23" ht="15">
      <c r="W4970" s="361"/>
    </row>
    <row r="4971" spans="23:23" ht="15">
      <c r="W4971" s="361"/>
    </row>
    <row r="4972" spans="23:23" ht="15">
      <c r="W4972" s="361"/>
    </row>
    <row r="4973" spans="23:23" ht="15">
      <c r="W4973" s="361"/>
    </row>
    <row r="4974" spans="23:23" ht="15">
      <c r="W4974" s="361"/>
    </row>
    <row r="4975" spans="23:23" ht="15">
      <c r="W4975" s="361"/>
    </row>
    <row r="4976" spans="23:23" ht="15">
      <c r="W4976" s="361"/>
    </row>
    <row r="4977" spans="23:23" ht="15">
      <c r="W4977" s="361"/>
    </row>
    <row r="4978" spans="23:23" ht="15">
      <c r="W4978" s="361"/>
    </row>
    <row r="4979" spans="23:23" ht="15">
      <c r="W4979" s="361"/>
    </row>
    <row r="4980" spans="23:23" ht="15">
      <c r="W4980" s="361"/>
    </row>
    <row r="4981" spans="23:23" ht="15">
      <c r="W4981" s="361"/>
    </row>
    <row r="4982" spans="23:23" ht="15">
      <c r="W4982" s="361"/>
    </row>
    <row r="4983" spans="23:23" ht="15">
      <c r="W4983" s="361"/>
    </row>
    <row r="4984" spans="23:23" ht="15">
      <c r="W4984" s="361"/>
    </row>
    <row r="4985" spans="23:23" ht="15">
      <c r="W4985" s="361"/>
    </row>
    <row r="4986" spans="23:23" ht="15">
      <c r="W4986" s="361"/>
    </row>
    <row r="4987" spans="23:23" ht="15">
      <c r="W4987" s="361"/>
    </row>
    <row r="4988" spans="23:23" ht="15">
      <c r="W4988" s="361"/>
    </row>
    <row r="4989" spans="23:23" ht="15">
      <c r="W4989" s="361"/>
    </row>
    <row r="4990" spans="23:23" ht="15">
      <c r="W4990" s="361"/>
    </row>
    <row r="4991" spans="23:23" ht="15">
      <c r="W4991" s="361"/>
    </row>
    <row r="4992" spans="23:23" ht="15">
      <c r="W4992" s="361"/>
    </row>
    <row r="4993" spans="23:23" ht="15">
      <c r="W4993" s="361"/>
    </row>
    <row r="4994" spans="23:23" ht="15">
      <c r="W4994" s="361"/>
    </row>
    <row r="4995" spans="23:23" ht="15">
      <c r="W4995" s="361"/>
    </row>
    <row r="4996" spans="23:23" ht="15">
      <c r="W4996" s="361"/>
    </row>
    <row r="4997" spans="23:23" ht="15">
      <c r="W4997" s="361"/>
    </row>
    <row r="4998" spans="23:23" ht="15">
      <c r="W4998" s="361"/>
    </row>
    <row r="4999" spans="23:23" ht="15">
      <c r="W4999" s="361"/>
    </row>
    <row r="5000" spans="23:23" ht="15">
      <c r="W5000" s="361"/>
    </row>
    <row r="5001" spans="23:23" ht="15">
      <c r="W5001" s="361"/>
    </row>
    <row r="5002" spans="23:23" ht="15">
      <c r="W5002" s="361"/>
    </row>
    <row r="5003" spans="23:23" ht="15">
      <c r="W5003" s="361"/>
    </row>
    <row r="5004" spans="23:23" ht="15">
      <c r="W5004" s="361"/>
    </row>
    <row r="5005" spans="23:23" ht="15">
      <c r="W5005" s="361"/>
    </row>
    <row r="5006" spans="23:23" ht="15">
      <c r="W5006" s="361"/>
    </row>
    <row r="5007" spans="23:23" ht="15">
      <c r="W5007" s="361"/>
    </row>
    <row r="5008" spans="23:23" ht="15">
      <c r="W5008" s="361"/>
    </row>
    <row r="5009" spans="23:23" ht="15">
      <c r="W5009" s="361"/>
    </row>
    <row r="5010" spans="23:23" ht="15">
      <c r="W5010" s="361"/>
    </row>
    <row r="5011" spans="23:23" ht="15">
      <c r="W5011" s="361"/>
    </row>
    <row r="5012" spans="23:23" ht="15">
      <c r="W5012" s="361"/>
    </row>
    <row r="5013" spans="23:23" ht="15">
      <c r="W5013" s="361"/>
    </row>
    <row r="5014" spans="23:23" ht="15">
      <c r="W5014" s="361"/>
    </row>
    <row r="5015" spans="23:23" ht="15">
      <c r="W5015" s="361"/>
    </row>
    <row r="5016" spans="23:23" ht="15">
      <c r="W5016" s="361"/>
    </row>
    <row r="5017" spans="23:23" ht="15">
      <c r="W5017" s="361"/>
    </row>
    <row r="5018" spans="23:23" ht="15">
      <c r="W5018" s="361"/>
    </row>
    <row r="5019" spans="23:23" ht="15">
      <c r="W5019" s="361"/>
    </row>
    <row r="5020" spans="23:23" ht="15">
      <c r="W5020" s="361"/>
    </row>
    <row r="5021" spans="23:23" ht="15">
      <c r="W5021" s="361"/>
    </row>
    <row r="5022" spans="23:23" ht="15">
      <c r="W5022" s="361"/>
    </row>
    <row r="5023" spans="23:23" ht="15">
      <c r="W5023" s="361"/>
    </row>
    <row r="5024" spans="23:23" ht="15">
      <c r="W5024" s="361"/>
    </row>
    <row r="5025" spans="23:23" ht="15">
      <c r="W5025" s="361"/>
    </row>
    <row r="5026" spans="23:23" ht="15">
      <c r="W5026" s="361"/>
    </row>
    <row r="5027" spans="23:23" ht="15">
      <c r="W5027" s="361"/>
    </row>
    <row r="5028" spans="23:23" ht="15">
      <c r="W5028" s="361"/>
    </row>
    <row r="5029" spans="23:23" ht="15">
      <c r="W5029" s="361"/>
    </row>
    <row r="5030" spans="23:23" ht="15">
      <c r="W5030" s="361"/>
    </row>
    <row r="5031" spans="23:23" ht="15">
      <c r="W5031" s="361"/>
    </row>
    <row r="5032" spans="23:23" ht="15">
      <c r="W5032" s="361"/>
    </row>
    <row r="5033" spans="23:23" ht="15">
      <c r="W5033" s="361"/>
    </row>
    <row r="5034" spans="23:23" ht="15">
      <c r="W5034" s="361"/>
    </row>
    <row r="5035" spans="23:23" ht="15">
      <c r="W5035" s="361"/>
    </row>
    <row r="5036" spans="23:23" ht="15">
      <c r="W5036" s="361"/>
    </row>
    <row r="5037" spans="23:23" ht="15">
      <c r="W5037" s="361"/>
    </row>
    <row r="5038" spans="23:23" ht="15">
      <c r="W5038" s="361"/>
    </row>
    <row r="5039" spans="23:23" ht="15">
      <c r="W5039" s="361"/>
    </row>
    <row r="5040" spans="23:23" ht="15">
      <c r="W5040" s="361"/>
    </row>
    <row r="5041" spans="23:23" ht="15">
      <c r="W5041" s="361"/>
    </row>
    <row r="5042" spans="23:23" ht="15">
      <c r="W5042" s="361"/>
    </row>
    <row r="5043" spans="23:23" ht="15">
      <c r="W5043" s="361"/>
    </row>
    <row r="5044" spans="23:23" ht="15">
      <c r="W5044" s="361"/>
    </row>
    <row r="5045" spans="23:23" ht="15">
      <c r="W5045" s="361"/>
    </row>
    <row r="5046" spans="23:23" ht="15">
      <c r="W5046" s="361"/>
    </row>
    <row r="5047" spans="23:23" ht="15">
      <c r="W5047" s="361"/>
    </row>
    <row r="5048" spans="23:23" ht="15">
      <c r="W5048" s="361"/>
    </row>
    <row r="5049" spans="23:23" ht="15">
      <c r="W5049" s="361"/>
    </row>
    <row r="5050" spans="23:23" ht="15">
      <c r="W5050" s="361"/>
    </row>
    <row r="5051" spans="23:23" ht="15">
      <c r="W5051" s="361"/>
    </row>
    <row r="5052" spans="23:23" ht="15">
      <c r="W5052" s="361"/>
    </row>
    <row r="5053" spans="23:23" ht="15">
      <c r="W5053" s="361"/>
    </row>
    <row r="5054" spans="23:23" ht="15">
      <c r="W5054" s="361"/>
    </row>
    <row r="5055" spans="23:23" ht="15">
      <c r="W5055" s="361"/>
    </row>
    <row r="5056" spans="23:23" ht="15">
      <c r="W5056" s="361"/>
    </row>
    <row r="5057" spans="23:23" ht="15">
      <c r="W5057" s="361"/>
    </row>
    <row r="5058" spans="23:23" ht="15">
      <c r="W5058" s="361"/>
    </row>
    <row r="5059" spans="23:23" ht="15">
      <c r="W5059" s="361"/>
    </row>
    <row r="5060" spans="23:23" ht="15">
      <c r="W5060" s="361"/>
    </row>
    <row r="5061" spans="23:23" ht="15">
      <c r="W5061" s="361"/>
    </row>
    <row r="5062" spans="23:23" ht="15">
      <c r="W5062" s="361"/>
    </row>
    <row r="5063" spans="23:23" ht="15">
      <c r="W5063" s="361"/>
    </row>
    <row r="5064" spans="23:23" ht="15">
      <c r="W5064" s="361"/>
    </row>
    <row r="5065" spans="23:23" ht="15">
      <c r="W5065" s="361"/>
    </row>
    <row r="5066" spans="23:23" ht="15">
      <c r="W5066" s="361"/>
    </row>
    <row r="5067" spans="23:23" ht="15">
      <c r="W5067" s="361"/>
    </row>
    <row r="5068" spans="23:23" ht="15">
      <c r="W5068" s="361"/>
    </row>
    <row r="5069" spans="23:23" ht="15">
      <c r="W5069" s="361"/>
    </row>
    <row r="5070" spans="23:23" ht="15">
      <c r="W5070" s="361"/>
    </row>
    <row r="5071" spans="23:23" ht="15">
      <c r="W5071" s="361"/>
    </row>
    <row r="5072" spans="23:23" ht="15">
      <c r="W5072" s="361"/>
    </row>
    <row r="5073" spans="23:23" ht="15">
      <c r="W5073" s="361"/>
    </row>
    <row r="5074" spans="23:23" ht="15">
      <c r="W5074" s="361"/>
    </row>
    <row r="5075" spans="23:23" ht="15">
      <c r="W5075" s="361"/>
    </row>
    <row r="5076" spans="23:23" ht="15">
      <c r="W5076" s="361"/>
    </row>
    <row r="5077" spans="23:23" ht="15">
      <c r="W5077" s="361"/>
    </row>
    <row r="5078" spans="23:23" ht="15">
      <c r="W5078" s="361"/>
    </row>
    <row r="5079" spans="23:23" ht="15">
      <c r="W5079" s="361"/>
    </row>
    <row r="5080" spans="23:23" ht="15">
      <c r="W5080" s="361"/>
    </row>
    <row r="5081" spans="23:23" ht="15">
      <c r="W5081" s="361"/>
    </row>
    <row r="5082" spans="23:23" ht="15">
      <c r="W5082" s="361"/>
    </row>
    <row r="5083" spans="23:23" ht="15">
      <c r="W5083" s="361"/>
    </row>
    <row r="5084" spans="23:23" ht="15">
      <c r="W5084" s="361"/>
    </row>
    <row r="5085" spans="23:23" ht="15">
      <c r="W5085" s="361"/>
    </row>
    <row r="5086" spans="23:23" ht="15">
      <c r="W5086" s="361"/>
    </row>
    <row r="5087" spans="23:23" ht="15">
      <c r="W5087" s="361"/>
    </row>
    <row r="5088" spans="23:23" ht="15">
      <c r="W5088" s="361"/>
    </row>
    <row r="5089" spans="23:23" ht="15">
      <c r="W5089" s="361"/>
    </row>
    <row r="5090" spans="23:23" ht="15">
      <c r="W5090" s="361"/>
    </row>
    <row r="5091" spans="23:23" ht="15">
      <c r="W5091" s="361"/>
    </row>
    <row r="5092" spans="23:23" ht="15">
      <c r="W5092" s="361"/>
    </row>
    <row r="5093" spans="23:23" ht="15">
      <c r="W5093" s="361"/>
    </row>
    <row r="5094" spans="23:23" ht="15">
      <c r="W5094" s="361"/>
    </row>
    <row r="5095" spans="23:23" ht="15">
      <c r="W5095" s="361"/>
    </row>
    <row r="5096" spans="23:23" ht="15">
      <c r="W5096" s="361"/>
    </row>
    <row r="5097" spans="23:23" ht="15">
      <c r="W5097" s="361"/>
    </row>
    <row r="5098" spans="23:23" ht="15">
      <c r="W5098" s="361"/>
    </row>
    <row r="5099" spans="23:23" ht="15">
      <c r="W5099" s="361"/>
    </row>
    <row r="5100" spans="23:23" ht="15">
      <c r="W5100" s="361"/>
    </row>
    <row r="5101" spans="23:23" ht="15">
      <c r="W5101" s="361"/>
    </row>
    <row r="5102" spans="23:23" ht="15">
      <c r="W5102" s="361"/>
    </row>
    <row r="5103" spans="23:23" ht="15">
      <c r="W5103" s="361"/>
    </row>
    <row r="5104" spans="23:23" ht="15">
      <c r="W5104" s="361"/>
    </row>
    <row r="5105" spans="23:23" ht="15">
      <c r="W5105" s="361"/>
    </row>
    <row r="5106" spans="23:23" ht="15">
      <c r="W5106" s="361"/>
    </row>
    <row r="5107" spans="23:23" ht="15">
      <c r="W5107" s="361"/>
    </row>
    <row r="5108" spans="23:23" ht="15">
      <c r="W5108" s="361"/>
    </row>
    <row r="5109" spans="23:23" ht="15">
      <c r="W5109" s="361"/>
    </row>
    <row r="5110" spans="23:23" ht="15">
      <c r="W5110" s="361"/>
    </row>
    <row r="5111" spans="23:23" ht="15">
      <c r="W5111" s="361"/>
    </row>
    <row r="5112" spans="23:23" ht="15">
      <c r="W5112" s="361"/>
    </row>
    <row r="5113" spans="23:23" ht="15">
      <c r="W5113" s="361"/>
    </row>
    <row r="5114" spans="23:23" ht="15">
      <c r="W5114" s="361"/>
    </row>
    <row r="5115" spans="23:23" ht="15">
      <c r="W5115" s="361"/>
    </row>
    <row r="5116" spans="23:23" ht="15">
      <c r="W5116" s="361"/>
    </row>
    <row r="5117" spans="23:23" ht="15">
      <c r="W5117" s="361"/>
    </row>
    <row r="5118" spans="23:23" ht="15">
      <c r="W5118" s="361"/>
    </row>
    <row r="5119" spans="23:23" ht="15">
      <c r="W5119" s="361"/>
    </row>
    <row r="5120" spans="23:23" ht="15">
      <c r="W5120" s="361"/>
    </row>
    <row r="5121" spans="23:23" ht="15">
      <c r="W5121" s="361"/>
    </row>
    <row r="5122" spans="23:23" ht="15">
      <c r="W5122" s="361"/>
    </row>
    <row r="5123" spans="23:23" ht="15">
      <c r="W5123" s="361"/>
    </row>
    <row r="5124" spans="23:23" ht="15">
      <c r="W5124" s="361"/>
    </row>
    <row r="5125" spans="23:23" ht="15">
      <c r="W5125" s="361"/>
    </row>
    <row r="5126" spans="23:23" ht="15">
      <c r="W5126" s="361"/>
    </row>
    <row r="5127" spans="23:23" ht="15">
      <c r="W5127" s="361"/>
    </row>
    <row r="5128" spans="23:23" ht="15">
      <c r="W5128" s="361"/>
    </row>
    <row r="5129" spans="23:23" ht="15">
      <c r="W5129" s="361"/>
    </row>
    <row r="5130" spans="23:23" ht="15">
      <c r="W5130" s="361"/>
    </row>
    <row r="5131" spans="23:23" ht="15">
      <c r="W5131" s="361"/>
    </row>
    <row r="5132" spans="23:23" ht="15">
      <c r="W5132" s="361"/>
    </row>
    <row r="5133" spans="23:23" ht="15">
      <c r="W5133" s="361"/>
    </row>
    <row r="5134" spans="23:23" ht="15">
      <c r="W5134" s="361"/>
    </row>
    <row r="5135" spans="23:23" ht="15">
      <c r="W5135" s="361"/>
    </row>
    <row r="5136" spans="23:23" ht="15">
      <c r="W5136" s="361"/>
    </row>
    <row r="5137" spans="23:23" ht="15">
      <c r="W5137" s="361"/>
    </row>
    <row r="5138" spans="23:23" ht="15">
      <c r="W5138" s="361"/>
    </row>
    <row r="5139" spans="23:23" ht="15">
      <c r="W5139" s="361"/>
    </row>
    <row r="5140" spans="23:23" ht="15">
      <c r="W5140" s="361"/>
    </row>
    <row r="5141" spans="23:23" ht="15">
      <c r="W5141" s="361"/>
    </row>
    <row r="5142" spans="23:23" ht="15">
      <c r="W5142" s="361"/>
    </row>
    <row r="5143" spans="23:23" ht="15">
      <c r="W5143" s="361"/>
    </row>
    <row r="5144" spans="23:23" ht="15">
      <c r="W5144" s="361"/>
    </row>
    <row r="5145" spans="23:23" ht="15">
      <c r="W5145" s="361"/>
    </row>
    <row r="5146" spans="23:23" ht="15">
      <c r="W5146" s="361"/>
    </row>
    <row r="5147" spans="23:23" ht="15">
      <c r="W5147" s="361"/>
    </row>
    <row r="5148" spans="23:23" ht="15">
      <c r="W5148" s="361"/>
    </row>
    <row r="5149" spans="23:23" ht="15">
      <c r="W5149" s="361"/>
    </row>
    <row r="5150" spans="23:23" ht="15">
      <c r="W5150" s="361"/>
    </row>
    <row r="5151" spans="23:23" ht="15">
      <c r="W5151" s="361"/>
    </row>
    <row r="5152" spans="23:23" ht="15">
      <c r="W5152" s="361"/>
    </row>
    <row r="5153" spans="23:23" ht="15">
      <c r="W5153" s="361"/>
    </row>
    <row r="5154" spans="23:23" ht="15">
      <c r="W5154" s="361"/>
    </row>
    <row r="5155" spans="23:23" ht="15">
      <c r="W5155" s="361"/>
    </row>
    <row r="5156" spans="23:23" ht="15">
      <c r="W5156" s="361"/>
    </row>
    <row r="5157" spans="23:23" ht="15">
      <c r="W5157" s="361"/>
    </row>
    <row r="5158" spans="23:23" ht="15">
      <c r="W5158" s="361"/>
    </row>
    <row r="5159" spans="23:23" ht="15">
      <c r="W5159" s="361"/>
    </row>
    <row r="5160" spans="23:23" ht="15">
      <c r="W5160" s="361"/>
    </row>
    <row r="5161" spans="23:23" ht="15">
      <c r="W5161" s="361"/>
    </row>
    <row r="5162" spans="23:23" ht="15">
      <c r="W5162" s="361"/>
    </row>
    <row r="5163" spans="23:23" ht="15">
      <c r="W5163" s="361"/>
    </row>
    <row r="5164" spans="23:23" ht="15">
      <c r="W5164" s="361"/>
    </row>
    <row r="5165" spans="23:23" ht="15">
      <c r="W5165" s="361"/>
    </row>
    <row r="5166" spans="23:23" ht="15">
      <c r="W5166" s="361"/>
    </row>
    <row r="5167" spans="23:23" ht="15">
      <c r="W5167" s="361"/>
    </row>
    <row r="5168" spans="23:23" ht="15">
      <c r="W5168" s="361"/>
    </row>
    <row r="5169" spans="23:23" ht="15">
      <c r="W5169" s="361"/>
    </row>
    <row r="5170" spans="23:23" ht="15">
      <c r="W5170" s="361"/>
    </row>
    <row r="5171" spans="23:23" ht="15">
      <c r="W5171" s="361"/>
    </row>
    <row r="5172" spans="23:23" ht="15">
      <c r="W5172" s="361"/>
    </row>
    <row r="5173" spans="23:23" ht="15">
      <c r="W5173" s="361"/>
    </row>
    <row r="5174" spans="23:23" ht="15">
      <c r="W5174" s="361"/>
    </row>
    <row r="5175" spans="23:23" ht="15">
      <c r="W5175" s="361"/>
    </row>
    <row r="5176" spans="23:23" ht="15">
      <c r="W5176" s="361"/>
    </row>
    <row r="5177" spans="23:23" ht="15">
      <c r="W5177" s="361"/>
    </row>
    <row r="5178" spans="23:23" ht="15">
      <c r="W5178" s="361"/>
    </row>
    <row r="5179" spans="23:23" ht="15">
      <c r="W5179" s="361"/>
    </row>
    <row r="5180" spans="23:23" ht="15">
      <c r="W5180" s="361"/>
    </row>
    <row r="5181" spans="23:23" ht="15">
      <c r="W5181" s="361"/>
    </row>
    <row r="5182" spans="23:23" ht="15">
      <c r="W5182" s="361"/>
    </row>
    <row r="5183" spans="23:23" ht="15">
      <c r="W5183" s="361"/>
    </row>
    <row r="5184" spans="23:23" ht="15">
      <c r="W5184" s="361"/>
    </row>
    <row r="5185" spans="23:23" ht="15">
      <c r="W5185" s="361"/>
    </row>
    <row r="5186" spans="23:23" ht="15">
      <c r="W5186" s="361"/>
    </row>
    <row r="5187" spans="23:23" ht="15">
      <c r="W5187" s="361"/>
    </row>
    <row r="5188" spans="23:23" ht="15">
      <c r="W5188" s="361"/>
    </row>
    <row r="5189" spans="23:23" ht="15">
      <c r="W5189" s="361"/>
    </row>
    <row r="5190" spans="23:23" ht="15">
      <c r="W5190" s="361"/>
    </row>
    <row r="5191" spans="23:23" ht="15">
      <c r="W5191" s="361"/>
    </row>
    <row r="5192" spans="23:23" ht="15">
      <c r="W5192" s="361"/>
    </row>
    <row r="5193" spans="23:23" ht="15">
      <c r="W5193" s="361"/>
    </row>
    <row r="5194" spans="23:23" ht="15">
      <c r="W5194" s="361"/>
    </row>
    <row r="5195" spans="23:23" ht="15">
      <c r="W5195" s="361"/>
    </row>
    <row r="5196" spans="23:23" ht="15">
      <c r="W5196" s="361"/>
    </row>
    <row r="5197" spans="23:23" ht="15">
      <c r="W5197" s="361"/>
    </row>
    <row r="5198" spans="23:23" ht="15">
      <c r="W5198" s="361"/>
    </row>
    <row r="5199" spans="23:23" ht="15">
      <c r="W5199" s="361"/>
    </row>
    <row r="5200" spans="23:23" ht="15">
      <c r="W5200" s="361"/>
    </row>
    <row r="5201" spans="23:23" ht="15">
      <c r="W5201" s="361"/>
    </row>
    <row r="5202" spans="23:23" ht="15">
      <c r="W5202" s="361"/>
    </row>
    <row r="5203" spans="23:23" ht="15">
      <c r="W5203" s="361"/>
    </row>
    <row r="5204" spans="23:23" ht="15">
      <c r="W5204" s="361"/>
    </row>
    <row r="5205" spans="23:23" ht="15">
      <c r="W5205" s="361"/>
    </row>
    <row r="5206" spans="23:23" ht="15">
      <c r="W5206" s="361"/>
    </row>
    <row r="5207" spans="23:23" ht="15">
      <c r="W5207" s="361"/>
    </row>
    <row r="5208" spans="23:23" ht="15">
      <c r="W5208" s="361"/>
    </row>
    <row r="5209" spans="23:23" ht="15">
      <c r="W5209" s="361"/>
    </row>
    <row r="5210" spans="23:23" ht="15">
      <c r="W5210" s="361"/>
    </row>
    <row r="5211" spans="23:23" ht="15">
      <c r="W5211" s="361"/>
    </row>
    <row r="5212" spans="23:23" ht="15">
      <c r="W5212" s="361"/>
    </row>
    <row r="5213" spans="23:23" ht="15">
      <c r="W5213" s="361"/>
    </row>
    <row r="5214" spans="23:23" ht="15">
      <c r="W5214" s="361"/>
    </row>
    <row r="5215" spans="23:23" ht="15">
      <c r="W5215" s="361"/>
    </row>
    <row r="5216" spans="23:23" ht="15">
      <c r="W5216" s="361"/>
    </row>
    <row r="5217" spans="23:23" ht="15">
      <c r="W5217" s="361"/>
    </row>
    <row r="5218" spans="23:23" ht="15">
      <c r="W5218" s="361"/>
    </row>
    <row r="5219" spans="23:23" ht="15">
      <c r="W5219" s="361"/>
    </row>
    <row r="5220" spans="23:23" ht="15">
      <c r="W5220" s="361"/>
    </row>
    <row r="5221" spans="23:23" ht="15">
      <c r="W5221" s="361"/>
    </row>
    <row r="5222" spans="23:23" ht="15">
      <c r="W5222" s="361"/>
    </row>
    <row r="5223" spans="23:23" ht="15">
      <c r="W5223" s="361"/>
    </row>
    <row r="5224" spans="23:23" ht="15">
      <c r="W5224" s="361"/>
    </row>
    <row r="5225" spans="23:23" ht="15">
      <c r="W5225" s="361"/>
    </row>
    <row r="5226" spans="23:23" ht="15">
      <c r="W5226" s="361"/>
    </row>
    <row r="5227" spans="23:23" ht="15">
      <c r="W5227" s="361"/>
    </row>
    <row r="5228" spans="23:23" ht="15">
      <c r="W5228" s="361"/>
    </row>
    <row r="5229" spans="23:23" ht="15">
      <c r="W5229" s="361"/>
    </row>
    <row r="5230" spans="23:23" ht="15">
      <c r="W5230" s="361"/>
    </row>
    <row r="5231" spans="23:23" ht="15">
      <c r="W5231" s="361"/>
    </row>
    <row r="5232" spans="23:23" ht="15">
      <c r="W5232" s="361"/>
    </row>
    <row r="5233" spans="23:23" ht="15">
      <c r="W5233" s="361"/>
    </row>
    <row r="5234" spans="23:23" ht="15">
      <c r="W5234" s="361"/>
    </row>
    <row r="5235" spans="23:23" ht="15">
      <c r="W5235" s="361"/>
    </row>
    <row r="5236" spans="23:23" ht="15">
      <c r="W5236" s="361"/>
    </row>
    <row r="5237" spans="23:23" ht="15">
      <c r="W5237" s="361"/>
    </row>
    <row r="5238" spans="23:23" ht="15">
      <c r="W5238" s="361"/>
    </row>
    <row r="5239" spans="23:23" ht="15">
      <c r="W5239" s="361"/>
    </row>
    <row r="5240" spans="23:23" ht="15">
      <c r="W5240" s="361"/>
    </row>
    <row r="5241" spans="23:23" ht="15">
      <c r="W5241" s="361"/>
    </row>
    <row r="5242" spans="23:23" ht="15">
      <c r="W5242" s="361"/>
    </row>
    <row r="5243" spans="23:23" ht="15">
      <c r="W5243" s="361"/>
    </row>
    <row r="5244" spans="23:23" ht="15">
      <c r="W5244" s="361"/>
    </row>
    <row r="5245" spans="23:23" ht="15">
      <c r="W5245" s="361"/>
    </row>
    <row r="5246" spans="23:23" ht="15">
      <c r="W5246" s="361"/>
    </row>
    <row r="5247" spans="23:23" ht="15">
      <c r="W5247" s="361"/>
    </row>
    <row r="5248" spans="23:23" ht="15">
      <c r="W5248" s="361"/>
    </row>
    <row r="5249" spans="23:23" ht="15">
      <c r="W5249" s="361"/>
    </row>
    <row r="5250" spans="23:23" ht="15">
      <c r="W5250" s="361"/>
    </row>
    <row r="5251" spans="23:23" ht="15">
      <c r="W5251" s="361"/>
    </row>
    <row r="5252" spans="23:23" ht="15">
      <c r="W5252" s="361"/>
    </row>
    <row r="5253" spans="23:23" ht="15">
      <c r="W5253" s="361"/>
    </row>
    <row r="5254" spans="23:23" ht="15">
      <c r="W5254" s="361"/>
    </row>
    <row r="5255" spans="23:23" ht="15">
      <c r="W5255" s="361"/>
    </row>
    <row r="5256" spans="23:23" ht="15">
      <c r="W5256" s="361"/>
    </row>
    <row r="5257" spans="23:23" ht="15">
      <c r="W5257" s="361"/>
    </row>
    <row r="5258" spans="23:23" ht="15">
      <c r="W5258" s="361"/>
    </row>
    <row r="5259" spans="23:23" ht="15">
      <c r="W5259" s="361"/>
    </row>
    <row r="5260" spans="23:23" ht="15">
      <c r="W5260" s="361"/>
    </row>
    <row r="5261" spans="23:23" ht="15">
      <c r="W5261" s="361"/>
    </row>
    <row r="5262" spans="23:23" ht="15">
      <c r="W5262" s="361"/>
    </row>
    <row r="5263" spans="23:23" ht="15">
      <c r="W5263" s="361"/>
    </row>
    <row r="5264" spans="23:23" ht="15">
      <c r="W5264" s="361"/>
    </row>
    <row r="5265" spans="23:23" ht="15">
      <c r="W5265" s="361"/>
    </row>
    <row r="5266" spans="23:23" ht="15">
      <c r="W5266" s="361"/>
    </row>
    <row r="5267" spans="23:23" ht="15">
      <c r="W5267" s="361"/>
    </row>
    <row r="5268" spans="23:23" ht="15">
      <c r="W5268" s="361"/>
    </row>
    <row r="5269" spans="23:23" ht="15">
      <c r="W5269" s="361"/>
    </row>
    <row r="5270" spans="23:23" ht="15">
      <c r="W5270" s="361"/>
    </row>
    <row r="5271" spans="23:23" ht="15">
      <c r="W5271" s="361"/>
    </row>
    <row r="5272" spans="23:23" ht="15">
      <c r="W5272" s="361"/>
    </row>
    <row r="5273" spans="23:23" ht="15">
      <c r="W5273" s="361"/>
    </row>
    <row r="5274" spans="23:23" ht="15">
      <c r="W5274" s="361"/>
    </row>
    <row r="5275" spans="23:23" ht="15">
      <c r="W5275" s="361"/>
    </row>
    <row r="5276" spans="23:23" ht="15">
      <c r="W5276" s="361"/>
    </row>
    <row r="5277" spans="23:23" ht="15">
      <c r="W5277" s="361"/>
    </row>
    <row r="5278" spans="23:23" ht="15">
      <c r="W5278" s="361"/>
    </row>
    <row r="5279" spans="23:23" ht="15">
      <c r="W5279" s="361"/>
    </row>
    <row r="5280" spans="23:23" ht="15">
      <c r="W5280" s="361"/>
    </row>
    <row r="5281" spans="23:23" ht="15">
      <c r="W5281" s="361"/>
    </row>
    <row r="5282" spans="23:23" ht="15">
      <c r="W5282" s="361"/>
    </row>
    <row r="5283" spans="23:23" ht="15">
      <c r="W5283" s="361"/>
    </row>
    <row r="5284" spans="23:23" ht="15">
      <c r="W5284" s="361"/>
    </row>
    <row r="5285" spans="23:23" ht="15">
      <c r="W5285" s="361"/>
    </row>
    <row r="5286" spans="23:23" ht="15">
      <c r="W5286" s="361"/>
    </row>
    <row r="5287" spans="23:23" ht="15">
      <c r="W5287" s="361"/>
    </row>
    <row r="5288" spans="23:23" ht="15">
      <c r="W5288" s="361"/>
    </row>
    <row r="5289" spans="23:23" ht="15">
      <c r="W5289" s="361"/>
    </row>
    <row r="5290" spans="23:23" ht="15">
      <c r="W5290" s="361"/>
    </row>
    <row r="5291" spans="23:23" ht="15">
      <c r="W5291" s="361"/>
    </row>
    <row r="5292" spans="23:23" ht="15">
      <c r="W5292" s="361"/>
    </row>
    <row r="5293" spans="23:23" ht="15">
      <c r="W5293" s="361"/>
    </row>
    <row r="5294" spans="23:23" ht="15">
      <c r="W5294" s="361"/>
    </row>
    <row r="5295" spans="23:23" ht="15">
      <c r="W5295" s="361"/>
    </row>
    <row r="5296" spans="23:23" ht="15">
      <c r="W5296" s="361"/>
    </row>
    <row r="5297" spans="23:23" ht="15">
      <c r="W5297" s="361"/>
    </row>
    <row r="5298" spans="23:23" ht="15">
      <c r="W5298" s="361"/>
    </row>
    <row r="5299" spans="23:23" ht="15">
      <c r="W5299" s="361"/>
    </row>
    <row r="5300" spans="23:23" ht="15">
      <c r="W5300" s="361"/>
    </row>
    <row r="5301" spans="23:23" ht="15">
      <c r="W5301" s="361"/>
    </row>
    <row r="5302" spans="23:23" ht="15">
      <c r="W5302" s="361"/>
    </row>
    <row r="5303" spans="23:23" ht="15">
      <c r="W5303" s="361"/>
    </row>
    <row r="5304" spans="23:23" ht="15">
      <c r="W5304" s="361"/>
    </row>
    <row r="5305" spans="23:23" ht="15">
      <c r="W5305" s="361"/>
    </row>
    <row r="5306" spans="23:23" ht="15">
      <c r="W5306" s="361"/>
    </row>
    <row r="5307" spans="23:23" ht="15">
      <c r="W5307" s="361"/>
    </row>
    <row r="5308" spans="23:23" ht="15">
      <c r="W5308" s="361"/>
    </row>
    <row r="5309" spans="23:23" ht="15">
      <c r="W5309" s="361"/>
    </row>
    <row r="5310" spans="23:23" ht="15">
      <c r="W5310" s="361"/>
    </row>
    <row r="5311" spans="23:23" ht="15">
      <c r="W5311" s="361"/>
    </row>
    <row r="5312" spans="23:23" ht="15">
      <c r="W5312" s="361"/>
    </row>
    <row r="5313" spans="23:23" ht="15">
      <c r="W5313" s="361"/>
    </row>
    <row r="5314" spans="23:23" ht="15">
      <c r="W5314" s="361"/>
    </row>
    <row r="5315" spans="23:23" ht="15">
      <c r="W5315" s="361"/>
    </row>
    <row r="5316" spans="23:23" ht="15">
      <c r="W5316" s="361"/>
    </row>
    <row r="5317" spans="23:23" ht="15">
      <c r="W5317" s="361"/>
    </row>
    <row r="5318" spans="23:23" ht="15">
      <c r="W5318" s="361"/>
    </row>
    <row r="5319" spans="23:23" ht="15">
      <c r="W5319" s="361"/>
    </row>
    <row r="5320" spans="23:23" ht="15">
      <c r="W5320" s="361"/>
    </row>
    <row r="5321" spans="23:23" ht="15">
      <c r="W5321" s="361"/>
    </row>
    <row r="5322" spans="23:23" ht="15">
      <c r="W5322" s="361"/>
    </row>
    <row r="5323" spans="23:23" ht="15">
      <c r="W5323" s="361"/>
    </row>
    <row r="5324" spans="23:23" ht="15">
      <c r="W5324" s="361"/>
    </row>
    <row r="5325" spans="23:23" ht="15">
      <c r="W5325" s="361"/>
    </row>
    <row r="5326" spans="23:23" ht="15">
      <c r="W5326" s="361"/>
    </row>
    <row r="5327" spans="23:23" ht="15">
      <c r="W5327" s="361"/>
    </row>
    <row r="5328" spans="23:23" ht="15">
      <c r="W5328" s="361"/>
    </row>
    <row r="5329" spans="23:23" ht="15">
      <c r="W5329" s="361"/>
    </row>
    <row r="5330" spans="23:23" ht="15">
      <c r="W5330" s="361"/>
    </row>
    <row r="5331" spans="23:23" ht="15">
      <c r="W5331" s="361"/>
    </row>
    <row r="5332" spans="23:23" ht="15">
      <c r="W5332" s="361"/>
    </row>
    <row r="5333" spans="23:23" ht="15">
      <c r="W5333" s="361"/>
    </row>
    <row r="5334" spans="23:23" ht="15">
      <c r="W5334" s="361"/>
    </row>
    <row r="5335" spans="23:23" ht="15">
      <c r="W5335" s="361"/>
    </row>
    <row r="5336" spans="23:23" ht="15">
      <c r="W5336" s="361"/>
    </row>
    <row r="5337" spans="23:23" ht="15">
      <c r="W5337" s="361"/>
    </row>
    <row r="5338" spans="23:23" ht="15">
      <c r="W5338" s="361"/>
    </row>
    <row r="5339" spans="23:23" ht="15">
      <c r="W5339" s="361"/>
    </row>
    <row r="5340" spans="23:23" ht="15">
      <c r="W5340" s="361"/>
    </row>
    <row r="5341" spans="23:23" ht="15">
      <c r="W5341" s="361"/>
    </row>
    <row r="5342" spans="23:23" ht="15">
      <c r="W5342" s="361"/>
    </row>
    <row r="5343" spans="23:23" ht="15">
      <c r="W5343" s="361"/>
    </row>
    <row r="5344" spans="23:23" ht="15">
      <c r="W5344" s="361"/>
    </row>
    <row r="5345" spans="23:23" ht="15">
      <c r="W5345" s="361"/>
    </row>
    <row r="5346" spans="23:23" ht="15">
      <c r="W5346" s="361"/>
    </row>
    <row r="5347" spans="23:23" ht="15">
      <c r="W5347" s="361"/>
    </row>
    <row r="5348" spans="23:23" ht="15">
      <c r="W5348" s="361"/>
    </row>
    <row r="5349" spans="23:23" ht="15">
      <c r="W5349" s="361"/>
    </row>
    <row r="5350" spans="23:23" ht="15">
      <c r="W5350" s="361"/>
    </row>
    <row r="5351" spans="23:23" ht="15">
      <c r="W5351" s="361"/>
    </row>
    <row r="5352" spans="23:23" ht="15">
      <c r="W5352" s="361"/>
    </row>
    <row r="5353" spans="23:23" ht="15">
      <c r="W5353" s="361"/>
    </row>
    <row r="5354" spans="23:23" ht="15">
      <c r="W5354" s="361"/>
    </row>
    <row r="5355" spans="23:23" ht="15">
      <c r="W5355" s="361"/>
    </row>
    <row r="5356" spans="23:23" ht="15">
      <c r="W5356" s="361"/>
    </row>
    <row r="5357" spans="23:23" ht="15">
      <c r="W5357" s="361"/>
    </row>
    <row r="5358" spans="23:23" ht="15">
      <c r="W5358" s="361"/>
    </row>
    <row r="5359" spans="23:23" ht="15">
      <c r="W5359" s="361"/>
    </row>
    <row r="5360" spans="23:23" ht="15">
      <c r="W5360" s="361"/>
    </row>
    <row r="5361" spans="23:23" ht="15">
      <c r="W5361" s="361"/>
    </row>
    <row r="5362" spans="23:23" ht="15">
      <c r="W5362" s="361"/>
    </row>
    <row r="5363" spans="23:23" ht="15">
      <c r="W5363" s="361"/>
    </row>
    <row r="5364" spans="23:23" ht="15">
      <c r="W5364" s="361"/>
    </row>
    <row r="5365" spans="23:23" ht="15">
      <c r="W5365" s="361"/>
    </row>
    <row r="5366" spans="23:23" ht="15">
      <c r="W5366" s="361"/>
    </row>
    <row r="5367" spans="23:23" ht="15">
      <c r="W5367" s="361"/>
    </row>
    <row r="5368" spans="23:23" ht="15">
      <c r="W5368" s="361"/>
    </row>
    <row r="5369" spans="23:23" ht="15">
      <c r="W5369" s="361"/>
    </row>
    <row r="5370" spans="23:23" ht="15">
      <c r="W5370" s="361"/>
    </row>
    <row r="5371" spans="23:23" ht="15">
      <c r="W5371" s="361"/>
    </row>
    <row r="5372" spans="23:23" ht="15">
      <c r="W5372" s="361"/>
    </row>
    <row r="5373" spans="23:23" ht="15">
      <c r="W5373" s="361"/>
    </row>
    <row r="5374" spans="23:23" ht="15">
      <c r="W5374" s="361"/>
    </row>
    <row r="5375" spans="23:23" ht="15">
      <c r="W5375" s="361"/>
    </row>
    <row r="5376" spans="23:23" ht="15">
      <c r="W5376" s="361"/>
    </row>
    <row r="5377" spans="23:23" ht="15">
      <c r="W5377" s="361"/>
    </row>
    <row r="5378" spans="23:23" ht="15">
      <c r="W5378" s="361"/>
    </row>
    <row r="5379" spans="23:23" ht="15">
      <c r="W5379" s="361"/>
    </row>
    <row r="5380" spans="23:23" ht="15">
      <c r="W5380" s="361"/>
    </row>
    <row r="5381" spans="23:23" ht="15">
      <c r="W5381" s="361"/>
    </row>
    <row r="5382" spans="23:23" ht="15">
      <c r="W5382" s="361"/>
    </row>
    <row r="5383" spans="23:23" ht="15">
      <c r="W5383" s="361"/>
    </row>
    <row r="5384" spans="23:23" ht="15">
      <c r="W5384" s="361"/>
    </row>
    <row r="5385" spans="23:23" ht="15">
      <c r="W5385" s="361"/>
    </row>
    <row r="5386" spans="23:23" ht="15">
      <c r="W5386" s="361"/>
    </row>
    <row r="5387" spans="23:23" ht="15">
      <c r="W5387" s="361"/>
    </row>
    <row r="5388" spans="23:23" ht="15">
      <c r="W5388" s="361"/>
    </row>
    <row r="5389" spans="23:23" ht="15">
      <c r="W5389" s="361"/>
    </row>
    <row r="5390" spans="23:23" ht="15">
      <c r="W5390" s="361"/>
    </row>
    <row r="5391" spans="23:23" ht="15">
      <c r="W5391" s="361"/>
    </row>
    <row r="5392" spans="23:23" ht="15">
      <c r="W5392" s="361"/>
    </row>
    <row r="5393" spans="23:23" ht="15">
      <c r="W5393" s="361"/>
    </row>
    <row r="5394" spans="23:23" ht="15">
      <c r="W5394" s="361"/>
    </row>
    <row r="5395" spans="23:23" ht="15">
      <c r="W5395" s="361"/>
    </row>
    <row r="5396" spans="23:23" ht="15">
      <c r="W5396" s="361"/>
    </row>
    <row r="5397" spans="23:23" ht="15">
      <c r="W5397" s="361"/>
    </row>
    <row r="5398" spans="23:23" ht="15">
      <c r="W5398" s="361"/>
    </row>
    <row r="5399" spans="23:23" ht="15">
      <c r="W5399" s="361"/>
    </row>
    <row r="5400" spans="23:23" ht="15">
      <c r="W5400" s="361"/>
    </row>
    <row r="5401" spans="23:23" ht="15">
      <c r="W5401" s="361"/>
    </row>
    <row r="5402" spans="23:23" ht="15">
      <c r="W5402" s="361"/>
    </row>
    <row r="5403" spans="23:23" ht="15">
      <c r="W5403" s="361"/>
    </row>
    <row r="5404" spans="23:23" ht="15">
      <c r="W5404" s="361"/>
    </row>
    <row r="5405" spans="23:23" ht="15">
      <c r="W5405" s="361"/>
    </row>
    <row r="5406" spans="23:23" ht="15">
      <c r="W5406" s="361"/>
    </row>
    <row r="5407" spans="23:23" ht="15">
      <c r="W5407" s="361"/>
    </row>
    <row r="5408" spans="23:23" ht="15">
      <c r="W5408" s="361"/>
    </row>
    <row r="5409" spans="23:23" ht="15">
      <c r="W5409" s="361"/>
    </row>
    <row r="5410" spans="23:23" ht="15">
      <c r="W5410" s="361"/>
    </row>
    <row r="5411" spans="23:23" ht="15">
      <c r="W5411" s="361"/>
    </row>
    <row r="5412" spans="23:23" ht="15">
      <c r="W5412" s="361"/>
    </row>
    <row r="5413" spans="23:23" ht="15">
      <c r="W5413" s="361"/>
    </row>
    <row r="5414" spans="23:23" ht="15">
      <c r="W5414" s="361"/>
    </row>
    <row r="5415" spans="23:23" ht="15">
      <c r="W5415" s="361"/>
    </row>
    <row r="5416" spans="23:23" ht="15">
      <c r="W5416" s="361"/>
    </row>
    <row r="5417" spans="23:23" ht="15">
      <c r="W5417" s="361"/>
    </row>
    <row r="5418" spans="23:23" ht="15">
      <c r="W5418" s="361"/>
    </row>
    <row r="5419" spans="23:23" ht="15">
      <c r="W5419" s="361"/>
    </row>
    <row r="5420" spans="23:23" ht="15">
      <c r="W5420" s="361"/>
    </row>
    <row r="5421" spans="23:23" ht="15">
      <c r="W5421" s="361"/>
    </row>
    <row r="5422" spans="23:23" ht="15">
      <c r="W5422" s="361"/>
    </row>
    <row r="5423" spans="23:23" ht="15">
      <c r="W5423" s="361"/>
    </row>
    <row r="5424" spans="23:23" ht="15">
      <c r="W5424" s="361"/>
    </row>
    <row r="5425" spans="23:23" ht="15">
      <c r="W5425" s="361"/>
    </row>
    <row r="5426" spans="23:23" ht="15">
      <c r="W5426" s="361"/>
    </row>
    <row r="5427" spans="23:23" ht="15">
      <c r="W5427" s="361"/>
    </row>
    <row r="5428" spans="23:23" ht="15">
      <c r="W5428" s="361"/>
    </row>
    <row r="5429" spans="23:23" ht="15">
      <c r="W5429" s="361"/>
    </row>
    <row r="5430" spans="23:23" ht="15">
      <c r="W5430" s="361"/>
    </row>
    <row r="5431" spans="23:23" ht="15">
      <c r="W5431" s="361"/>
    </row>
    <row r="5432" spans="23:23" ht="15">
      <c r="W5432" s="361"/>
    </row>
    <row r="5433" spans="23:23" ht="15">
      <c r="W5433" s="361"/>
    </row>
    <row r="5434" spans="23:23" ht="15">
      <c r="W5434" s="361"/>
    </row>
    <row r="5435" spans="23:23" ht="15">
      <c r="W5435" s="361"/>
    </row>
    <row r="5436" spans="23:23" ht="15">
      <c r="W5436" s="361"/>
    </row>
    <row r="5437" spans="23:23" ht="15">
      <c r="W5437" s="361"/>
    </row>
    <row r="5438" spans="23:23" ht="15">
      <c r="W5438" s="361"/>
    </row>
    <row r="5439" spans="23:23" ht="15">
      <c r="W5439" s="361"/>
    </row>
    <row r="5440" spans="23:23" ht="15">
      <c r="W5440" s="361"/>
    </row>
    <row r="5441" spans="23:23" ht="15">
      <c r="W5441" s="361"/>
    </row>
    <row r="5442" spans="23:23" ht="15">
      <c r="W5442" s="361"/>
    </row>
    <row r="5443" spans="23:23" ht="15">
      <c r="W5443" s="361"/>
    </row>
    <row r="5444" spans="23:23" ht="15">
      <c r="W5444" s="361"/>
    </row>
    <row r="5445" spans="23:23" ht="15">
      <c r="W5445" s="361"/>
    </row>
    <row r="5446" spans="23:23" ht="15">
      <c r="W5446" s="361"/>
    </row>
    <row r="5447" spans="23:23" ht="15">
      <c r="W5447" s="361"/>
    </row>
    <row r="5448" spans="23:23" ht="15">
      <c r="W5448" s="361"/>
    </row>
    <row r="5449" spans="23:23" ht="15">
      <c r="W5449" s="361"/>
    </row>
    <row r="5450" spans="23:23" ht="15">
      <c r="W5450" s="361"/>
    </row>
    <row r="5451" spans="23:23" ht="15">
      <c r="W5451" s="361"/>
    </row>
    <row r="5452" spans="23:23" ht="15">
      <c r="W5452" s="361"/>
    </row>
    <row r="5453" spans="23:23" ht="15">
      <c r="W5453" s="361"/>
    </row>
    <row r="5454" spans="23:23" ht="15">
      <c r="W5454" s="361"/>
    </row>
    <row r="5455" spans="23:23" ht="15">
      <c r="W5455" s="361"/>
    </row>
    <row r="5456" spans="23:23" ht="15">
      <c r="W5456" s="361"/>
    </row>
    <row r="5457" spans="23:23" ht="15">
      <c r="W5457" s="361"/>
    </row>
    <row r="5458" spans="23:23" ht="15">
      <c r="W5458" s="361"/>
    </row>
    <row r="5459" spans="23:23" ht="15">
      <c r="W5459" s="361"/>
    </row>
    <row r="5460" spans="23:23" ht="15">
      <c r="W5460" s="361"/>
    </row>
    <row r="5461" spans="23:23" ht="15">
      <c r="W5461" s="361"/>
    </row>
    <row r="5462" spans="23:23" ht="15">
      <c r="W5462" s="361"/>
    </row>
    <row r="5463" spans="23:23" ht="15">
      <c r="W5463" s="361"/>
    </row>
    <row r="5464" spans="23:23" ht="15">
      <c r="W5464" s="361"/>
    </row>
    <row r="5465" spans="23:23" ht="15">
      <c r="W5465" s="361"/>
    </row>
    <row r="5466" spans="23:23" ht="15">
      <c r="W5466" s="361"/>
    </row>
    <row r="5467" spans="23:23" ht="15">
      <c r="W5467" s="361"/>
    </row>
    <row r="5468" spans="23:23" ht="15">
      <c r="W5468" s="361"/>
    </row>
    <row r="5469" spans="23:23" ht="15">
      <c r="W5469" s="361"/>
    </row>
    <row r="5470" spans="23:23" ht="15">
      <c r="W5470" s="361"/>
    </row>
    <row r="5471" spans="23:23" ht="15">
      <c r="W5471" s="361"/>
    </row>
    <row r="5472" spans="23:23" ht="15">
      <c r="W5472" s="361"/>
    </row>
    <row r="5473" spans="23:23" ht="15">
      <c r="W5473" s="361"/>
    </row>
    <row r="5474" spans="23:23" ht="15">
      <c r="W5474" s="361"/>
    </row>
    <row r="5475" spans="23:23" ht="15">
      <c r="W5475" s="361"/>
    </row>
    <row r="5476" spans="23:23" ht="15">
      <c r="W5476" s="361"/>
    </row>
    <row r="5477" spans="23:23" ht="15">
      <c r="W5477" s="361"/>
    </row>
    <row r="5478" spans="23:23" ht="15">
      <c r="W5478" s="361"/>
    </row>
    <row r="5479" spans="23:23" ht="15">
      <c r="W5479" s="361"/>
    </row>
    <row r="5480" spans="23:23" ht="15">
      <c r="W5480" s="361"/>
    </row>
    <row r="5481" spans="23:23" ht="15">
      <c r="W5481" s="361"/>
    </row>
    <row r="5482" spans="23:23" ht="15">
      <c r="W5482" s="361"/>
    </row>
    <row r="5483" spans="23:23" ht="15">
      <c r="W5483" s="361"/>
    </row>
    <row r="5484" spans="23:23" ht="15">
      <c r="W5484" s="361"/>
    </row>
    <row r="5485" spans="23:23" ht="15">
      <c r="W5485" s="361"/>
    </row>
    <row r="5486" spans="23:23" ht="15">
      <c r="W5486" s="361"/>
    </row>
    <row r="5487" spans="23:23" ht="15">
      <c r="W5487" s="361"/>
    </row>
    <row r="5488" spans="23:23" ht="15">
      <c r="W5488" s="361"/>
    </row>
    <row r="5489" spans="23:23" ht="15">
      <c r="W5489" s="361"/>
    </row>
    <row r="5490" spans="23:23" ht="15">
      <c r="W5490" s="361"/>
    </row>
    <row r="5491" spans="23:23" ht="15">
      <c r="W5491" s="361"/>
    </row>
    <row r="5492" spans="23:23" ht="15">
      <c r="W5492" s="361"/>
    </row>
    <row r="5493" spans="23:23" ht="15">
      <c r="W5493" s="361"/>
    </row>
    <row r="5494" spans="23:23" ht="15">
      <c r="W5494" s="361"/>
    </row>
    <row r="5495" spans="23:23" ht="15">
      <c r="W5495" s="361"/>
    </row>
    <row r="5496" spans="23:23" ht="15">
      <c r="W5496" s="361"/>
    </row>
    <row r="5497" spans="23:23" ht="15">
      <c r="W5497" s="361"/>
    </row>
    <row r="5498" spans="23:23" ht="15">
      <c r="W5498" s="361"/>
    </row>
    <row r="5499" spans="23:23" ht="15">
      <c r="W5499" s="361"/>
    </row>
    <row r="5500" spans="23:23" ht="15">
      <c r="W5500" s="361"/>
    </row>
    <row r="5501" spans="23:23" ht="15">
      <c r="W5501" s="361"/>
    </row>
    <row r="5502" spans="23:23" ht="15">
      <c r="W5502" s="361"/>
    </row>
    <row r="5503" spans="23:23" ht="15">
      <c r="W5503" s="361"/>
    </row>
    <row r="5504" spans="23:23" ht="15">
      <c r="W5504" s="361"/>
    </row>
    <row r="5505" spans="23:23" ht="15">
      <c r="W5505" s="361"/>
    </row>
    <row r="5506" spans="23:23" ht="15">
      <c r="W5506" s="361"/>
    </row>
    <row r="5507" spans="23:23" ht="15">
      <c r="W5507" s="361"/>
    </row>
    <row r="5508" spans="23:23" ht="15">
      <c r="W5508" s="361"/>
    </row>
    <row r="5509" spans="23:23" ht="15">
      <c r="W5509" s="361"/>
    </row>
    <row r="5510" spans="23:23" ht="15">
      <c r="W5510" s="361"/>
    </row>
    <row r="5511" spans="23:23" ht="15">
      <c r="W5511" s="361"/>
    </row>
    <row r="5512" spans="23:23" ht="15">
      <c r="W5512" s="361"/>
    </row>
    <row r="5513" spans="23:23" ht="15">
      <c r="W5513" s="361"/>
    </row>
    <row r="5514" spans="23:23" ht="15">
      <c r="W5514" s="361"/>
    </row>
    <row r="5515" spans="23:23" ht="15">
      <c r="W5515" s="361"/>
    </row>
    <row r="5516" spans="23:23" ht="15">
      <c r="W5516" s="361"/>
    </row>
    <row r="5517" spans="23:23" ht="15">
      <c r="W5517" s="361"/>
    </row>
    <row r="5518" spans="23:23" ht="15">
      <c r="W5518" s="361"/>
    </row>
    <row r="5519" spans="23:23" ht="15">
      <c r="W5519" s="361"/>
    </row>
    <row r="5520" spans="23:23" ht="15">
      <c r="W5520" s="361"/>
    </row>
    <row r="5521" spans="23:23" ht="15">
      <c r="W5521" s="361"/>
    </row>
    <row r="5522" spans="23:23" ht="15">
      <c r="W5522" s="361"/>
    </row>
    <row r="5523" spans="23:23" ht="15">
      <c r="W5523" s="361"/>
    </row>
    <row r="5524" spans="23:23" ht="15">
      <c r="W5524" s="361"/>
    </row>
    <row r="5525" spans="23:23" ht="15">
      <c r="W5525" s="361"/>
    </row>
    <row r="5526" spans="23:23" ht="15">
      <c r="W5526" s="361"/>
    </row>
    <row r="5527" spans="23:23" ht="15">
      <c r="W5527" s="361"/>
    </row>
    <row r="5528" spans="23:23" ht="15">
      <c r="W5528" s="361"/>
    </row>
    <row r="5529" spans="23:23" ht="15">
      <c r="W5529" s="361"/>
    </row>
    <row r="5530" spans="23:23" ht="15">
      <c r="W5530" s="361"/>
    </row>
    <row r="5531" spans="23:23" ht="15">
      <c r="W5531" s="361"/>
    </row>
    <row r="5532" spans="23:23" ht="15">
      <c r="W5532" s="361"/>
    </row>
    <row r="5533" spans="23:23" ht="15">
      <c r="W5533" s="361"/>
    </row>
    <row r="5534" spans="23:23" ht="15">
      <c r="W5534" s="361"/>
    </row>
    <row r="5535" spans="23:23" ht="15">
      <c r="W5535" s="361"/>
    </row>
    <row r="5536" spans="23:23" ht="15">
      <c r="W5536" s="361"/>
    </row>
    <row r="5537" spans="23:23" ht="15">
      <c r="W5537" s="361"/>
    </row>
    <row r="5538" spans="23:23" ht="15">
      <c r="W5538" s="361"/>
    </row>
    <row r="5539" spans="23:23" ht="15">
      <c r="W5539" s="361"/>
    </row>
    <row r="5540" spans="23:23" ht="15">
      <c r="W5540" s="361"/>
    </row>
    <row r="5541" spans="23:23" ht="15">
      <c r="W5541" s="361"/>
    </row>
    <row r="5542" spans="23:23" ht="15">
      <c r="W5542" s="361"/>
    </row>
    <row r="5543" spans="23:23" ht="15">
      <c r="W5543" s="361"/>
    </row>
    <row r="5544" spans="23:23" ht="15">
      <c r="W5544" s="361"/>
    </row>
    <row r="5545" spans="23:23" ht="15">
      <c r="W5545" s="361"/>
    </row>
    <row r="5546" spans="23:23" ht="15">
      <c r="W5546" s="361"/>
    </row>
    <row r="5547" spans="23:23" ht="15">
      <c r="W5547" s="361"/>
    </row>
    <row r="5548" spans="23:23" ht="15">
      <c r="W5548" s="361"/>
    </row>
    <row r="5549" spans="23:23" ht="15">
      <c r="W5549" s="361"/>
    </row>
    <row r="5550" spans="23:23" ht="15">
      <c r="W5550" s="361"/>
    </row>
    <row r="5551" spans="23:23" ht="15">
      <c r="W5551" s="361"/>
    </row>
    <row r="5552" spans="23:23" ht="15">
      <c r="W5552" s="361"/>
    </row>
    <row r="5553" spans="23:23" ht="15">
      <c r="W5553" s="361"/>
    </row>
    <row r="5554" spans="23:23" ht="15">
      <c r="W5554" s="361"/>
    </row>
    <row r="5555" spans="23:23" ht="15">
      <c r="W5555" s="361"/>
    </row>
    <row r="5556" spans="23:23" ht="15">
      <c r="W5556" s="361"/>
    </row>
    <row r="5557" spans="23:23" ht="15">
      <c r="W5557" s="361"/>
    </row>
    <row r="5558" spans="23:23" ht="15">
      <c r="W5558" s="361"/>
    </row>
    <row r="5559" spans="23:23" ht="15">
      <c r="W5559" s="361"/>
    </row>
    <row r="5560" spans="23:23" ht="15">
      <c r="W5560" s="361"/>
    </row>
    <row r="5561" spans="23:23" ht="15">
      <c r="W5561" s="361"/>
    </row>
    <row r="5562" spans="23:23" ht="15">
      <c r="W5562" s="361"/>
    </row>
    <row r="5563" spans="23:23" ht="15">
      <c r="W5563" s="361"/>
    </row>
    <row r="5564" spans="23:23" ht="15">
      <c r="W5564" s="361"/>
    </row>
    <row r="5565" spans="23:23" ht="15">
      <c r="W5565" s="361"/>
    </row>
    <row r="5566" spans="23:23" ht="15">
      <c r="W5566" s="361"/>
    </row>
    <row r="5567" spans="23:23" ht="15">
      <c r="W5567" s="361"/>
    </row>
    <row r="5568" spans="23:23" ht="15">
      <c r="W5568" s="361"/>
    </row>
    <row r="5569" spans="23:23" ht="15">
      <c r="W5569" s="361"/>
    </row>
    <row r="5570" spans="23:23" ht="15">
      <c r="W5570" s="361"/>
    </row>
    <row r="5571" spans="23:23" ht="15">
      <c r="W5571" s="361"/>
    </row>
    <row r="5572" spans="23:23" ht="15">
      <c r="W5572" s="361"/>
    </row>
    <row r="5573" spans="23:23" ht="15">
      <c r="W5573" s="361"/>
    </row>
    <row r="5574" spans="23:23" ht="15">
      <c r="W5574" s="361"/>
    </row>
    <row r="5575" spans="23:23" ht="15">
      <c r="W5575" s="361"/>
    </row>
    <row r="5576" spans="23:23" ht="15">
      <c r="W5576" s="361"/>
    </row>
    <row r="5577" spans="23:23" ht="15">
      <c r="W5577" s="361"/>
    </row>
    <row r="5578" spans="23:23" ht="15">
      <c r="W5578" s="361"/>
    </row>
    <row r="5579" spans="23:23" ht="15">
      <c r="W5579" s="361"/>
    </row>
    <row r="5580" spans="23:23" ht="15">
      <c r="W5580" s="361"/>
    </row>
    <row r="5581" spans="23:23" ht="15">
      <c r="W5581" s="361"/>
    </row>
    <row r="5582" spans="23:23" ht="15">
      <c r="W5582" s="361"/>
    </row>
    <row r="5583" spans="23:23" ht="15">
      <c r="W5583" s="361"/>
    </row>
    <row r="5584" spans="23:23" ht="15">
      <c r="W5584" s="361"/>
    </row>
    <row r="5585" spans="23:23" ht="15">
      <c r="W5585" s="361"/>
    </row>
    <row r="5586" spans="23:23" ht="15">
      <c r="W5586" s="361"/>
    </row>
    <row r="5587" spans="23:23" ht="15">
      <c r="W5587" s="361"/>
    </row>
    <row r="5588" spans="23:23" ht="15">
      <c r="W5588" s="361"/>
    </row>
    <row r="5589" spans="23:23" ht="15">
      <c r="W5589" s="361"/>
    </row>
    <row r="5590" spans="23:23" ht="15">
      <c r="W5590" s="361"/>
    </row>
    <row r="5591" spans="23:23" ht="15">
      <c r="W5591" s="361"/>
    </row>
    <row r="5592" spans="23:23" ht="15">
      <c r="W5592" s="361"/>
    </row>
    <row r="5593" spans="23:23" ht="15">
      <c r="W5593" s="361"/>
    </row>
    <row r="5594" spans="23:23" ht="15">
      <c r="W5594" s="361"/>
    </row>
    <row r="5595" spans="23:23" ht="15">
      <c r="W5595" s="361"/>
    </row>
    <row r="5596" spans="23:23" ht="15">
      <c r="W5596" s="361"/>
    </row>
    <row r="5597" spans="23:23" ht="15">
      <c r="W5597" s="361"/>
    </row>
    <row r="5598" spans="23:23" ht="15">
      <c r="W5598" s="361"/>
    </row>
    <row r="5599" spans="23:23" ht="15">
      <c r="W5599" s="361"/>
    </row>
    <row r="5600" spans="23:23" ht="15">
      <c r="W5600" s="361"/>
    </row>
    <row r="5601" spans="23:23" ht="15">
      <c r="W5601" s="361"/>
    </row>
    <row r="5602" spans="23:23" ht="15">
      <c r="W5602" s="361"/>
    </row>
    <row r="5603" spans="23:23" ht="15">
      <c r="W5603" s="361"/>
    </row>
    <row r="5604" spans="23:23" ht="15">
      <c r="W5604" s="361"/>
    </row>
    <row r="5605" spans="23:23" ht="15">
      <c r="W5605" s="361"/>
    </row>
    <row r="5606" spans="23:23" ht="15">
      <c r="W5606" s="361"/>
    </row>
    <row r="5607" spans="23:23" ht="15">
      <c r="W5607" s="361"/>
    </row>
    <row r="5608" spans="23:23" ht="15">
      <c r="W5608" s="361"/>
    </row>
    <row r="5609" spans="23:23" ht="15">
      <c r="W5609" s="361"/>
    </row>
    <row r="5610" spans="23:23" ht="15">
      <c r="W5610" s="361"/>
    </row>
    <row r="5611" spans="23:23" ht="15">
      <c r="W5611" s="361"/>
    </row>
    <row r="5612" spans="23:23" ht="15">
      <c r="W5612" s="361"/>
    </row>
    <row r="5613" spans="23:23" ht="15">
      <c r="W5613" s="361"/>
    </row>
    <row r="5614" spans="23:23" ht="15">
      <c r="W5614" s="361"/>
    </row>
    <row r="5615" spans="23:23" ht="15">
      <c r="W5615" s="361"/>
    </row>
    <row r="5616" spans="23:23" ht="15">
      <c r="W5616" s="361"/>
    </row>
    <row r="5617" spans="23:23" ht="15">
      <c r="W5617" s="361"/>
    </row>
    <row r="5618" spans="23:23" ht="15">
      <c r="W5618" s="361"/>
    </row>
    <row r="5619" spans="23:23" ht="15">
      <c r="W5619" s="361"/>
    </row>
    <row r="5620" spans="23:23" ht="15">
      <c r="W5620" s="361"/>
    </row>
    <row r="5621" spans="23:23" ht="15">
      <c r="W5621" s="361"/>
    </row>
    <row r="5622" spans="23:23" ht="15">
      <c r="W5622" s="361"/>
    </row>
    <row r="5623" spans="23:23" ht="15">
      <c r="W5623" s="361"/>
    </row>
    <row r="5624" spans="23:23" ht="15">
      <c r="W5624" s="361"/>
    </row>
    <row r="5625" spans="23:23" ht="15">
      <c r="W5625" s="361"/>
    </row>
    <row r="5626" spans="23:23" ht="15">
      <c r="W5626" s="361"/>
    </row>
    <row r="5627" spans="23:23" ht="15">
      <c r="W5627" s="361"/>
    </row>
    <row r="5628" spans="23:23" ht="15">
      <c r="W5628" s="361"/>
    </row>
    <row r="5629" spans="23:23" ht="15">
      <c r="W5629" s="361"/>
    </row>
    <row r="5630" spans="23:23" ht="15">
      <c r="W5630" s="361"/>
    </row>
    <row r="5631" spans="23:23" ht="15">
      <c r="W5631" s="361"/>
    </row>
    <row r="5632" spans="23:23" ht="15">
      <c r="W5632" s="361"/>
    </row>
    <row r="5633" spans="23:23" ht="15">
      <c r="W5633" s="361"/>
    </row>
    <row r="5634" spans="23:23" ht="15">
      <c r="W5634" s="361"/>
    </row>
    <row r="5635" spans="23:23" ht="15">
      <c r="W5635" s="361"/>
    </row>
    <row r="5636" spans="23:23" ht="15">
      <c r="W5636" s="361"/>
    </row>
    <row r="5637" spans="23:23" ht="15">
      <c r="W5637" s="361"/>
    </row>
    <row r="5638" spans="23:23" ht="15">
      <c r="W5638" s="361"/>
    </row>
    <row r="5639" spans="23:23" ht="15">
      <c r="W5639" s="361"/>
    </row>
    <row r="5640" spans="23:23" ht="15">
      <c r="W5640" s="361"/>
    </row>
    <row r="5641" spans="23:23" ht="15">
      <c r="W5641" s="361"/>
    </row>
    <row r="5642" spans="23:23" ht="15">
      <c r="W5642" s="361"/>
    </row>
    <row r="5643" spans="23:23" ht="15">
      <c r="W5643" s="361"/>
    </row>
    <row r="5644" spans="23:23" ht="15">
      <c r="W5644" s="361"/>
    </row>
    <row r="5645" spans="23:23" ht="15">
      <c r="W5645" s="361"/>
    </row>
    <row r="5646" spans="23:23" ht="15">
      <c r="W5646" s="361"/>
    </row>
    <row r="5647" spans="23:23" ht="15">
      <c r="W5647" s="361"/>
    </row>
    <row r="5648" spans="23:23" ht="15">
      <c r="W5648" s="361"/>
    </row>
    <row r="5649" spans="23:23" ht="15">
      <c r="W5649" s="361"/>
    </row>
    <row r="5650" spans="23:23" ht="15">
      <c r="W5650" s="361"/>
    </row>
    <row r="5651" spans="23:23" ht="15">
      <c r="W5651" s="361"/>
    </row>
    <row r="5652" spans="23:23" ht="15">
      <c r="W5652" s="361"/>
    </row>
    <row r="5653" spans="23:23" ht="15">
      <c r="W5653" s="361"/>
    </row>
    <row r="5654" spans="23:23" ht="15">
      <c r="W5654" s="361"/>
    </row>
    <row r="5655" spans="23:23" ht="15">
      <c r="W5655" s="361"/>
    </row>
    <row r="5656" spans="23:23" ht="15">
      <c r="W5656" s="361"/>
    </row>
    <row r="5657" spans="23:23" ht="15">
      <c r="W5657" s="361"/>
    </row>
    <row r="5658" spans="23:23" ht="15">
      <c r="W5658" s="361"/>
    </row>
    <row r="5659" spans="23:23" ht="15">
      <c r="W5659" s="361"/>
    </row>
    <row r="5660" spans="23:23" ht="15">
      <c r="W5660" s="361"/>
    </row>
    <row r="5661" spans="23:23" ht="15">
      <c r="W5661" s="361"/>
    </row>
    <row r="5662" spans="23:23" ht="15">
      <c r="W5662" s="361"/>
    </row>
    <row r="5663" spans="23:23" ht="15">
      <c r="W5663" s="361"/>
    </row>
    <row r="5664" spans="23:23" ht="15">
      <c r="W5664" s="361"/>
    </row>
    <row r="5665" spans="23:23" ht="15">
      <c r="W5665" s="361"/>
    </row>
    <row r="5666" spans="23:23" ht="15">
      <c r="W5666" s="361"/>
    </row>
    <row r="5667" spans="23:23" ht="15">
      <c r="W5667" s="361"/>
    </row>
    <row r="5668" spans="23:23" ht="15">
      <c r="W5668" s="361"/>
    </row>
    <row r="5669" spans="23:23" ht="15">
      <c r="W5669" s="361"/>
    </row>
    <row r="5670" spans="23:23" ht="15">
      <c r="W5670" s="361"/>
    </row>
    <row r="5671" spans="23:23" ht="15">
      <c r="W5671" s="361"/>
    </row>
    <row r="5672" spans="23:23" ht="15">
      <c r="W5672" s="361"/>
    </row>
    <row r="5673" spans="23:23" ht="15">
      <c r="W5673" s="361"/>
    </row>
    <row r="5674" spans="23:23" ht="15">
      <c r="W5674" s="361"/>
    </row>
    <row r="5675" spans="23:23" ht="15">
      <c r="W5675" s="361"/>
    </row>
    <row r="5676" spans="23:23" ht="15">
      <c r="W5676" s="361"/>
    </row>
    <row r="5677" spans="23:23" ht="15">
      <c r="W5677" s="361"/>
    </row>
    <row r="5678" spans="23:23" ht="15">
      <c r="W5678" s="361"/>
    </row>
    <row r="5679" spans="23:23" ht="15">
      <c r="W5679" s="361"/>
    </row>
    <row r="5680" spans="23:23" ht="15">
      <c r="W5680" s="361"/>
    </row>
    <row r="5681" spans="23:23" ht="15">
      <c r="W5681" s="361"/>
    </row>
    <row r="5682" spans="23:23" ht="15">
      <c r="W5682" s="361"/>
    </row>
    <row r="5683" spans="23:23" ht="15">
      <c r="W5683" s="361"/>
    </row>
    <row r="5684" spans="23:23" ht="15">
      <c r="W5684" s="361"/>
    </row>
    <row r="5685" spans="23:23" ht="15">
      <c r="W5685" s="361"/>
    </row>
    <row r="5686" spans="23:23" ht="15">
      <c r="W5686" s="361"/>
    </row>
    <row r="5687" spans="23:23" ht="15">
      <c r="W5687" s="361"/>
    </row>
    <row r="5688" spans="23:23" ht="15">
      <c r="W5688" s="361"/>
    </row>
    <row r="5689" spans="23:23" ht="15">
      <c r="W5689" s="361"/>
    </row>
    <row r="5690" spans="23:23" ht="15">
      <c r="W5690" s="361"/>
    </row>
    <row r="5691" spans="23:23" ht="15">
      <c r="W5691" s="361"/>
    </row>
    <row r="5692" spans="23:23" ht="15">
      <c r="W5692" s="361"/>
    </row>
    <row r="5693" spans="23:23" ht="15">
      <c r="W5693" s="361"/>
    </row>
    <row r="5694" spans="23:23" ht="15">
      <c r="W5694" s="361"/>
    </row>
    <row r="5695" spans="23:23" ht="15">
      <c r="W5695" s="361"/>
    </row>
    <row r="5696" spans="23:23" ht="15">
      <c r="W5696" s="361"/>
    </row>
    <row r="5697" spans="23:23" ht="15">
      <c r="W5697" s="361"/>
    </row>
    <row r="5698" spans="23:23" ht="15">
      <c r="W5698" s="361"/>
    </row>
    <row r="5699" spans="23:23" ht="15">
      <c r="W5699" s="361"/>
    </row>
    <row r="5700" spans="23:23" ht="15">
      <c r="W5700" s="361"/>
    </row>
    <row r="5701" spans="23:23" ht="15">
      <c r="W5701" s="361"/>
    </row>
    <row r="5702" spans="23:23" ht="15">
      <c r="W5702" s="361"/>
    </row>
    <row r="5703" spans="23:23" ht="15">
      <c r="W5703" s="361"/>
    </row>
    <row r="5704" spans="23:23" ht="15">
      <c r="W5704" s="361"/>
    </row>
    <row r="5705" spans="23:23" ht="15">
      <c r="W5705" s="361"/>
    </row>
    <row r="5706" spans="23:23" ht="15">
      <c r="W5706" s="361"/>
    </row>
    <row r="5707" spans="23:23" ht="15">
      <c r="W5707" s="361"/>
    </row>
    <row r="5708" spans="23:23" ht="15">
      <c r="W5708" s="361"/>
    </row>
    <row r="5709" spans="23:23" ht="15">
      <c r="W5709" s="361"/>
    </row>
    <row r="5710" spans="23:23" ht="15">
      <c r="W5710" s="361"/>
    </row>
    <row r="5711" spans="23:23" ht="15">
      <c r="W5711" s="361"/>
    </row>
    <row r="5712" spans="23:23" ht="15">
      <c r="W5712" s="361"/>
    </row>
    <row r="5713" spans="23:23" ht="15">
      <c r="W5713" s="361"/>
    </row>
    <row r="5714" spans="23:23" ht="15">
      <c r="W5714" s="361"/>
    </row>
    <row r="5715" spans="23:23" ht="15">
      <c r="W5715" s="361"/>
    </row>
    <row r="5716" spans="23:23" ht="15">
      <c r="W5716" s="361"/>
    </row>
    <row r="5717" spans="23:23" ht="15">
      <c r="W5717" s="361"/>
    </row>
    <row r="5718" spans="23:23" ht="15">
      <c r="W5718" s="361"/>
    </row>
    <row r="5719" spans="23:23" ht="15">
      <c r="W5719" s="361"/>
    </row>
    <row r="5720" spans="23:23" ht="15">
      <c r="W5720" s="361"/>
    </row>
    <row r="5721" spans="23:23" ht="15">
      <c r="W5721" s="361"/>
    </row>
    <row r="5722" spans="23:23" ht="15">
      <c r="W5722" s="361"/>
    </row>
    <row r="5723" spans="23:23" ht="15">
      <c r="W5723" s="361"/>
    </row>
    <row r="5724" spans="23:23" ht="15">
      <c r="W5724" s="361"/>
    </row>
    <row r="5725" spans="23:23" ht="15">
      <c r="W5725" s="361"/>
    </row>
    <row r="5726" spans="23:23" ht="15">
      <c r="W5726" s="361"/>
    </row>
    <row r="5727" spans="23:23" ht="15">
      <c r="W5727" s="361"/>
    </row>
    <row r="5728" spans="23:23" ht="15">
      <c r="W5728" s="361"/>
    </row>
    <row r="5729" spans="23:23" ht="15">
      <c r="W5729" s="361"/>
    </row>
    <row r="5730" spans="23:23" ht="15">
      <c r="W5730" s="361"/>
    </row>
    <row r="5731" spans="23:23" ht="15">
      <c r="W5731" s="361"/>
    </row>
    <row r="5732" spans="23:23" ht="15">
      <c r="W5732" s="361"/>
    </row>
    <row r="5733" spans="23:23" ht="15">
      <c r="W5733" s="361"/>
    </row>
    <row r="5734" spans="23:23" ht="15">
      <c r="W5734" s="361"/>
    </row>
    <row r="5735" spans="23:23" ht="15">
      <c r="W5735" s="361"/>
    </row>
    <row r="5736" spans="23:23" ht="15">
      <c r="W5736" s="361"/>
    </row>
    <row r="5737" spans="23:23" ht="15">
      <c r="W5737" s="361"/>
    </row>
    <row r="5738" spans="23:23" ht="15">
      <c r="W5738" s="361"/>
    </row>
    <row r="5739" spans="23:23" ht="15">
      <c r="W5739" s="361"/>
    </row>
    <row r="5740" spans="23:23" ht="15">
      <c r="W5740" s="361"/>
    </row>
    <row r="5741" spans="23:23" ht="15">
      <c r="W5741" s="361"/>
    </row>
    <row r="5742" spans="23:23" ht="15">
      <c r="W5742" s="361"/>
    </row>
    <row r="5743" spans="23:23" ht="15">
      <c r="W5743" s="361"/>
    </row>
    <row r="5744" spans="23:23" ht="15">
      <c r="W5744" s="361"/>
    </row>
    <row r="5745" spans="23:23" ht="15">
      <c r="W5745" s="361"/>
    </row>
    <row r="5746" spans="23:23" ht="15">
      <c r="W5746" s="361"/>
    </row>
    <row r="5747" spans="23:23" ht="15">
      <c r="W5747" s="361"/>
    </row>
    <row r="5748" spans="23:23" ht="15">
      <c r="W5748" s="361"/>
    </row>
    <row r="5749" spans="23:23" ht="15">
      <c r="W5749" s="361"/>
    </row>
    <row r="5750" spans="23:23" ht="15">
      <c r="W5750" s="361"/>
    </row>
    <row r="5751" spans="23:23" ht="15">
      <c r="W5751" s="361"/>
    </row>
    <row r="5752" spans="23:23" ht="15">
      <c r="W5752" s="361"/>
    </row>
    <row r="5753" spans="23:23" ht="15">
      <c r="W5753" s="361"/>
    </row>
    <row r="5754" spans="23:23" ht="15">
      <c r="W5754" s="361"/>
    </row>
    <row r="5755" spans="23:23" ht="15">
      <c r="W5755" s="361"/>
    </row>
    <row r="5756" spans="23:23" ht="15">
      <c r="W5756" s="361"/>
    </row>
    <row r="5757" spans="23:23" ht="15">
      <c r="W5757" s="361"/>
    </row>
    <row r="5758" spans="23:23" ht="15">
      <c r="W5758" s="361"/>
    </row>
    <row r="5759" spans="23:23" ht="15">
      <c r="W5759" s="361"/>
    </row>
    <row r="5760" spans="23:23" ht="15">
      <c r="W5760" s="361"/>
    </row>
    <row r="5761" spans="23:23" ht="15">
      <c r="W5761" s="361"/>
    </row>
    <row r="5762" spans="23:23" ht="15">
      <c r="W5762" s="361"/>
    </row>
    <row r="5763" spans="23:23" ht="15">
      <c r="W5763" s="361"/>
    </row>
    <row r="5764" spans="23:23" ht="15">
      <c r="W5764" s="361"/>
    </row>
    <row r="5765" spans="23:23" ht="15">
      <c r="W5765" s="361"/>
    </row>
    <row r="5766" spans="23:23" ht="15">
      <c r="W5766" s="361"/>
    </row>
    <row r="5767" spans="23:23" ht="15">
      <c r="W5767" s="361"/>
    </row>
    <row r="5768" spans="23:23" ht="15">
      <c r="W5768" s="361"/>
    </row>
    <row r="5769" spans="23:23" ht="15">
      <c r="W5769" s="361"/>
    </row>
    <row r="5770" spans="23:23" ht="15">
      <c r="W5770" s="361"/>
    </row>
    <row r="5771" spans="23:23" ht="15">
      <c r="W5771" s="361"/>
    </row>
    <row r="5772" spans="23:23" ht="15">
      <c r="W5772" s="361"/>
    </row>
    <row r="5773" spans="23:23" ht="15">
      <c r="W5773" s="361"/>
    </row>
    <row r="5774" spans="23:23" ht="15">
      <c r="W5774" s="361"/>
    </row>
    <row r="5775" spans="23:23" ht="15">
      <c r="W5775" s="361"/>
    </row>
    <row r="5776" spans="23:23" ht="15">
      <c r="W5776" s="361"/>
    </row>
    <row r="5777" spans="23:23" ht="15">
      <c r="W5777" s="361"/>
    </row>
    <row r="5778" spans="23:23" ht="15">
      <c r="W5778" s="361"/>
    </row>
    <row r="5779" spans="23:23" ht="15">
      <c r="W5779" s="361"/>
    </row>
    <row r="5780" spans="23:23" ht="15">
      <c r="W5780" s="361"/>
    </row>
    <row r="5781" spans="23:23" ht="15">
      <c r="W5781" s="361"/>
    </row>
    <row r="5782" spans="23:23" ht="15">
      <c r="W5782" s="361"/>
    </row>
    <row r="5783" spans="23:23" ht="15">
      <c r="W5783" s="361"/>
    </row>
    <row r="5784" spans="23:23" ht="15">
      <c r="W5784" s="361"/>
    </row>
    <row r="5785" spans="23:23" ht="15">
      <c r="W5785" s="361"/>
    </row>
    <row r="5786" spans="23:23" ht="15">
      <c r="W5786" s="361"/>
    </row>
    <row r="5787" spans="23:23" ht="15">
      <c r="W5787" s="361"/>
    </row>
    <row r="5788" spans="23:23" ht="15">
      <c r="W5788" s="361"/>
    </row>
    <row r="5789" spans="23:23" ht="15">
      <c r="W5789" s="361"/>
    </row>
    <row r="5790" spans="23:23" ht="15">
      <c r="W5790" s="361"/>
    </row>
    <row r="5791" spans="23:23" ht="15">
      <c r="W5791" s="361"/>
    </row>
    <row r="5792" spans="23:23" ht="15">
      <c r="W5792" s="361"/>
    </row>
    <row r="5793" spans="23:23" ht="15">
      <c r="W5793" s="361"/>
    </row>
    <row r="5794" spans="23:23" ht="15">
      <c r="W5794" s="361"/>
    </row>
    <row r="5795" spans="23:23" ht="15">
      <c r="W5795" s="361"/>
    </row>
    <row r="5796" spans="23:23" ht="15">
      <c r="W5796" s="361"/>
    </row>
    <row r="5797" spans="23:23" ht="15">
      <c r="W5797" s="361"/>
    </row>
    <row r="5798" spans="23:23" ht="15">
      <c r="W5798" s="361"/>
    </row>
    <row r="5799" spans="23:23" ht="15">
      <c r="W5799" s="361"/>
    </row>
    <row r="5800" spans="23:23" ht="15">
      <c r="W5800" s="361"/>
    </row>
    <row r="5801" spans="23:23" ht="15">
      <c r="W5801" s="361"/>
    </row>
    <row r="5802" spans="23:23" ht="15">
      <c r="W5802" s="361"/>
    </row>
    <row r="5803" spans="23:23" ht="15">
      <c r="W5803" s="361"/>
    </row>
    <row r="5804" spans="23:23" ht="15">
      <c r="W5804" s="361"/>
    </row>
    <row r="5805" spans="23:23" ht="15">
      <c r="W5805" s="361"/>
    </row>
    <row r="5806" spans="23:23" ht="15">
      <c r="W5806" s="361"/>
    </row>
    <row r="5807" spans="23:23" ht="15">
      <c r="W5807" s="361"/>
    </row>
    <row r="5808" spans="23:23" ht="15">
      <c r="W5808" s="361"/>
    </row>
    <row r="5809" spans="23:23" ht="15">
      <c r="W5809" s="361"/>
    </row>
    <row r="5810" spans="23:23" ht="15">
      <c r="W5810" s="361"/>
    </row>
    <row r="5811" spans="23:23" ht="15">
      <c r="W5811" s="361"/>
    </row>
    <row r="5812" spans="23:23" ht="15">
      <c r="W5812" s="361"/>
    </row>
    <row r="5813" spans="23:23" ht="15">
      <c r="W5813" s="361"/>
    </row>
    <row r="5814" spans="23:23" ht="15">
      <c r="W5814" s="361"/>
    </row>
    <row r="5815" spans="23:23" ht="15">
      <c r="W5815" s="361"/>
    </row>
    <row r="5816" spans="23:23" ht="15">
      <c r="W5816" s="361"/>
    </row>
    <row r="5817" spans="23:23" ht="15">
      <c r="W5817" s="361"/>
    </row>
    <row r="5818" spans="23:23" ht="15">
      <c r="W5818" s="361"/>
    </row>
    <row r="5819" spans="23:23" ht="15">
      <c r="W5819" s="361"/>
    </row>
    <row r="5820" spans="23:23" ht="15">
      <c r="W5820" s="361"/>
    </row>
    <row r="5821" spans="23:23" ht="15">
      <c r="W5821" s="361"/>
    </row>
    <row r="5822" spans="23:23" ht="15">
      <c r="W5822" s="361"/>
    </row>
    <row r="5823" spans="23:23" ht="15">
      <c r="W5823" s="361"/>
    </row>
    <row r="5824" spans="23:23" ht="15">
      <c r="W5824" s="361"/>
    </row>
    <row r="5825" spans="23:23" ht="15">
      <c r="W5825" s="361"/>
    </row>
    <row r="5826" spans="23:23" ht="15">
      <c r="W5826" s="361"/>
    </row>
    <row r="5827" spans="23:23" ht="15">
      <c r="W5827" s="361"/>
    </row>
    <row r="5828" spans="23:23" ht="15">
      <c r="W5828" s="361"/>
    </row>
    <row r="5829" spans="23:23" ht="15">
      <c r="W5829" s="361"/>
    </row>
    <row r="5830" spans="23:23" ht="15">
      <c r="W5830" s="361"/>
    </row>
    <row r="5831" spans="23:23" ht="15">
      <c r="W5831" s="361"/>
    </row>
    <row r="5832" spans="23:23" ht="15">
      <c r="W5832" s="361"/>
    </row>
    <row r="5833" spans="23:23" ht="15">
      <c r="W5833" s="361"/>
    </row>
    <row r="5834" spans="23:23" ht="15">
      <c r="W5834" s="361"/>
    </row>
    <row r="5835" spans="23:23" ht="15">
      <c r="W5835" s="361"/>
    </row>
    <row r="5836" spans="23:23" ht="15">
      <c r="W5836" s="361"/>
    </row>
    <row r="5837" spans="23:23" ht="15">
      <c r="W5837" s="361"/>
    </row>
    <row r="5838" spans="23:23" ht="15">
      <c r="W5838" s="361"/>
    </row>
    <row r="5839" spans="23:23" ht="15">
      <c r="W5839" s="361"/>
    </row>
    <row r="5840" spans="23:23" ht="15">
      <c r="W5840" s="361"/>
    </row>
    <row r="5841" spans="23:23" ht="15">
      <c r="W5841" s="361"/>
    </row>
    <row r="5842" spans="23:23" ht="15">
      <c r="W5842" s="361"/>
    </row>
    <row r="5843" spans="23:23" ht="15">
      <c r="W5843" s="361"/>
    </row>
    <row r="5844" spans="23:23" ht="15">
      <c r="W5844" s="361"/>
    </row>
    <row r="5845" spans="23:23" ht="15">
      <c r="W5845" s="361"/>
    </row>
    <row r="5846" spans="23:23" ht="15">
      <c r="W5846" s="361"/>
    </row>
    <row r="5847" spans="23:23" ht="15">
      <c r="W5847" s="361"/>
    </row>
    <row r="5848" spans="23:23" ht="15">
      <c r="W5848" s="361"/>
    </row>
    <row r="5849" spans="23:23" ht="15">
      <c r="W5849" s="361"/>
    </row>
    <row r="5850" spans="23:23" ht="15">
      <c r="W5850" s="361"/>
    </row>
    <row r="5851" spans="23:23" ht="15">
      <c r="W5851" s="361"/>
    </row>
    <row r="5852" spans="23:23" ht="15">
      <c r="W5852" s="361"/>
    </row>
    <row r="5853" spans="23:23" ht="15">
      <c r="W5853" s="361"/>
    </row>
    <row r="5854" spans="23:23" ht="15">
      <c r="W5854" s="361"/>
    </row>
    <row r="5855" spans="23:23" ht="15">
      <c r="W5855" s="361"/>
    </row>
    <row r="5856" spans="23:23" ht="15">
      <c r="W5856" s="361"/>
    </row>
    <row r="5857" spans="23:23" ht="15">
      <c r="W5857" s="361"/>
    </row>
    <row r="5858" spans="23:23" ht="15">
      <c r="W5858" s="361"/>
    </row>
    <row r="5859" spans="23:23" ht="15">
      <c r="W5859" s="361"/>
    </row>
    <row r="5860" spans="23:23" ht="15">
      <c r="W5860" s="361"/>
    </row>
    <row r="5861" spans="23:23" ht="15">
      <c r="W5861" s="361"/>
    </row>
    <row r="5862" spans="23:23" ht="15">
      <c r="W5862" s="361"/>
    </row>
    <row r="5863" spans="23:23" ht="15">
      <c r="W5863" s="361"/>
    </row>
    <row r="5864" spans="23:23" ht="15">
      <c r="W5864" s="361"/>
    </row>
    <row r="5865" spans="23:23" ht="15">
      <c r="W5865" s="361"/>
    </row>
    <row r="5866" spans="23:23" ht="15">
      <c r="W5866" s="361"/>
    </row>
    <row r="5867" spans="23:23" ht="15">
      <c r="W5867" s="361"/>
    </row>
    <row r="5868" spans="23:23" ht="15">
      <c r="W5868" s="361"/>
    </row>
    <row r="5869" spans="23:23" ht="15">
      <c r="W5869" s="361"/>
    </row>
    <row r="5870" spans="23:23" ht="15">
      <c r="W5870" s="361"/>
    </row>
    <row r="5871" spans="23:23" ht="15">
      <c r="W5871" s="361"/>
    </row>
    <row r="5872" spans="23:23" ht="15">
      <c r="W5872" s="361"/>
    </row>
    <row r="5873" spans="23:23" ht="15">
      <c r="W5873" s="361"/>
    </row>
    <row r="5874" spans="23:23" ht="15">
      <c r="W5874" s="361"/>
    </row>
    <row r="5875" spans="23:23" ht="15">
      <c r="W5875" s="361"/>
    </row>
    <row r="5876" spans="23:23" ht="15">
      <c r="W5876" s="361"/>
    </row>
    <row r="5877" spans="23:23" ht="15">
      <c r="W5877" s="361"/>
    </row>
    <row r="5878" spans="23:23" ht="15">
      <c r="W5878" s="361"/>
    </row>
    <row r="5879" spans="23:23" ht="15">
      <c r="W5879" s="361"/>
    </row>
    <row r="5880" spans="23:23" ht="15">
      <c r="W5880" s="361"/>
    </row>
    <row r="5881" spans="23:23" ht="15">
      <c r="W5881" s="361"/>
    </row>
    <row r="5882" spans="23:23" ht="15">
      <c r="W5882" s="361"/>
    </row>
    <row r="5883" spans="23:23" ht="15">
      <c r="W5883" s="361"/>
    </row>
    <row r="5884" spans="23:23" ht="15">
      <c r="W5884" s="361"/>
    </row>
    <row r="5885" spans="23:23" ht="15">
      <c r="W5885" s="361"/>
    </row>
    <row r="5886" spans="23:23" ht="15">
      <c r="W5886" s="361"/>
    </row>
    <row r="5887" spans="23:23" ht="15">
      <c r="W5887" s="361"/>
    </row>
    <row r="5888" spans="23:23" ht="15">
      <c r="W5888" s="361"/>
    </row>
    <row r="5889" spans="23:23" ht="15">
      <c r="W5889" s="361"/>
    </row>
    <row r="5890" spans="23:23" ht="15">
      <c r="W5890" s="361"/>
    </row>
    <row r="5891" spans="23:23" ht="15">
      <c r="W5891" s="361"/>
    </row>
    <row r="5892" spans="23:23" ht="15">
      <c r="W5892" s="361"/>
    </row>
    <row r="5893" spans="23:23" ht="15">
      <c r="W5893" s="361"/>
    </row>
    <row r="5894" spans="23:23" ht="15">
      <c r="W5894" s="361"/>
    </row>
    <row r="5895" spans="23:23" ht="15">
      <c r="W5895" s="361"/>
    </row>
    <row r="5896" spans="23:23" ht="15">
      <c r="W5896" s="361"/>
    </row>
    <row r="5897" spans="23:23" ht="15">
      <c r="W5897" s="361"/>
    </row>
    <row r="5898" spans="23:23" ht="15">
      <c r="W5898" s="361"/>
    </row>
    <row r="5899" spans="23:23" ht="15">
      <c r="W5899" s="361"/>
    </row>
    <row r="5900" spans="23:23" ht="15">
      <c r="W5900" s="361"/>
    </row>
    <row r="5901" spans="23:23" ht="15">
      <c r="W5901" s="361"/>
    </row>
    <row r="5902" spans="23:23" ht="15">
      <c r="W5902" s="361"/>
    </row>
    <row r="5903" spans="23:23" ht="15">
      <c r="W5903" s="361"/>
    </row>
    <row r="5904" spans="23:23" ht="15">
      <c r="W5904" s="361"/>
    </row>
    <row r="5905" spans="23:23" ht="15">
      <c r="W5905" s="361"/>
    </row>
    <row r="5906" spans="23:23" ht="15">
      <c r="W5906" s="361"/>
    </row>
    <row r="5907" spans="23:23" ht="15">
      <c r="W5907" s="361"/>
    </row>
    <row r="5908" spans="23:23" ht="15">
      <c r="W5908" s="361"/>
    </row>
    <row r="5909" spans="23:23" ht="15">
      <c r="W5909" s="361"/>
    </row>
    <row r="5910" spans="23:23" ht="15">
      <c r="W5910" s="361"/>
    </row>
    <row r="5911" spans="23:23" ht="15">
      <c r="W5911" s="361"/>
    </row>
    <row r="5912" spans="23:23" ht="15">
      <c r="W5912" s="361"/>
    </row>
    <row r="5913" spans="23:23" ht="15">
      <c r="W5913" s="361"/>
    </row>
    <row r="5914" spans="23:23" ht="15">
      <c r="W5914" s="361"/>
    </row>
    <row r="5915" spans="23:23" ht="15">
      <c r="W5915" s="361"/>
    </row>
    <row r="5916" spans="23:23" ht="15">
      <c r="W5916" s="361"/>
    </row>
    <row r="5917" spans="23:23" ht="15">
      <c r="W5917" s="361"/>
    </row>
    <row r="5918" spans="23:23" ht="15">
      <c r="W5918" s="361"/>
    </row>
    <row r="5919" spans="23:23" ht="15">
      <c r="W5919" s="361"/>
    </row>
    <row r="5920" spans="23:23" ht="15">
      <c r="W5920" s="361"/>
    </row>
    <row r="5921" spans="23:23" ht="15">
      <c r="W5921" s="361"/>
    </row>
    <row r="5922" spans="23:23" ht="15">
      <c r="W5922" s="361"/>
    </row>
    <row r="5923" spans="23:23" ht="15">
      <c r="W5923" s="361"/>
    </row>
    <row r="5924" spans="23:23" ht="15">
      <c r="W5924" s="361"/>
    </row>
    <row r="5925" spans="23:23" ht="15">
      <c r="W5925" s="361"/>
    </row>
    <row r="5926" spans="23:23" ht="15">
      <c r="W5926" s="361"/>
    </row>
    <row r="5927" spans="23:23" ht="15">
      <c r="W5927" s="361"/>
    </row>
    <row r="5928" spans="23:23" ht="15">
      <c r="W5928" s="361"/>
    </row>
    <row r="5929" spans="23:23" ht="15">
      <c r="W5929" s="361"/>
    </row>
    <row r="5930" spans="23:23" ht="15">
      <c r="W5930" s="361"/>
    </row>
    <row r="5931" spans="23:23" ht="15">
      <c r="W5931" s="361"/>
    </row>
    <row r="5932" spans="23:23" ht="15">
      <c r="W5932" s="361"/>
    </row>
    <row r="5933" spans="23:23" ht="15">
      <c r="W5933" s="361"/>
    </row>
    <row r="5934" spans="23:23" ht="15">
      <c r="W5934" s="361"/>
    </row>
    <row r="5935" spans="23:23" ht="15">
      <c r="W5935" s="361"/>
    </row>
    <row r="5936" spans="23:23" ht="15">
      <c r="W5936" s="361"/>
    </row>
    <row r="5937" spans="23:23" ht="15">
      <c r="W5937" s="361"/>
    </row>
    <row r="5938" spans="23:23" ht="15">
      <c r="W5938" s="361"/>
    </row>
    <row r="5939" spans="23:23" ht="15">
      <c r="W5939" s="361"/>
    </row>
    <row r="5940" spans="23:23" ht="15">
      <c r="W5940" s="361"/>
    </row>
    <row r="5941" spans="23:23" ht="15">
      <c r="W5941" s="361"/>
    </row>
    <row r="5942" spans="23:23" ht="15">
      <c r="W5942" s="361"/>
    </row>
    <row r="5943" spans="23:23" ht="15">
      <c r="W5943" s="361"/>
    </row>
    <row r="5944" spans="23:23" ht="15">
      <c r="W5944" s="361"/>
    </row>
    <row r="5945" spans="23:23" ht="15">
      <c r="W5945" s="361"/>
    </row>
    <row r="5946" spans="23:23" ht="15">
      <c r="W5946" s="361"/>
    </row>
    <row r="5947" spans="23:23" ht="15">
      <c r="W5947" s="361"/>
    </row>
    <row r="5948" spans="23:23" ht="15">
      <c r="W5948" s="361"/>
    </row>
    <row r="5949" spans="23:23" ht="15">
      <c r="W5949" s="361"/>
    </row>
    <row r="5950" spans="23:23" ht="15">
      <c r="W5950" s="361"/>
    </row>
    <row r="5951" spans="23:23" ht="15">
      <c r="W5951" s="361"/>
    </row>
    <row r="5952" spans="23:23" ht="15">
      <c r="W5952" s="361"/>
    </row>
    <row r="5953" spans="23:23" ht="15">
      <c r="W5953" s="361"/>
    </row>
    <row r="5954" spans="23:23" ht="15">
      <c r="W5954" s="361"/>
    </row>
    <row r="5955" spans="23:23" ht="15">
      <c r="W5955" s="361"/>
    </row>
    <row r="5956" spans="23:23" ht="15">
      <c r="W5956" s="361"/>
    </row>
    <row r="5957" spans="23:23" ht="15">
      <c r="W5957" s="361"/>
    </row>
    <row r="5958" spans="23:23" ht="15">
      <c r="W5958" s="361"/>
    </row>
    <row r="5959" spans="23:23" ht="15">
      <c r="W5959" s="361"/>
    </row>
    <row r="5960" spans="23:23" ht="15">
      <c r="W5960" s="361"/>
    </row>
    <row r="5961" spans="23:23" ht="15">
      <c r="W5961" s="361"/>
    </row>
    <row r="5962" spans="23:23" ht="15">
      <c r="W5962" s="361"/>
    </row>
    <row r="5963" spans="23:23" ht="15">
      <c r="W5963" s="361"/>
    </row>
    <row r="5964" spans="23:23" ht="15">
      <c r="W5964" s="361"/>
    </row>
    <row r="5965" spans="23:23" ht="15">
      <c r="W5965" s="361"/>
    </row>
    <row r="5966" spans="23:23" ht="15">
      <c r="W5966" s="361"/>
    </row>
    <row r="5967" spans="23:23" ht="15">
      <c r="W5967" s="361"/>
    </row>
    <row r="5968" spans="23:23" ht="15">
      <c r="W5968" s="361"/>
    </row>
    <row r="5969" spans="23:23" ht="15">
      <c r="W5969" s="361"/>
    </row>
    <row r="5970" spans="23:23" ht="15">
      <c r="W5970" s="361"/>
    </row>
    <row r="5971" spans="23:23" ht="15">
      <c r="W5971" s="361"/>
    </row>
    <row r="5972" spans="23:23" ht="15">
      <c r="W5972" s="361"/>
    </row>
    <row r="5973" spans="23:23" ht="15">
      <c r="W5973" s="361"/>
    </row>
    <row r="5974" spans="23:23" ht="15">
      <c r="W5974" s="361"/>
    </row>
    <row r="5975" spans="23:23" ht="15">
      <c r="W5975" s="361"/>
    </row>
    <row r="5976" spans="23:23" ht="15">
      <c r="W5976" s="361"/>
    </row>
    <row r="5977" spans="23:23" ht="15">
      <c r="W5977" s="361"/>
    </row>
    <row r="5978" spans="23:23" ht="15">
      <c r="W5978" s="361"/>
    </row>
    <row r="5979" spans="23:23" ht="15">
      <c r="W5979" s="361"/>
    </row>
    <row r="5980" spans="23:23" ht="15">
      <c r="W5980" s="361"/>
    </row>
    <row r="5981" spans="23:23" ht="15">
      <c r="W5981" s="361"/>
    </row>
    <row r="5982" spans="23:23" ht="15">
      <c r="W5982" s="361"/>
    </row>
    <row r="5983" spans="23:23" ht="15">
      <c r="W5983" s="361"/>
    </row>
    <row r="5984" spans="23:23" ht="15">
      <c r="W5984" s="361"/>
    </row>
    <row r="5985" spans="23:23" ht="15">
      <c r="W5985" s="361"/>
    </row>
    <row r="5986" spans="23:23" ht="15">
      <c r="W5986" s="361"/>
    </row>
    <row r="5987" spans="23:23" ht="15">
      <c r="W5987" s="361"/>
    </row>
    <row r="5988" spans="23:23" ht="15">
      <c r="W5988" s="361"/>
    </row>
    <row r="5989" spans="23:23" ht="15">
      <c r="W5989" s="361"/>
    </row>
    <row r="5990" spans="23:23" ht="15">
      <c r="W5990" s="361"/>
    </row>
    <row r="5991" spans="23:23" ht="15">
      <c r="W5991" s="361"/>
    </row>
    <row r="5992" spans="23:23" ht="15">
      <c r="W5992" s="361"/>
    </row>
    <row r="5993" spans="23:23" ht="15">
      <c r="W5993" s="361"/>
    </row>
    <row r="5994" spans="23:23" ht="15">
      <c r="W5994" s="361"/>
    </row>
    <row r="5995" spans="23:23" ht="15">
      <c r="W5995" s="361"/>
    </row>
    <row r="5996" spans="23:23" ht="15">
      <c r="W5996" s="361"/>
    </row>
    <row r="5997" spans="23:23" ht="15">
      <c r="W5997" s="361"/>
    </row>
    <row r="5998" spans="23:23" ht="15">
      <c r="W5998" s="361"/>
    </row>
    <row r="5999" spans="23:23" ht="15">
      <c r="W5999" s="361"/>
    </row>
    <row r="6000" spans="23:23" ht="15">
      <c r="W6000" s="361"/>
    </row>
    <row r="6001" spans="23:23" ht="15">
      <c r="W6001" s="361"/>
    </row>
    <row r="6002" spans="23:23" ht="15">
      <c r="W6002" s="361"/>
    </row>
    <row r="6003" spans="23:23" ht="15">
      <c r="W6003" s="361"/>
    </row>
    <row r="6004" spans="23:23" ht="15">
      <c r="W6004" s="361"/>
    </row>
    <row r="6005" spans="23:23" ht="15">
      <c r="W6005" s="361"/>
    </row>
    <row r="6006" spans="23:23" ht="15">
      <c r="W6006" s="361"/>
    </row>
    <row r="6007" spans="23:23" ht="15">
      <c r="W6007" s="361"/>
    </row>
    <row r="6008" spans="23:23" ht="15">
      <c r="W6008" s="361"/>
    </row>
    <row r="6009" spans="23:23" ht="15">
      <c r="W6009" s="361"/>
    </row>
    <row r="6010" spans="23:23" ht="15">
      <c r="W6010" s="361"/>
    </row>
    <row r="6011" spans="23:23" ht="15">
      <c r="W6011" s="361"/>
    </row>
    <row r="6012" spans="23:23" ht="15">
      <c r="W6012" s="361"/>
    </row>
    <row r="6013" spans="23:23" ht="15">
      <c r="W6013" s="361"/>
    </row>
    <row r="6014" spans="23:23" ht="15">
      <c r="W6014" s="361"/>
    </row>
    <row r="6015" spans="23:23" ht="15">
      <c r="W6015" s="361"/>
    </row>
    <row r="6016" spans="23:23" ht="15">
      <c r="W6016" s="361"/>
    </row>
    <row r="6017" spans="23:23" ht="15">
      <c r="W6017" s="361"/>
    </row>
    <row r="6018" spans="23:23" ht="15">
      <c r="W6018" s="361"/>
    </row>
    <row r="6019" spans="23:23" ht="15">
      <c r="W6019" s="361"/>
    </row>
    <row r="6020" spans="23:23" ht="15">
      <c r="W6020" s="361"/>
    </row>
    <row r="6021" spans="23:23" ht="15">
      <c r="W6021" s="361"/>
    </row>
    <row r="6022" spans="23:23" ht="15">
      <c r="W6022" s="361"/>
    </row>
    <row r="6023" spans="23:23" ht="15">
      <c r="W6023" s="361"/>
    </row>
    <row r="6024" spans="23:23" ht="15">
      <c r="W6024" s="361"/>
    </row>
    <row r="6025" spans="23:23" ht="15">
      <c r="W6025" s="361"/>
    </row>
    <row r="6026" spans="23:23" ht="15">
      <c r="W6026" s="361"/>
    </row>
    <row r="6027" spans="23:23" ht="15">
      <c r="W6027" s="361"/>
    </row>
    <row r="6028" spans="23:23" ht="15">
      <c r="W6028" s="361"/>
    </row>
    <row r="6029" spans="23:23" ht="15">
      <c r="W6029" s="361"/>
    </row>
    <row r="6030" spans="23:23" ht="15">
      <c r="W6030" s="361"/>
    </row>
    <row r="6031" spans="23:23" ht="15">
      <c r="W6031" s="361"/>
    </row>
    <row r="6032" spans="23:23" ht="15">
      <c r="W6032" s="361"/>
    </row>
    <row r="6033" spans="23:23" ht="15">
      <c r="W6033" s="361"/>
    </row>
    <row r="6034" spans="23:23" ht="15">
      <c r="W6034" s="361"/>
    </row>
    <row r="6035" spans="23:23" ht="15">
      <c r="W6035" s="361"/>
    </row>
    <row r="6036" spans="23:23" ht="15">
      <c r="W6036" s="361"/>
    </row>
    <row r="6037" spans="23:23" ht="15">
      <c r="W6037" s="361"/>
    </row>
    <row r="6038" spans="23:23" ht="15">
      <c r="W6038" s="361"/>
    </row>
    <row r="6039" spans="23:23" ht="15">
      <c r="W6039" s="361"/>
    </row>
    <row r="6040" spans="23:23" ht="15">
      <c r="W6040" s="361"/>
    </row>
    <row r="6041" spans="23:23" ht="15">
      <c r="W6041" s="361"/>
    </row>
    <row r="6042" spans="23:23" ht="15">
      <c r="W6042" s="361"/>
    </row>
    <row r="6043" spans="23:23" ht="15">
      <c r="W6043" s="361"/>
    </row>
    <row r="6044" spans="23:23" ht="15">
      <c r="W6044" s="361"/>
    </row>
    <row r="6045" spans="23:23" ht="15">
      <c r="W6045" s="361"/>
    </row>
    <row r="6046" spans="23:23" ht="15">
      <c r="W6046" s="361"/>
    </row>
    <row r="6047" spans="23:23" ht="15">
      <c r="W6047" s="361"/>
    </row>
    <row r="6048" spans="23:23" ht="15">
      <c r="W6048" s="361"/>
    </row>
    <row r="6049" spans="23:23" ht="15">
      <c r="W6049" s="361"/>
    </row>
    <row r="6050" spans="23:23" ht="15">
      <c r="W6050" s="361"/>
    </row>
    <row r="6051" spans="23:23" ht="15">
      <c r="W6051" s="361"/>
    </row>
    <row r="6052" spans="23:23" ht="15">
      <c r="W6052" s="361"/>
    </row>
    <row r="6053" spans="23:23" ht="15">
      <c r="W6053" s="361"/>
    </row>
    <row r="6054" spans="23:23" ht="15">
      <c r="W6054" s="361"/>
    </row>
    <row r="6055" spans="23:23" ht="15">
      <c r="W6055" s="361"/>
    </row>
    <row r="6056" spans="23:23" ht="15">
      <c r="W6056" s="361"/>
    </row>
    <row r="6057" spans="23:23" ht="15">
      <c r="W6057" s="361"/>
    </row>
    <row r="6058" spans="23:23" ht="15">
      <c r="W6058" s="361"/>
    </row>
    <row r="6059" spans="23:23" ht="15">
      <c r="W6059" s="361"/>
    </row>
    <row r="6060" spans="23:23" ht="15">
      <c r="W6060" s="361"/>
    </row>
    <row r="6061" spans="23:23" ht="15">
      <c r="W6061" s="361"/>
    </row>
    <row r="6062" spans="23:23" ht="15">
      <c r="W6062" s="361"/>
    </row>
    <row r="6063" spans="23:23" ht="15">
      <c r="W6063" s="361"/>
    </row>
    <row r="6064" spans="23:23" ht="15">
      <c r="W6064" s="361"/>
    </row>
    <row r="6065" spans="23:23" ht="15">
      <c r="W6065" s="361"/>
    </row>
    <row r="6066" spans="23:23" ht="15">
      <c r="W6066" s="361"/>
    </row>
    <row r="6067" spans="23:23" ht="15">
      <c r="W6067" s="361"/>
    </row>
    <row r="6068" spans="23:23" ht="15">
      <c r="W6068" s="361"/>
    </row>
    <row r="6069" spans="23:23" ht="15">
      <c r="W6069" s="361"/>
    </row>
    <row r="6070" spans="23:23" ht="15">
      <c r="W6070" s="361"/>
    </row>
    <row r="6071" spans="23:23" ht="15">
      <c r="W6071" s="361"/>
    </row>
    <row r="6072" spans="23:23" ht="15">
      <c r="W6072" s="361"/>
    </row>
    <row r="6073" spans="23:23" ht="15">
      <c r="W6073" s="361"/>
    </row>
    <row r="6074" spans="23:23" ht="15">
      <c r="W6074" s="361"/>
    </row>
    <row r="6075" spans="23:23" ht="15">
      <c r="W6075" s="361"/>
    </row>
    <row r="6076" spans="23:23" ht="15">
      <c r="W6076" s="361"/>
    </row>
    <row r="6077" spans="23:23" ht="15">
      <c r="W6077" s="361"/>
    </row>
    <row r="6078" spans="23:23" ht="15">
      <c r="W6078" s="361"/>
    </row>
    <row r="6079" spans="23:23" ht="15">
      <c r="W6079" s="361"/>
    </row>
    <row r="6080" spans="23:23" ht="15">
      <c r="W6080" s="361"/>
    </row>
    <row r="6081" spans="23:23" ht="15">
      <c r="W6081" s="361"/>
    </row>
    <row r="6082" spans="23:23" ht="15">
      <c r="W6082" s="361"/>
    </row>
    <row r="6083" spans="23:23" ht="15">
      <c r="W6083" s="361"/>
    </row>
    <row r="6084" spans="23:23" ht="15">
      <c r="W6084" s="361"/>
    </row>
    <row r="6085" spans="23:23" ht="15">
      <c r="W6085" s="361"/>
    </row>
    <row r="6086" spans="23:23" ht="15">
      <c r="W6086" s="361"/>
    </row>
    <row r="6087" spans="23:23" ht="15">
      <c r="W6087" s="361"/>
    </row>
    <row r="6088" spans="23:23" ht="15">
      <c r="W6088" s="361"/>
    </row>
    <row r="6089" spans="23:23" ht="15">
      <c r="W6089" s="361"/>
    </row>
    <row r="6090" spans="23:23" ht="15">
      <c r="W6090" s="361"/>
    </row>
    <row r="6091" spans="23:23" ht="15">
      <c r="W6091" s="361"/>
    </row>
    <row r="6092" spans="23:23" ht="15">
      <c r="W6092" s="361"/>
    </row>
    <row r="6093" spans="23:23" ht="15">
      <c r="W6093" s="361"/>
    </row>
    <row r="6094" spans="23:23" ht="15">
      <c r="W6094" s="361"/>
    </row>
    <row r="6095" spans="23:23" ht="15">
      <c r="W6095" s="361"/>
    </row>
    <row r="6096" spans="23:23" ht="15">
      <c r="W6096" s="361"/>
    </row>
    <row r="6097" spans="23:23" ht="15">
      <c r="W6097" s="361"/>
    </row>
    <row r="6098" spans="23:23" ht="15">
      <c r="W6098" s="361"/>
    </row>
    <row r="6099" spans="23:23" ht="15">
      <c r="W6099" s="361"/>
    </row>
    <row r="6100" spans="23:23" ht="15">
      <c r="W6100" s="361"/>
    </row>
    <row r="6101" spans="23:23" ht="15">
      <c r="W6101" s="361"/>
    </row>
    <row r="6102" spans="23:23" ht="15">
      <c r="W6102" s="361"/>
    </row>
    <row r="6103" spans="23:23" ht="15">
      <c r="W6103" s="361"/>
    </row>
    <row r="6104" spans="23:23" ht="15">
      <c r="W6104" s="361"/>
    </row>
    <row r="6105" spans="23:23" ht="15">
      <c r="W6105" s="361"/>
    </row>
    <row r="6106" spans="23:23" ht="15">
      <c r="W6106" s="361"/>
    </row>
    <row r="6107" spans="23:23" ht="15">
      <c r="W6107" s="361"/>
    </row>
    <row r="6108" spans="23:23" ht="15">
      <c r="W6108" s="361"/>
    </row>
    <row r="6109" spans="23:23" ht="15">
      <c r="W6109" s="361"/>
    </row>
    <row r="6110" spans="23:23" ht="15">
      <c r="W6110" s="361"/>
    </row>
    <row r="6111" spans="23:23" ht="15">
      <c r="W6111" s="361"/>
    </row>
    <row r="6112" spans="23:23" ht="15">
      <c r="W6112" s="361"/>
    </row>
    <row r="6113" spans="23:23" ht="15">
      <c r="W6113" s="361"/>
    </row>
    <row r="6114" spans="23:23" ht="15">
      <c r="W6114" s="361"/>
    </row>
    <row r="6115" spans="23:23" ht="15">
      <c r="W6115" s="361"/>
    </row>
    <row r="6116" spans="23:23" ht="15">
      <c r="W6116" s="361"/>
    </row>
    <row r="6117" spans="23:23" ht="15">
      <c r="W6117" s="361"/>
    </row>
    <row r="6118" spans="23:23" ht="15">
      <c r="W6118" s="361"/>
    </row>
    <row r="6119" spans="23:23" ht="15">
      <c r="W6119" s="361"/>
    </row>
    <row r="6120" spans="23:23" ht="15">
      <c r="W6120" s="361"/>
    </row>
    <row r="6121" spans="23:23" ht="15">
      <c r="W6121" s="361"/>
    </row>
    <row r="6122" spans="23:23" ht="15">
      <c r="W6122" s="361"/>
    </row>
    <row r="6123" spans="23:23" ht="15">
      <c r="W6123" s="361"/>
    </row>
    <row r="6124" spans="23:23" ht="15">
      <c r="W6124" s="361"/>
    </row>
    <row r="6125" spans="23:23" ht="15">
      <c r="W6125" s="361"/>
    </row>
    <row r="6126" spans="23:23" ht="15">
      <c r="W6126" s="361"/>
    </row>
    <row r="6127" spans="23:23" ht="15">
      <c r="W6127" s="361"/>
    </row>
    <row r="6128" spans="23:23" ht="15">
      <c r="W6128" s="361"/>
    </row>
    <row r="6129" spans="23:23" ht="15">
      <c r="W6129" s="361"/>
    </row>
    <row r="6130" spans="23:23" ht="15">
      <c r="W6130" s="361"/>
    </row>
    <row r="6131" spans="23:23" ht="15">
      <c r="W6131" s="361"/>
    </row>
    <row r="6132" spans="23:23" ht="15">
      <c r="W6132" s="361"/>
    </row>
    <row r="6133" spans="23:23" ht="15">
      <c r="W6133" s="361"/>
    </row>
    <row r="6134" spans="23:23" ht="15">
      <c r="W6134" s="361"/>
    </row>
    <row r="6135" spans="23:23" ht="15">
      <c r="W6135" s="361"/>
    </row>
    <row r="6136" spans="23:23" ht="15">
      <c r="W6136" s="361"/>
    </row>
    <row r="6137" spans="23:23" ht="15">
      <c r="W6137" s="361"/>
    </row>
    <row r="6138" spans="23:23" ht="15">
      <c r="W6138" s="361"/>
    </row>
    <row r="6139" spans="23:23" ht="15">
      <c r="W6139" s="361"/>
    </row>
    <row r="6140" spans="23:23" ht="15">
      <c r="W6140" s="361"/>
    </row>
    <row r="6141" spans="23:23" ht="15">
      <c r="W6141" s="361"/>
    </row>
    <row r="6142" spans="23:23" ht="15">
      <c r="W6142" s="361"/>
    </row>
    <row r="6143" spans="23:23" ht="15">
      <c r="W6143" s="361"/>
    </row>
    <row r="6144" spans="23:23" ht="15">
      <c r="W6144" s="361"/>
    </row>
    <row r="6145" spans="23:23" ht="15">
      <c r="W6145" s="361"/>
    </row>
    <row r="6146" spans="23:23" ht="15">
      <c r="W6146" s="361"/>
    </row>
    <row r="6147" spans="23:23" ht="15">
      <c r="W6147" s="361"/>
    </row>
    <row r="6148" spans="23:23" ht="15">
      <c r="W6148" s="361"/>
    </row>
    <row r="6149" spans="23:23" ht="15">
      <c r="W6149" s="361"/>
    </row>
    <row r="6150" spans="23:23" ht="15">
      <c r="W6150" s="361"/>
    </row>
    <row r="6151" spans="23:23" ht="15">
      <c r="W6151" s="361"/>
    </row>
    <row r="6152" spans="23:23" ht="15">
      <c r="W6152" s="361"/>
    </row>
    <row r="6153" spans="23:23" ht="15">
      <c r="W6153" s="361"/>
    </row>
    <row r="6154" spans="23:23" ht="15">
      <c r="W6154" s="361"/>
    </row>
    <row r="6155" spans="23:23" ht="15">
      <c r="W6155" s="361"/>
    </row>
    <row r="6156" spans="23:23" ht="15">
      <c r="W6156" s="361"/>
    </row>
    <row r="6157" spans="23:23" ht="15">
      <c r="W6157" s="361"/>
    </row>
    <row r="6158" spans="23:23" ht="15">
      <c r="W6158" s="361"/>
    </row>
    <row r="6159" spans="23:23" ht="15">
      <c r="W6159" s="361"/>
    </row>
    <row r="6160" spans="23:23" ht="15">
      <c r="W6160" s="361"/>
    </row>
    <row r="6161" spans="23:23" ht="15">
      <c r="W6161" s="361"/>
    </row>
    <row r="6162" spans="23:23" ht="15">
      <c r="W6162" s="361"/>
    </row>
    <row r="6163" spans="23:23" ht="15">
      <c r="W6163" s="361"/>
    </row>
    <row r="6164" spans="23:23" ht="15">
      <c r="W6164" s="361"/>
    </row>
    <row r="6165" spans="23:23" ht="15">
      <c r="W6165" s="361"/>
    </row>
    <row r="6166" spans="23:23" ht="15">
      <c r="W6166" s="361"/>
    </row>
    <row r="6167" spans="23:23" ht="15">
      <c r="W6167" s="361"/>
    </row>
    <row r="6168" spans="23:23" ht="15">
      <c r="W6168" s="361"/>
    </row>
    <row r="6169" spans="23:23" ht="15">
      <c r="W6169" s="361"/>
    </row>
    <row r="6170" spans="23:23" ht="15">
      <c r="W6170" s="361"/>
    </row>
    <row r="6171" spans="23:23" ht="15">
      <c r="W6171" s="361"/>
    </row>
    <row r="6172" spans="23:23" ht="15">
      <c r="W6172" s="361"/>
    </row>
    <row r="6173" spans="23:23" ht="15">
      <c r="W6173" s="361"/>
    </row>
    <row r="6174" spans="23:23" ht="15">
      <c r="W6174" s="361"/>
    </row>
    <row r="6175" spans="23:23" ht="15">
      <c r="W6175" s="361"/>
    </row>
    <row r="6176" spans="23:23" ht="15">
      <c r="W6176" s="361"/>
    </row>
    <row r="6177" spans="23:23" ht="15">
      <c r="W6177" s="361"/>
    </row>
    <row r="6178" spans="23:23" ht="15">
      <c r="W6178" s="361"/>
    </row>
    <row r="6179" spans="23:23" ht="15">
      <c r="W6179" s="361"/>
    </row>
    <row r="6180" spans="23:23" ht="15">
      <c r="W6180" s="361"/>
    </row>
    <row r="6181" spans="23:23" ht="15">
      <c r="W6181" s="361"/>
    </row>
    <row r="6182" spans="23:23" ht="15">
      <c r="W6182" s="361"/>
    </row>
    <row r="6183" spans="23:23" ht="15">
      <c r="W6183" s="361"/>
    </row>
    <row r="6184" spans="23:23" ht="15">
      <c r="W6184" s="361"/>
    </row>
    <row r="6185" spans="23:23" ht="15">
      <c r="W6185" s="361"/>
    </row>
    <row r="6186" spans="23:23" ht="15">
      <c r="W6186" s="361"/>
    </row>
    <row r="6187" spans="23:23" ht="15">
      <c r="W6187" s="361"/>
    </row>
    <row r="6188" spans="23:23" ht="15">
      <c r="W6188" s="361"/>
    </row>
    <row r="6189" spans="23:23" ht="15">
      <c r="W6189" s="361"/>
    </row>
    <row r="6190" spans="23:23" ht="15">
      <c r="W6190" s="361"/>
    </row>
    <row r="6191" spans="23:23" ht="15">
      <c r="W6191" s="361"/>
    </row>
    <row r="6192" spans="23:23" ht="15">
      <c r="W6192" s="361"/>
    </row>
    <row r="6193" spans="23:23" ht="15">
      <c r="W6193" s="361"/>
    </row>
    <row r="6194" spans="23:23" ht="15">
      <c r="W6194" s="361"/>
    </row>
    <row r="6195" spans="23:23" ht="15">
      <c r="W6195" s="361"/>
    </row>
    <row r="6196" spans="23:23" ht="15">
      <c r="W6196" s="361"/>
    </row>
    <row r="6197" spans="23:23" ht="15">
      <c r="W6197" s="361"/>
    </row>
    <row r="6198" spans="23:23" ht="15">
      <c r="W6198" s="361"/>
    </row>
    <row r="6199" spans="23:23" ht="15">
      <c r="W6199" s="361"/>
    </row>
    <row r="6200" spans="23:23" ht="15">
      <c r="W6200" s="361"/>
    </row>
    <row r="6201" spans="23:23" ht="15">
      <c r="W6201" s="361"/>
    </row>
    <row r="6202" spans="23:23" ht="15">
      <c r="W6202" s="361"/>
    </row>
    <row r="6203" spans="23:23" ht="15">
      <c r="W6203" s="361"/>
    </row>
    <row r="6204" spans="23:23" ht="15">
      <c r="W6204" s="361"/>
    </row>
    <row r="6205" spans="23:23" ht="15">
      <c r="W6205" s="361"/>
    </row>
    <row r="6206" spans="23:23" ht="15">
      <c r="W6206" s="361"/>
    </row>
    <row r="6207" spans="23:23" ht="15">
      <c r="W6207" s="361"/>
    </row>
    <row r="6208" spans="23:23" ht="15">
      <c r="W6208" s="361"/>
    </row>
    <row r="6209" spans="23:23" ht="15">
      <c r="W6209" s="361"/>
    </row>
    <row r="6210" spans="23:23" ht="15">
      <c r="W6210" s="361"/>
    </row>
    <row r="6211" spans="23:23" ht="15">
      <c r="W6211" s="361"/>
    </row>
    <row r="6212" spans="23:23" ht="15">
      <c r="W6212" s="361"/>
    </row>
    <row r="6213" spans="23:23" ht="15">
      <c r="W6213" s="361"/>
    </row>
    <row r="6214" spans="23:23" ht="15">
      <c r="W6214" s="361"/>
    </row>
    <row r="6215" spans="23:23" ht="15">
      <c r="W6215" s="361"/>
    </row>
    <row r="6216" spans="23:23" ht="15">
      <c r="W6216" s="361"/>
    </row>
    <row r="6217" spans="23:23" ht="15">
      <c r="W6217" s="361"/>
    </row>
    <row r="6218" spans="23:23" ht="15">
      <c r="W6218" s="361"/>
    </row>
    <row r="6219" spans="23:23" ht="15">
      <c r="W6219" s="361"/>
    </row>
    <row r="6220" spans="23:23" ht="15">
      <c r="W6220" s="361"/>
    </row>
    <row r="6221" spans="23:23" ht="15">
      <c r="W6221" s="361"/>
    </row>
    <row r="6222" spans="23:23" ht="15">
      <c r="W6222" s="361"/>
    </row>
    <row r="6223" spans="23:23" ht="15">
      <c r="W6223" s="361"/>
    </row>
    <row r="6224" spans="23:23" ht="15">
      <c r="W6224" s="361"/>
    </row>
    <row r="6225" spans="23:23" ht="15">
      <c r="W6225" s="361"/>
    </row>
    <row r="6226" spans="23:23" ht="15">
      <c r="W6226" s="361"/>
    </row>
    <row r="6227" spans="23:23" ht="15">
      <c r="W6227" s="361"/>
    </row>
    <row r="6228" spans="23:23" ht="15">
      <c r="W6228" s="361"/>
    </row>
    <row r="6229" spans="23:23" ht="15">
      <c r="W6229" s="361"/>
    </row>
    <row r="6230" spans="23:23" ht="15">
      <c r="W6230" s="361"/>
    </row>
    <row r="6231" spans="23:23" ht="15">
      <c r="W6231" s="361"/>
    </row>
    <row r="6232" spans="23:23" ht="15">
      <c r="W6232" s="361"/>
    </row>
    <row r="6233" spans="23:23" ht="15">
      <c r="W6233" s="361"/>
    </row>
    <row r="6234" spans="23:23" ht="15">
      <c r="W6234" s="361"/>
    </row>
    <row r="6235" spans="23:23" ht="15">
      <c r="W6235" s="361"/>
    </row>
    <row r="6236" spans="23:23" ht="15">
      <c r="W6236" s="361"/>
    </row>
    <row r="6237" spans="23:23" ht="15">
      <c r="W6237" s="361"/>
    </row>
    <row r="6238" spans="23:23" ht="15">
      <c r="W6238" s="361"/>
    </row>
    <row r="6239" spans="23:23" ht="15">
      <c r="W6239" s="361"/>
    </row>
    <row r="6240" spans="23:23" ht="15">
      <c r="W6240" s="361"/>
    </row>
    <row r="6241" spans="23:23" ht="15">
      <c r="W6241" s="361"/>
    </row>
    <row r="6242" spans="23:23" ht="15">
      <c r="W6242" s="361"/>
    </row>
    <row r="6243" spans="23:23" ht="15">
      <c r="W6243" s="361"/>
    </row>
    <row r="6244" spans="23:23" ht="15">
      <c r="W6244" s="361"/>
    </row>
    <row r="6245" spans="23:23" ht="15">
      <c r="W6245" s="361"/>
    </row>
    <row r="6246" spans="23:23" ht="15">
      <c r="W6246" s="361"/>
    </row>
    <row r="6247" spans="23:23" ht="15">
      <c r="W6247" s="361"/>
    </row>
    <row r="6248" spans="23:23" ht="15">
      <c r="W6248" s="361"/>
    </row>
    <row r="6249" spans="23:23" ht="15">
      <c r="W6249" s="361"/>
    </row>
    <row r="6250" spans="23:23" ht="15">
      <c r="W6250" s="361"/>
    </row>
    <row r="6251" spans="23:23" ht="15">
      <c r="W6251" s="361"/>
    </row>
    <row r="6252" spans="23:23" ht="15">
      <c r="W6252" s="361"/>
    </row>
    <row r="6253" spans="23:23" ht="15">
      <c r="W6253" s="361"/>
    </row>
    <row r="6254" spans="23:23" ht="15">
      <c r="W6254" s="361"/>
    </row>
    <row r="6255" spans="23:23" ht="15">
      <c r="W6255" s="361"/>
    </row>
    <row r="6256" spans="23:23" ht="15">
      <c r="W6256" s="361"/>
    </row>
    <row r="6257" spans="23:23" ht="15">
      <c r="W6257" s="361"/>
    </row>
    <row r="6258" spans="23:23" ht="15">
      <c r="W6258" s="361"/>
    </row>
    <row r="6259" spans="23:23" ht="15">
      <c r="W6259" s="361"/>
    </row>
    <row r="6260" spans="23:23" ht="15">
      <c r="W6260" s="361"/>
    </row>
    <row r="6261" spans="23:23" ht="15">
      <c r="W6261" s="361"/>
    </row>
    <row r="6262" spans="23:23" ht="15">
      <c r="W6262" s="361"/>
    </row>
    <row r="6263" spans="23:23" ht="15">
      <c r="W6263" s="361"/>
    </row>
    <row r="6264" spans="23:23" ht="15">
      <c r="W6264" s="361"/>
    </row>
    <row r="6265" spans="23:23" ht="15">
      <c r="W6265" s="361"/>
    </row>
    <row r="6266" spans="23:23" ht="15">
      <c r="W6266" s="361"/>
    </row>
    <row r="6267" spans="23:23" ht="15">
      <c r="W6267" s="361"/>
    </row>
    <row r="6268" spans="23:23" ht="15">
      <c r="W6268" s="361"/>
    </row>
    <row r="6269" spans="23:23" ht="15">
      <c r="W6269" s="361"/>
    </row>
    <row r="6270" spans="23:23" ht="15">
      <c r="W6270" s="361"/>
    </row>
    <row r="6271" spans="23:23" ht="15">
      <c r="W6271" s="361"/>
    </row>
    <row r="6272" spans="23:23" ht="15">
      <c r="W6272" s="361"/>
    </row>
    <row r="6273" spans="23:23" ht="15">
      <c r="W6273" s="361"/>
    </row>
    <row r="6274" spans="23:23" ht="15">
      <c r="W6274" s="361"/>
    </row>
    <row r="6275" spans="23:23" ht="15">
      <c r="W6275" s="361"/>
    </row>
    <row r="6276" spans="23:23" ht="15">
      <c r="W6276" s="361"/>
    </row>
    <row r="6277" spans="23:23" ht="15">
      <c r="W6277" s="361"/>
    </row>
    <row r="6278" spans="23:23" ht="15">
      <c r="W6278" s="361"/>
    </row>
    <row r="6279" spans="23:23" ht="15">
      <c r="W6279" s="361"/>
    </row>
    <row r="6280" spans="23:23" ht="15">
      <c r="W6280" s="361"/>
    </row>
    <row r="6281" spans="23:23" ht="15">
      <c r="W6281" s="361"/>
    </row>
    <row r="6282" spans="23:23" ht="15">
      <c r="W6282" s="361"/>
    </row>
    <row r="6283" spans="23:23" ht="15">
      <c r="W6283" s="361"/>
    </row>
    <row r="6284" spans="23:23" ht="15">
      <c r="W6284" s="361"/>
    </row>
    <row r="6285" spans="23:23" ht="15">
      <c r="W6285" s="361"/>
    </row>
    <row r="6286" spans="23:23" ht="15">
      <c r="W6286" s="361"/>
    </row>
    <row r="6287" spans="23:23" ht="15">
      <c r="W6287" s="361"/>
    </row>
    <row r="6288" spans="23:23" ht="15">
      <c r="W6288" s="361"/>
    </row>
    <row r="6289" spans="23:23" ht="15">
      <c r="W6289" s="361"/>
    </row>
    <row r="6290" spans="23:23" ht="15">
      <c r="W6290" s="361"/>
    </row>
    <row r="6291" spans="23:23" ht="15">
      <c r="W6291" s="361"/>
    </row>
    <row r="6292" spans="23:23" ht="15">
      <c r="W6292" s="361"/>
    </row>
    <row r="6293" spans="23:23" ht="15">
      <c r="W6293" s="361"/>
    </row>
    <row r="6294" spans="23:23" ht="15">
      <c r="W6294" s="361"/>
    </row>
    <row r="6295" spans="23:23" ht="15">
      <c r="W6295" s="361"/>
    </row>
    <row r="6296" spans="23:23" ht="15">
      <c r="W6296" s="361"/>
    </row>
    <row r="6297" spans="23:23" ht="15">
      <c r="W6297" s="361"/>
    </row>
    <row r="6298" spans="23:23" ht="15">
      <c r="W6298" s="361"/>
    </row>
    <row r="6299" spans="23:23" ht="15">
      <c r="W6299" s="361"/>
    </row>
    <row r="6300" spans="23:23" ht="15">
      <c r="W6300" s="361"/>
    </row>
    <row r="6301" spans="23:23" ht="15">
      <c r="W6301" s="361"/>
    </row>
    <row r="6302" spans="23:23" ht="15">
      <c r="W6302" s="361"/>
    </row>
    <row r="6303" spans="23:23" ht="15">
      <c r="W6303" s="361"/>
    </row>
    <row r="6304" spans="23:23" ht="15">
      <c r="W6304" s="361"/>
    </row>
    <row r="6305" spans="23:23" ht="15">
      <c r="W6305" s="361"/>
    </row>
    <row r="6306" spans="23:23" ht="15">
      <c r="W6306" s="361"/>
    </row>
    <row r="6307" spans="23:23" ht="15">
      <c r="W6307" s="361"/>
    </row>
    <row r="6308" spans="23:23" ht="15">
      <c r="W6308" s="361"/>
    </row>
    <row r="6309" spans="23:23" ht="15">
      <c r="W6309" s="361"/>
    </row>
    <row r="6310" spans="23:23" ht="15">
      <c r="W6310" s="361"/>
    </row>
    <row r="6311" spans="23:23" ht="15">
      <c r="W6311" s="361"/>
    </row>
    <row r="6312" spans="23:23" ht="15">
      <c r="W6312" s="361"/>
    </row>
    <row r="6313" spans="23:23" ht="15">
      <c r="W6313" s="361"/>
    </row>
    <row r="6314" spans="23:23" ht="15">
      <c r="W6314" s="361"/>
    </row>
    <row r="6315" spans="23:23" ht="15">
      <c r="W6315" s="361"/>
    </row>
    <row r="6316" spans="23:23" ht="15">
      <c r="W6316" s="361"/>
    </row>
    <row r="6317" spans="23:23" ht="15">
      <c r="W6317" s="361"/>
    </row>
    <row r="6318" spans="23:23" ht="15">
      <c r="W6318" s="361"/>
    </row>
    <row r="6319" spans="23:23" ht="15">
      <c r="W6319" s="361"/>
    </row>
    <row r="6320" spans="23:23" ht="15">
      <c r="W6320" s="361"/>
    </row>
    <row r="6321" spans="23:23" ht="15">
      <c r="W6321" s="361"/>
    </row>
    <row r="6322" spans="23:23" ht="15">
      <c r="W6322" s="361"/>
    </row>
    <row r="6323" spans="23:23" ht="15">
      <c r="W6323" s="361"/>
    </row>
    <row r="6324" spans="23:23" ht="15">
      <c r="W6324" s="361"/>
    </row>
    <row r="6325" spans="23:23" ht="15">
      <c r="W6325" s="361"/>
    </row>
    <row r="6326" spans="23:23" ht="15">
      <c r="W6326" s="361"/>
    </row>
    <row r="6327" spans="23:23" ht="15">
      <c r="W6327" s="361"/>
    </row>
    <row r="6328" spans="23:23" ht="15">
      <c r="W6328" s="361"/>
    </row>
    <row r="6329" spans="23:23" ht="15">
      <c r="W6329" s="361"/>
    </row>
    <row r="6330" spans="23:23" ht="15">
      <c r="W6330" s="361"/>
    </row>
    <row r="6331" spans="23:23" ht="15">
      <c r="W6331" s="361"/>
    </row>
    <row r="6332" spans="23:23" ht="15">
      <c r="W6332" s="361"/>
    </row>
    <row r="6333" spans="23:23" ht="15">
      <c r="W6333" s="361"/>
    </row>
    <row r="6334" spans="23:23" ht="15">
      <c r="W6334" s="361"/>
    </row>
    <row r="6335" spans="23:23" ht="15">
      <c r="W6335" s="361"/>
    </row>
    <row r="6336" spans="23:23" ht="15">
      <c r="W6336" s="361"/>
    </row>
    <row r="6337" spans="23:23" ht="15">
      <c r="W6337" s="361"/>
    </row>
    <row r="6338" spans="23:23" ht="15">
      <c r="W6338" s="361"/>
    </row>
    <row r="6339" spans="23:23" ht="15">
      <c r="W6339" s="361"/>
    </row>
    <row r="6340" spans="23:23" ht="15">
      <c r="W6340" s="361"/>
    </row>
    <row r="6341" spans="23:23" ht="15">
      <c r="W6341" s="361"/>
    </row>
    <row r="6342" spans="23:23" ht="15">
      <c r="W6342" s="361"/>
    </row>
    <row r="6343" spans="23:23" ht="15">
      <c r="W6343" s="361"/>
    </row>
    <row r="6344" spans="23:23" ht="15">
      <c r="W6344" s="361"/>
    </row>
    <row r="6345" spans="23:23" ht="15">
      <c r="W6345" s="361"/>
    </row>
    <row r="6346" spans="23:23" ht="15">
      <c r="W6346" s="361"/>
    </row>
    <row r="6347" spans="23:23" ht="15">
      <c r="W6347" s="361"/>
    </row>
    <row r="6348" spans="23:23" ht="15">
      <c r="W6348" s="361"/>
    </row>
    <row r="6349" spans="23:23" ht="15">
      <c r="W6349" s="361"/>
    </row>
    <row r="6350" spans="23:23" ht="15">
      <c r="W6350" s="361"/>
    </row>
    <row r="6351" spans="23:23" ht="15">
      <c r="W6351" s="361"/>
    </row>
    <row r="6352" spans="23:23" ht="15">
      <c r="W6352" s="361"/>
    </row>
    <row r="6353" spans="23:23" ht="15">
      <c r="W6353" s="361"/>
    </row>
    <row r="6354" spans="23:23" ht="15">
      <c r="W6354" s="361"/>
    </row>
    <row r="6355" spans="23:23" ht="15">
      <c r="W6355" s="361"/>
    </row>
    <row r="6356" spans="23:23" ht="15">
      <c r="W6356" s="361"/>
    </row>
    <row r="6357" spans="23:23" ht="15">
      <c r="W6357" s="361"/>
    </row>
    <row r="6358" spans="23:23" ht="15">
      <c r="W6358" s="361"/>
    </row>
    <row r="6359" spans="23:23" ht="15">
      <c r="W6359" s="361"/>
    </row>
    <row r="6360" spans="23:23" ht="15">
      <c r="W6360" s="361"/>
    </row>
    <row r="6361" spans="23:23" ht="15">
      <c r="W6361" s="361"/>
    </row>
    <row r="6362" spans="23:23" ht="15">
      <c r="W6362" s="361"/>
    </row>
    <row r="6363" spans="23:23" ht="15">
      <c r="W6363" s="361"/>
    </row>
    <row r="6364" spans="23:23" ht="15">
      <c r="W6364" s="361"/>
    </row>
    <row r="6365" spans="23:23" ht="15">
      <c r="W6365" s="361"/>
    </row>
    <row r="6366" spans="23:23" ht="15">
      <c r="W6366" s="361"/>
    </row>
    <row r="6367" spans="23:23" ht="15">
      <c r="W6367" s="361"/>
    </row>
    <row r="6368" spans="23:23" ht="15">
      <c r="W6368" s="361"/>
    </row>
    <row r="6369" spans="23:23" ht="15">
      <c r="W6369" s="361"/>
    </row>
    <row r="6370" spans="23:23" ht="15">
      <c r="W6370" s="361"/>
    </row>
    <row r="6371" spans="23:23" ht="15">
      <c r="W6371" s="361"/>
    </row>
    <row r="6372" spans="23:23" ht="15">
      <c r="W6372" s="361"/>
    </row>
    <row r="6373" spans="23:23" ht="15">
      <c r="W6373" s="361"/>
    </row>
    <row r="6374" spans="23:23" ht="15">
      <c r="W6374" s="361"/>
    </row>
    <row r="6375" spans="23:23" ht="15">
      <c r="W6375" s="361"/>
    </row>
    <row r="6376" spans="23:23" ht="15">
      <c r="W6376" s="361"/>
    </row>
    <row r="6377" spans="23:23" ht="15">
      <c r="W6377" s="361"/>
    </row>
    <row r="6378" spans="23:23" ht="15">
      <c r="W6378" s="361"/>
    </row>
    <row r="6379" spans="23:23" ht="15">
      <c r="W6379" s="361"/>
    </row>
    <row r="6380" spans="23:23" ht="15">
      <c r="W6380" s="361"/>
    </row>
    <row r="6381" spans="23:23" ht="15">
      <c r="W6381" s="361"/>
    </row>
    <row r="6382" spans="23:23" ht="15">
      <c r="W6382" s="361"/>
    </row>
    <row r="6383" spans="23:23" ht="15">
      <c r="W6383" s="361"/>
    </row>
    <row r="6384" spans="23:23" ht="15">
      <c r="W6384" s="361"/>
    </row>
    <row r="6385" spans="23:23" ht="15">
      <c r="W6385" s="361"/>
    </row>
    <row r="6386" spans="23:23" ht="15">
      <c r="W6386" s="361"/>
    </row>
    <row r="6387" spans="23:23" ht="15">
      <c r="W6387" s="361"/>
    </row>
    <row r="6388" spans="23:23" ht="15">
      <c r="W6388" s="361"/>
    </row>
    <row r="6389" spans="23:23" ht="15">
      <c r="W6389" s="361"/>
    </row>
    <row r="6390" spans="23:23" ht="15">
      <c r="W6390" s="361"/>
    </row>
    <row r="6391" spans="23:23" ht="15">
      <c r="W6391" s="361"/>
    </row>
    <row r="6392" spans="23:23" ht="15">
      <c r="W6392" s="361"/>
    </row>
    <row r="6393" spans="23:23" ht="15">
      <c r="W6393" s="361"/>
    </row>
    <row r="6394" spans="23:23" ht="15">
      <c r="W6394" s="361"/>
    </row>
    <row r="6395" spans="23:23" ht="15">
      <c r="W6395" s="361"/>
    </row>
    <row r="6396" spans="23:23" ht="15">
      <c r="W6396" s="361"/>
    </row>
    <row r="6397" spans="23:23" ht="15">
      <c r="W6397" s="361"/>
    </row>
    <row r="6398" spans="23:23" ht="15">
      <c r="W6398" s="361"/>
    </row>
    <row r="6399" spans="23:23" ht="15">
      <c r="W6399" s="361"/>
    </row>
    <row r="6400" spans="23:23" ht="15">
      <c r="W6400" s="361"/>
    </row>
    <row r="6401" spans="23:23" ht="15">
      <c r="W6401" s="361"/>
    </row>
    <row r="6402" spans="23:23" ht="15">
      <c r="W6402" s="361"/>
    </row>
    <row r="6403" spans="23:23" ht="15">
      <c r="W6403" s="361"/>
    </row>
    <row r="6404" spans="23:23" ht="15">
      <c r="W6404" s="361"/>
    </row>
    <row r="6405" spans="23:23" ht="15">
      <c r="W6405" s="361"/>
    </row>
    <row r="6406" spans="23:23" ht="15">
      <c r="W6406" s="361"/>
    </row>
    <row r="6407" spans="23:23" ht="15">
      <c r="W6407" s="361"/>
    </row>
    <row r="6408" spans="23:23" ht="15">
      <c r="W6408" s="361"/>
    </row>
    <row r="6409" spans="23:23" ht="15">
      <c r="W6409" s="361"/>
    </row>
    <row r="6410" spans="23:23" ht="15">
      <c r="W6410" s="361"/>
    </row>
    <row r="6411" spans="23:23" ht="15">
      <c r="W6411" s="361"/>
    </row>
    <row r="6412" spans="23:23" ht="15">
      <c r="W6412" s="361"/>
    </row>
    <row r="6413" spans="23:23" ht="15">
      <c r="W6413" s="361"/>
    </row>
    <row r="6414" spans="23:23" ht="15">
      <c r="W6414" s="361"/>
    </row>
    <row r="6415" spans="23:23" ht="15">
      <c r="W6415" s="361"/>
    </row>
    <row r="6416" spans="23:23" ht="15">
      <c r="W6416" s="361"/>
    </row>
    <row r="6417" spans="23:23" ht="15">
      <c r="W6417" s="361"/>
    </row>
    <row r="6418" spans="23:23" ht="15">
      <c r="W6418" s="361"/>
    </row>
    <row r="6419" spans="23:23" ht="15">
      <c r="W6419" s="361"/>
    </row>
    <row r="6420" spans="23:23" ht="15">
      <c r="W6420" s="361"/>
    </row>
    <row r="6421" spans="23:23" ht="15">
      <c r="W6421" s="361"/>
    </row>
    <row r="6422" spans="23:23" ht="15">
      <c r="W6422" s="361"/>
    </row>
    <row r="6423" spans="23:23" ht="15">
      <c r="W6423" s="361"/>
    </row>
    <row r="6424" spans="23:23" ht="15">
      <c r="W6424" s="361"/>
    </row>
    <row r="6425" spans="23:23" ht="15">
      <c r="W6425" s="361"/>
    </row>
    <row r="6426" spans="23:23" ht="15">
      <c r="W6426" s="361"/>
    </row>
    <row r="6427" spans="23:23" ht="15">
      <c r="W6427" s="361"/>
    </row>
    <row r="6428" spans="23:23" ht="15">
      <c r="W6428" s="361"/>
    </row>
    <row r="6429" spans="23:23" ht="15">
      <c r="W6429" s="361"/>
    </row>
    <row r="6430" spans="23:23" ht="15">
      <c r="W6430" s="361"/>
    </row>
    <row r="6431" spans="23:23" ht="15">
      <c r="W6431" s="361"/>
    </row>
    <row r="6432" spans="23:23" ht="15">
      <c r="W6432" s="361"/>
    </row>
    <row r="6433" spans="23:23" ht="15">
      <c r="W6433" s="361"/>
    </row>
    <row r="6434" spans="23:23" ht="15">
      <c r="W6434" s="361"/>
    </row>
    <row r="6435" spans="23:23" ht="15">
      <c r="W6435" s="361"/>
    </row>
    <row r="6436" spans="23:23" ht="15">
      <c r="W6436" s="361"/>
    </row>
    <row r="6437" spans="23:23" ht="15">
      <c r="W6437" s="361"/>
    </row>
    <row r="6438" spans="23:23" ht="15">
      <c r="W6438" s="361"/>
    </row>
    <row r="6439" spans="23:23" ht="15">
      <c r="W6439" s="361"/>
    </row>
    <row r="6440" spans="23:23" ht="15">
      <c r="W6440" s="361"/>
    </row>
    <row r="6441" spans="23:23" ht="15">
      <c r="W6441" s="361"/>
    </row>
    <row r="6442" spans="23:23" ht="15">
      <c r="W6442" s="361"/>
    </row>
    <row r="6443" spans="23:23" ht="15">
      <c r="W6443" s="361"/>
    </row>
    <row r="6444" spans="23:23" ht="15">
      <c r="W6444" s="361"/>
    </row>
    <row r="6445" spans="23:23" ht="15">
      <c r="W6445" s="361"/>
    </row>
    <row r="6446" spans="23:23" ht="15">
      <c r="W6446" s="361"/>
    </row>
    <row r="6447" spans="23:23" ht="15">
      <c r="W6447" s="361"/>
    </row>
    <row r="6448" spans="23:23" ht="15">
      <c r="W6448" s="361"/>
    </row>
    <row r="6449" spans="23:23" ht="15">
      <c r="W6449" s="361"/>
    </row>
    <row r="6450" spans="23:23" ht="15">
      <c r="W6450" s="361"/>
    </row>
    <row r="6451" spans="23:23" ht="15">
      <c r="W6451" s="361"/>
    </row>
    <row r="6452" spans="23:23" ht="15">
      <c r="W6452" s="361"/>
    </row>
    <row r="6453" spans="23:23" ht="15">
      <c r="W6453" s="361"/>
    </row>
    <row r="6454" spans="23:23" ht="15">
      <c r="W6454" s="361"/>
    </row>
    <row r="6455" spans="23:23" ht="15">
      <c r="W6455" s="361"/>
    </row>
    <row r="6456" spans="23:23" ht="15">
      <c r="W6456" s="361"/>
    </row>
    <row r="6457" spans="23:23" ht="15">
      <c r="W6457" s="361"/>
    </row>
    <row r="6458" spans="23:23" ht="15">
      <c r="W6458" s="361"/>
    </row>
    <row r="6459" spans="23:23" ht="15">
      <c r="W6459" s="361"/>
    </row>
    <row r="6460" spans="23:23" ht="15">
      <c r="W6460" s="361"/>
    </row>
    <row r="6461" spans="23:23" ht="15">
      <c r="W6461" s="361"/>
    </row>
    <row r="6462" spans="23:23" ht="15">
      <c r="W6462" s="361"/>
    </row>
    <row r="6463" spans="23:23" ht="15">
      <c r="W6463" s="361"/>
    </row>
    <row r="6464" spans="23:23" ht="15">
      <c r="W6464" s="361"/>
    </row>
    <row r="6465" spans="23:23" ht="15">
      <c r="W6465" s="361"/>
    </row>
    <row r="6466" spans="23:23" ht="15">
      <c r="W6466" s="361"/>
    </row>
    <row r="6467" spans="23:23" ht="15">
      <c r="W6467" s="361"/>
    </row>
    <row r="6468" spans="23:23" ht="15">
      <c r="W6468" s="361"/>
    </row>
    <row r="6469" spans="23:23" ht="15">
      <c r="W6469" s="361"/>
    </row>
    <row r="6470" spans="23:23" ht="15">
      <c r="W6470" s="361"/>
    </row>
    <row r="6471" spans="23:23" ht="15">
      <c r="W6471" s="361"/>
    </row>
    <row r="6472" spans="23:23" ht="15">
      <c r="W6472" s="361"/>
    </row>
    <row r="6473" spans="23:23" ht="15">
      <c r="W6473" s="361"/>
    </row>
    <row r="6474" spans="23:23" ht="15">
      <c r="W6474" s="361"/>
    </row>
    <row r="6475" spans="23:23" ht="15">
      <c r="W6475" s="361"/>
    </row>
    <row r="6476" spans="23:23" ht="15">
      <c r="W6476" s="361"/>
    </row>
    <row r="6477" spans="23:23" ht="15">
      <c r="W6477" s="361"/>
    </row>
    <row r="6478" spans="23:23" ht="15">
      <c r="W6478" s="361"/>
    </row>
    <row r="6479" spans="23:23" ht="15">
      <c r="W6479" s="361"/>
    </row>
    <row r="6480" spans="23:23" ht="15">
      <c r="W6480" s="361"/>
    </row>
    <row r="6481" spans="23:23" ht="15">
      <c r="W6481" s="361"/>
    </row>
    <row r="6482" spans="23:23" ht="15">
      <c r="W6482" s="361"/>
    </row>
    <row r="6483" spans="23:23" ht="15">
      <c r="W6483" s="361"/>
    </row>
    <row r="6484" spans="23:23" ht="15">
      <c r="W6484" s="361"/>
    </row>
    <row r="6485" spans="23:23" ht="15">
      <c r="W6485" s="361"/>
    </row>
    <row r="6486" spans="23:23" ht="15">
      <c r="W6486" s="361"/>
    </row>
    <row r="6487" spans="23:23" ht="15">
      <c r="W6487" s="361"/>
    </row>
    <row r="6488" spans="23:23" ht="15">
      <c r="W6488" s="361"/>
    </row>
    <row r="6489" spans="23:23" ht="15">
      <c r="W6489" s="361"/>
    </row>
    <row r="6490" spans="23:23" ht="15">
      <c r="W6490" s="361"/>
    </row>
    <row r="6491" spans="23:23" ht="15">
      <c r="W6491" s="361"/>
    </row>
    <row r="6492" spans="23:23" ht="15">
      <c r="W6492" s="361"/>
    </row>
    <row r="6493" spans="23:23" ht="15">
      <c r="W6493" s="361"/>
    </row>
    <row r="6494" spans="23:23" ht="15">
      <c r="W6494" s="361"/>
    </row>
    <row r="6495" spans="23:23" ht="15">
      <c r="W6495" s="361"/>
    </row>
    <row r="6496" spans="23:23" ht="15">
      <c r="W6496" s="361"/>
    </row>
    <row r="6497" spans="23:23" ht="15">
      <c r="W6497" s="361"/>
    </row>
    <row r="6498" spans="23:23" ht="15">
      <c r="W6498" s="361"/>
    </row>
    <row r="6499" spans="23:23" ht="15">
      <c r="W6499" s="361"/>
    </row>
    <row r="6500" spans="23:23" ht="15">
      <c r="W6500" s="361"/>
    </row>
    <row r="6501" spans="23:23" ht="15">
      <c r="W6501" s="361"/>
    </row>
    <row r="6502" spans="23:23" ht="15">
      <c r="W6502" s="361"/>
    </row>
    <row r="6503" spans="23:23" ht="15">
      <c r="W6503" s="361"/>
    </row>
    <row r="6504" spans="23:23" ht="15">
      <c r="W6504" s="361"/>
    </row>
    <row r="6505" spans="23:23" ht="15">
      <c r="W6505" s="361"/>
    </row>
    <row r="6506" spans="23:23" ht="15">
      <c r="W6506" s="361"/>
    </row>
    <row r="6507" spans="23:23" ht="15">
      <c r="W6507" s="361"/>
    </row>
    <row r="6508" spans="23:23" ht="15">
      <c r="W6508" s="361"/>
    </row>
    <row r="6509" spans="23:23" ht="15">
      <c r="W6509" s="361"/>
    </row>
    <row r="6510" spans="23:23" ht="15">
      <c r="W6510" s="361"/>
    </row>
    <row r="6511" spans="23:23" ht="15">
      <c r="W6511" s="361"/>
    </row>
    <row r="6512" spans="23:23" ht="15">
      <c r="W6512" s="361"/>
    </row>
    <row r="6513" spans="23:23" ht="15">
      <c r="W6513" s="361"/>
    </row>
    <row r="6514" spans="23:23" ht="15">
      <c r="W6514" s="361"/>
    </row>
    <row r="6515" spans="23:23" ht="15">
      <c r="W6515" s="361"/>
    </row>
    <row r="6516" spans="23:23" ht="15">
      <c r="W6516" s="361"/>
    </row>
    <row r="6517" spans="23:23" ht="15">
      <c r="W6517" s="361"/>
    </row>
    <row r="6518" spans="23:23" ht="15">
      <c r="W6518" s="361"/>
    </row>
    <row r="6519" spans="23:23" ht="15">
      <c r="W6519" s="361"/>
    </row>
    <row r="6520" spans="23:23" ht="15">
      <c r="W6520" s="361"/>
    </row>
    <row r="6521" spans="23:23" ht="15">
      <c r="W6521" s="361"/>
    </row>
    <row r="6522" spans="23:23" ht="15">
      <c r="W6522" s="361"/>
    </row>
    <row r="6523" spans="23:23" ht="15">
      <c r="W6523" s="361"/>
    </row>
    <row r="6524" spans="23:23" ht="15">
      <c r="W6524" s="361"/>
    </row>
    <row r="6525" spans="23:23" ht="15">
      <c r="W6525" s="361"/>
    </row>
    <row r="6526" spans="23:23" ht="15">
      <c r="W6526" s="361"/>
    </row>
    <row r="6527" spans="23:23" ht="15">
      <c r="W6527" s="361"/>
    </row>
    <row r="6528" spans="23:23" ht="15">
      <c r="W6528" s="361"/>
    </row>
    <row r="6529" spans="23:23" ht="15">
      <c r="W6529" s="361"/>
    </row>
    <row r="6530" spans="23:23" ht="15">
      <c r="W6530" s="361"/>
    </row>
    <row r="6531" spans="23:23" ht="15">
      <c r="W6531" s="361"/>
    </row>
    <row r="6532" spans="23:23" ht="15">
      <c r="W6532" s="361"/>
    </row>
    <row r="6533" spans="23:23" ht="15">
      <c r="W6533" s="361"/>
    </row>
    <row r="6534" spans="23:23" ht="15">
      <c r="W6534" s="361"/>
    </row>
    <row r="6535" spans="23:23" ht="15">
      <c r="W6535" s="361"/>
    </row>
    <row r="6536" spans="23:23" ht="15">
      <c r="W6536" s="361"/>
    </row>
    <row r="6537" spans="23:23" ht="15">
      <c r="W6537" s="361"/>
    </row>
    <row r="6538" spans="23:23" ht="15">
      <c r="W6538" s="361"/>
    </row>
    <row r="6539" spans="23:23" ht="15">
      <c r="W6539" s="361"/>
    </row>
    <row r="6540" spans="23:23" ht="15">
      <c r="W6540" s="361"/>
    </row>
    <row r="6541" spans="23:23" ht="15">
      <c r="W6541" s="361"/>
    </row>
    <row r="6542" spans="23:23" ht="15">
      <c r="W6542" s="361"/>
    </row>
    <row r="6543" spans="23:23" ht="15">
      <c r="W6543" s="361"/>
    </row>
    <row r="6544" spans="23:23" ht="15">
      <c r="W6544" s="361"/>
    </row>
    <row r="6545" spans="23:23" ht="15">
      <c r="W6545" s="361"/>
    </row>
    <row r="6546" spans="23:23" ht="15">
      <c r="W6546" s="361"/>
    </row>
    <row r="6547" spans="23:23" ht="15">
      <c r="W6547" s="361"/>
    </row>
    <row r="6548" spans="23:23" ht="15">
      <c r="W6548" s="361"/>
    </row>
    <row r="6549" spans="23:23" ht="15">
      <c r="W6549" s="361"/>
    </row>
    <row r="6550" spans="23:23" ht="15">
      <c r="W6550" s="361"/>
    </row>
    <row r="6551" spans="23:23" ht="15">
      <c r="W6551" s="361"/>
    </row>
    <row r="6552" spans="23:23" ht="15">
      <c r="W6552" s="361"/>
    </row>
    <row r="6553" spans="23:23" ht="15">
      <c r="W6553" s="361"/>
    </row>
    <row r="6554" spans="23:23" ht="15">
      <c r="W6554" s="361"/>
    </row>
    <row r="6555" spans="23:23" ht="15">
      <c r="W6555" s="361"/>
    </row>
    <row r="6556" spans="23:23" ht="15">
      <c r="W6556" s="361"/>
    </row>
    <row r="6557" spans="23:23" ht="15">
      <c r="W6557" s="361"/>
    </row>
    <row r="6558" spans="23:23" ht="15">
      <c r="W6558" s="361"/>
    </row>
    <row r="6559" spans="23:23" ht="15">
      <c r="W6559" s="361"/>
    </row>
    <row r="6560" spans="23:23" ht="15">
      <c r="W6560" s="361"/>
    </row>
    <row r="6561" spans="23:23" ht="15">
      <c r="W6561" s="361"/>
    </row>
    <row r="6562" spans="23:23" ht="15">
      <c r="W6562" s="361"/>
    </row>
    <row r="6563" spans="23:23" ht="15">
      <c r="W6563" s="361"/>
    </row>
    <row r="6564" spans="23:23" ht="15">
      <c r="W6564" s="361"/>
    </row>
    <row r="6565" spans="23:23" ht="15">
      <c r="W6565" s="361"/>
    </row>
    <row r="6566" spans="23:23" ht="15">
      <c r="W6566" s="361"/>
    </row>
    <row r="6567" spans="23:23" ht="15">
      <c r="W6567" s="361"/>
    </row>
    <row r="6568" spans="23:23" ht="15">
      <c r="W6568" s="361"/>
    </row>
    <row r="6569" spans="23:23" ht="15">
      <c r="W6569" s="361"/>
    </row>
    <row r="6570" spans="23:23" ht="15">
      <c r="W6570" s="361"/>
    </row>
    <row r="6571" spans="23:23" ht="15">
      <c r="W6571" s="361"/>
    </row>
    <row r="6572" spans="23:23" ht="15">
      <c r="W6572" s="361"/>
    </row>
    <row r="6573" spans="23:23" ht="15">
      <c r="W6573" s="361"/>
    </row>
    <row r="6574" spans="23:23" ht="15">
      <c r="W6574" s="361"/>
    </row>
    <row r="6575" spans="23:23" ht="15">
      <c r="W6575" s="361"/>
    </row>
    <row r="6576" spans="23:23" ht="15">
      <c r="W6576" s="361"/>
    </row>
    <row r="6577" spans="23:23" ht="15">
      <c r="W6577" s="361"/>
    </row>
    <row r="6578" spans="23:23" ht="15">
      <c r="W6578" s="361"/>
    </row>
    <row r="6579" spans="23:23" ht="15">
      <c r="W6579" s="361"/>
    </row>
    <row r="6580" spans="23:23" ht="15">
      <c r="W6580" s="361"/>
    </row>
    <row r="6581" spans="23:23" ht="15">
      <c r="W6581" s="361"/>
    </row>
    <row r="6582" spans="23:23" ht="15">
      <c r="W6582" s="361"/>
    </row>
    <row r="6583" spans="23:23" ht="15">
      <c r="W6583" s="361"/>
    </row>
    <row r="6584" spans="23:23" ht="15">
      <c r="W6584" s="361"/>
    </row>
    <row r="6585" spans="23:23" ht="15">
      <c r="W6585" s="361"/>
    </row>
    <row r="6586" spans="23:23" ht="15">
      <c r="W6586" s="361"/>
    </row>
    <row r="6587" spans="23:23" ht="15">
      <c r="W6587" s="361"/>
    </row>
    <row r="6588" spans="23:23" ht="15">
      <c r="W6588" s="361"/>
    </row>
    <row r="6589" spans="23:23" ht="15">
      <c r="W6589" s="361"/>
    </row>
    <row r="6590" spans="23:23" ht="15">
      <c r="W6590" s="361"/>
    </row>
    <row r="6591" spans="23:23" ht="15">
      <c r="W6591" s="361"/>
    </row>
    <row r="6592" spans="23:23" ht="15">
      <c r="W6592" s="361"/>
    </row>
    <row r="6593" spans="23:23" ht="15">
      <c r="W6593" s="361"/>
    </row>
    <row r="6594" spans="23:23" ht="15">
      <c r="W6594" s="361"/>
    </row>
    <row r="6595" spans="23:23" ht="15">
      <c r="W6595" s="361"/>
    </row>
    <row r="6596" spans="23:23" ht="15">
      <c r="W6596" s="361"/>
    </row>
    <row r="6597" spans="23:23" ht="15">
      <c r="W6597" s="361"/>
    </row>
    <row r="6598" spans="23:23" ht="15">
      <c r="W6598" s="361"/>
    </row>
    <row r="6599" spans="23:23" ht="15">
      <c r="W6599" s="361"/>
    </row>
    <row r="6600" spans="23:23" ht="15">
      <c r="W6600" s="361"/>
    </row>
    <row r="6601" spans="23:23" ht="15">
      <c r="W6601" s="361"/>
    </row>
    <row r="6602" spans="23:23" ht="15">
      <c r="W6602" s="361"/>
    </row>
    <row r="6603" spans="23:23" ht="15">
      <c r="W6603" s="361"/>
    </row>
    <row r="6604" spans="23:23" ht="15">
      <c r="W6604" s="361"/>
    </row>
    <row r="6605" spans="23:23" ht="15">
      <c r="W6605" s="361"/>
    </row>
    <row r="6606" spans="23:23" ht="15">
      <c r="W6606" s="361"/>
    </row>
    <row r="6607" spans="23:23" ht="15">
      <c r="W6607" s="361"/>
    </row>
    <row r="6608" spans="23:23" ht="15">
      <c r="W6608" s="361"/>
    </row>
    <row r="6609" spans="23:23" ht="15">
      <c r="W6609" s="361"/>
    </row>
    <row r="6610" spans="23:23" ht="15">
      <c r="W6610" s="361"/>
    </row>
    <row r="6611" spans="23:23" ht="15">
      <c r="W6611" s="361"/>
    </row>
    <row r="6612" spans="23:23" ht="15">
      <c r="W6612" s="361"/>
    </row>
    <row r="6613" spans="23:23" ht="15">
      <c r="W6613" s="361"/>
    </row>
    <row r="6614" spans="23:23" ht="15">
      <c r="W6614" s="361"/>
    </row>
    <row r="6615" spans="23:23" ht="15">
      <c r="W6615" s="361"/>
    </row>
    <row r="6616" spans="23:23" ht="15">
      <c r="W6616" s="361"/>
    </row>
    <row r="6617" spans="23:23" ht="15">
      <c r="W6617" s="361"/>
    </row>
    <row r="6618" spans="23:23" ht="15">
      <c r="W6618" s="361"/>
    </row>
    <row r="6619" spans="23:23" ht="15">
      <c r="W6619" s="361"/>
    </row>
    <row r="6620" spans="23:23" ht="15">
      <c r="W6620" s="361"/>
    </row>
    <row r="6621" spans="23:23" ht="15">
      <c r="W6621" s="361"/>
    </row>
    <row r="6622" spans="23:23" ht="15">
      <c r="W6622" s="361"/>
    </row>
    <row r="6623" spans="23:23" ht="15">
      <c r="W6623" s="361"/>
    </row>
    <row r="6624" spans="23:23" ht="15">
      <c r="W6624" s="361"/>
    </row>
    <row r="6625" spans="23:23" ht="15">
      <c r="W6625" s="361"/>
    </row>
    <row r="6626" spans="23:23" ht="15">
      <c r="W6626" s="361"/>
    </row>
    <row r="6627" spans="23:23" ht="15">
      <c r="W6627" s="361"/>
    </row>
    <row r="6628" spans="23:23" ht="15">
      <c r="W6628" s="361"/>
    </row>
    <row r="6629" spans="23:23" ht="15">
      <c r="W6629" s="361"/>
    </row>
    <row r="6630" spans="23:23" ht="15">
      <c r="W6630" s="361"/>
    </row>
    <row r="6631" spans="23:23" ht="15">
      <c r="W6631" s="361"/>
    </row>
    <row r="6632" spans="23:23" ht="15">
      <c r="W6632" s="361"/>
    </row>
    <row r="6633" spans="23:23" ht="15">
      <c r="W6633" s="361"/>
    </row>
    <row r="6634" spans="23:23" ht="15">
      <c r="W6634" s="361"/>
    </row>
    <row r="6635" spans="23:23" ht="15">
      <c r="W6635" s="361"/>
    </row>
    <row r="6636" spans="23:23" ht="15">
      <c r="W6636" s="361"/>
    </row>
    <row r="6637" spans="23:23" ht="15">
      <c r="W6637" s="361"/>
    </row>
    <row r="6638" spans="23:23" ht="15">
      <c r="W6638" s="361"/>
    </row>
    <row r="6639" spans="23:23" ht="15">
      <c r="W6639" s="361"/>
    </row>
    <row r="6640" spans="23:23" ht="15">
      <c r="W6640" s="361"/>
    </row>
    <row r="6641" spans="23:23" ht="15">
      <c r="W6641" s="361"/>
    </row>
    <row r="6642" spans="23:23" ht="15">
      <c r="W6642" s="361"/>
    </row>
    <row r="6643" spans="23:23" ht="15">
      <c r="W6643" s="361"/>
    </row>
    <row r="6644" spans="23:23" ht="15">
      <c r="W6644" s="361"/>
    </row>
    <row r="6645" spans="23:23" ht="15">
      <c r="W6645" s="361"/>
    </row>
    <row r="6646" spans="23:23" ht="15">
      <c r="W6646" s="361"/>
    </row>
    <row r="6647" spans="23:23" ht="15">
      <c r="W6647" s="361"/>
    </row>
    <row r="6648" spans="23:23" ht="15">
      <c r="W6648" s="361"/>
    </row>
    <row r="6649" spans="23:23" ht="15">
      <c r="W6649" s="361"/>
    </row>
    <row r="6650" spans="23:23" ht="15">
      <c r="W6650" s="361"/>
    </row>
    <row r="6651" spans="23:23" ht="15">
      <c r="W6651" s="361"/>
    </row>
    <row r="6652" spans="23:23" ht="15">
      <c r="W6652" s="361"/>
    </row>
    <row r="6653" spans="23:23" ht="15">
      <c r="W6653" s="361"/>
    </row>
    <row r="6654" spans="23:23" ht="15">
      <c r="W6654" s="361"/>
    </row>
    <row r="6655" spans="23:23" ht="15">
      <c r="W6655" s="361"/>
    </row>
    <row r="6656" spans="23:23" ht="15">
      <c r="W6656" s="361"/>
    </row>
    <row r="6657" spans="23:23" ht="15">
      <c r="W6657" s="361"/>
    </row>
    <row r="6658" spans="23:23" ht="15">
      <c r="W6658" s="361"/>
    </row>
    <row r="6659" spans="23:23" ht="15">
      <c r="W6659" s="361"/>
    </row>
    <row r="6660" spans="23:23" ht="15">
      <c r="W6660" s="361"/>
    </row>
    <row r="6661" spans="23:23" ht="15">
      <c r="W6661" s="361"/>
    </row>
    <row r="6662" spans="23:23" ht="15">
      <c r="W6662" s="361"/>
    </row>
    <row r="6663" spans="23:23" ht="15">
      <c r="W6663" s="361"/>
    </row>
    <row r="6664" spans="23:23" ht="15">
      <c r="W6664" s="361"/>
    </row>
    <row r="6665" spans="23:23" ht="15">
      <c r="W6665" s="361"/>
    </row>
    <row r="6666" spans="23:23" ht="15">
      <c r="W6666" s="361"/>
    </row>
    <row r="6667" spans="23:23" ht="15">
      <c r="W6667" s="361"/>
    </row>
    <row r="6668" spans="23:23" ht="15">
      <c r="W6668" s="361"/>
    </row>
    <row r="6669" spans="23:23" ht="15">
      <c r="W6669" s="361"/>
    </row>
    <row r="6670" spans="23:23" ht="15">
      <c r="W6670" s="361"/>
    </row>
    <row r="6671" spans="23:23" ht="15">
      <c r="W6671" s="361"/>
    </row>
    <row r="6672" spans="23:23" ht="15">
      <c r="W6672" s="361"/>
    </row>
    <row r="6673" spans="23:23" ht="15">
      <c r="W6673" s="361"/>
    </row>
    <row r="6674" spans="23:23" ht="15">
      <c r="W6674" s="361"/>
    </row>
    <row r="6675" spans="23:23" ht="15">
      <c r="W6675" s="361"/>
    </row>
    <row r="6676" spans="23:23" ht="15">
      <c r="W6676" s="361"/>
    </row>
    <row r="6677" spans="23:23" ht="15">
      <c r="W6677" s="361"/>
    </row>
    <row r="6678" spans="23:23" ht="15">
      <c r="W6678" s="361"/>
    </row>
    <row r="6679" spans="23:23" ht="15">
      <c r="W6679" s="361"/>
    </row>
    <row r="6680" spans="23:23" ht="15">
      <c r="W6680" s="361"/>
    </row>
    <row r="6681" spans="23:23" ht="15">
      <c r="W6681" s="361"/>
    </row>
    <row r="6682" spans="23:23" ht="15">
      <c r="W6682" s="361"/>
    </row>
    <row r="6683" spans="23:23" ht="15">
      <c r="W6683" s="361"/>
    </row>
    <row r="6684" spans="23:23" ht="15">
      <c r="W6684" s="361"/>
    </row>
    <row r="6685" spans="23:23" ht="15">
      <c r="W6685" s="361"/>
    </row>
    <row r="6686" spans="23:23" ht="15">
      <c r="W6686" s="361"/>
    </row>
    <row r="6687" spans="23:23" ht="15">
      <c r="W6687" s="361"/>
    </row>
    <row r="6688" spans="23:23" ht="15">
      <c r="W6688" s="361"/>
    </row>
    <row r="6689" spans="23:23" ht="15">
      <c r="W6689" s="361"/>
    </row>
    <row r="6690" spans="23:23" ht="15">
      <c r="W6690" s="361"/>
    </row>
    <row r="6691" spans="23:23" ht="15">
      <c r="W6691" s="361"/>
    </row>
    <row r="6692" spans="23:23" ht="15">
      <c r="W6692" s="361"/>
    </row>
    <row r="6693" spans="23:23" ht="15">
      <c r="W6693" s="361"/>
    </row>
    <row r="6694" spans="23:23" ht="15">
      <c r="W6694" s="361"/>
    </row>
    <row r="6695" spans="23:23" ht="15">
      <c r="W6695" s="361"/>
    </row>
    <row r="6696" spans="23:23" ht="15">
      <c r="W6696" s="361"/>
    </row>
    <row r="6697" spans="23:23" ht="15">
      <c r="W6697" s="361"/>
    </row>
    <row r="6698" spans="23:23" ht="15">
      <c r="W6698" s="361"/>
    </row>
    <row r="6699" spans="23:23" ht="15">
      <c r="W6699" s="361"/>
    </row>
    <row r="6700" spans="23:23" ht="15">
      <c r="W6700" s="361"/>
    </row>
    <row r="6701" spans="23:23" ht="15">
      <c r="W6701" s="361"/>
    </row>
    <row r="6702" spans="23:23" ht="15">
      <c r="W6702" s="361"/>
    </row>
    <row r="6703" spans="23:23" ht="15">
      <c r="W6703" s="361"/>
    </row>
    <row r="6704" spans="23:23" ht="15">
      <c r="W6704" s="361"/>
    </row>
    <row r="6705" spans="23:23" ht="15">
      <c r="W6705" s="361"/>
    </row>
    <row r="6706" spans="23:23" ht="15">
      <c r="W6706" s="361"/>
    </row>
    <row r="6707" spans="23:23" ht="15">
      <c r="W6707" s="361"/>
    </row>
    <row r="6708" spans="23:23" ht="15">
      <c r="W6708" s="361"/>
    </row>
    <row r="6709" spans="23:23" ht="15">
      <c r="W6709" s="361"/>
    </row>
    <row r="6710" spans="23:23" ht="15">
      <c r="W6710" s="361"/>
    </row>
    <row r="6711" spans="23:23" ht="15">
      <c r="W6711" s="361"/>
    </row>
    <row r="6712" spans="23:23" ht="15">
      <c r="W6712" s="361"/>
    </row>
    <row r="6713" spans="23:23" ht="15">
      <c r="W6713" s="361"/>
    </row>
    <row r="6714" spans="23:23" ht="15">
      <c r="W6714" s="361"/>
    </row>
    <row r="6715" spans="23:23" ht="15">
      <c r="W6715" s="361"/>
    </row>
    <row r="6716" spans="23:23" ht="15">
      <c r="W6716" s="361"/>
    </row>
    <row r="6717" spans="23:23" ht="15">
      <c r="W6717" s="361"/>
    </row>
    <row r="6718" spans="23:23" ht="15">
      <c r="W6718" s="361"/>
    </row>
    <row r="6719" spans="23:23" ht="15">
      <c r="W6719" s="361"/>
    </row>
    <row r="6720" spans="23:23" ht="15">
      <c r="W6720" s="361"/>
    </row>
    <row r="6721" spans="23:23" ht="15">
      <c r="W6721" s="361"/>
    </row>
    <row r="6722" spans="23:23" ht="15">
      <c r="W6722" s="361"/>
    </row>
    <row r="6723" spans="23:23" ht="15">
      <c r="W6723" s="361"/>
    </row>
    <row r="6724" spans="23:23" ht="15">
      <c r="W6724" s="361"/>
    </row>
    <row r="6725" spans="23:23" ht="15">
      <c r="W6725" s="361"/>
    </row>
    <row r="6726" spans="23:23" ht="15">
      <c r="W6726" s="361"/>
    </row>
    <row r="6727" spans="23:23" ht="15">
      <c r="W6727" s="361"/>
    </row>
    <row r="6728" spans="23:23" ht="15">
      <c r="W6728" s="361"/>
    </row>
    <row r="6729" spans="23:23" ht="15">
      <c r="W6729" s="361"/>
    </row>
    <row r="6730" spans="23:23" ht="15">
      <c r="W6730" s="361"/>
    </row>
    <row r="6731" spans="23:23" ht="15">
      <c r="W6731" s="361"/>
    </row>
    <row r="6732" spans="23:23" ht="15">
      <c r="W6732" s="361"/>
    </row>
    <row r="6733" spans="23:23" ht="15">
      <c r="W6733" s="361"/>
    </row>
    <row r="6734" spans="23:23" ht="15">
      <c r="W6734" s="361"/>
    </row>
    <row r="6735" spans="23:23" ht="15">
      <c r="W6735" s="361"/>
    </row>
    <row r="6736" spans="23:23" ht="15">
      <c r="W6736" s="361"/>
    </row>
    <row r="6737" spans="23:23" ht="15">
      <c r="W6737" s="361"/>
    </row>
    <row r="6738" spans="23:23" ht="15">
      <c r="W6738" s="361"/>
    </row>
    <row r="6739" spans="23:23" ht="15">
      <c r="W6739" s="361"/>
    </row>
    <row r="6740" spans="23:23" ht="15">
      <c r="W6740" s="361"/>
    </row>
    <row r="6741" spans="23:23" ht="15">
      <c r="W6741" s="361"/>
    </row>
    <row r="6742" spans="23:23" ht="15">
      <c r="W6742" s="361"/>
    </row>
    <row r="6743" spans="23:23" ht="15">
      <c r="W6743" s="361"/>
    </row>
    <row r="6744" spans="23:23" ht="15">
      <c r="W6744" s="361"/>
    </row>
    <row r="6745" spans="23:23" ht="15">
      <c r="W6745" s="361"/>
    </row>
    <row r="6746" spans="23:23" ht="15">
      <c r="W6746" s="361"/>
    </row>
    <row r="6747" spans="23:23" ht="15">
      <c r="W6747" s="361"/>
    </row>
    <row r="6748" spans="23:23" ht="15">
      <c r="W6748" s="361"/>
    </row>
    <row r="6749" spans="23:23" ht="15">
      <c r="W6749" s="361"/>
    </row>
    <row r="6750" spans="23:23" ht="15">
      <c r="W6750" s="361"/>
    </row>
    <row r="6751" spans="23:23" ht="15">
      <c r="W6751" s="361"/>
    </row>
    <row r="6752" spans="23:23" ht="15">
      <c r="W6752" s="361"/>
    </row>
    <row r="6753" spans="23:23" ht="15">
      <c r="W6753" s="361"/>
    </row>
    <row r="6754" spans="23:23" ht="15">
      <c r="W6754" s="361"/>
    </row>
    <row r="6755" spans="23:23" ht="15">
      <c r="W6755" s="361"/>
    </row>
    <row r="6756" spans="23:23" ht="15">
      <c r="W6756" s="361"/>
    </row>
    <row r="6757" spans="23:23" ht="15">
      <c r="W6757" s="361"/>
    </row>
    <row r="6758" spans="23:23" ht="15">
      <c r="W6758" s="361"/>
    </row>
    <row r="6759" spans="23:23" ht="15">
      <c r="W6759" s="361"/>
    </row>
    <row r="6760" spans="23:23" ht="15">
      <c r="W6760" s="361"/>
    </row>
    <row r="6761" spans="23:23" ht="15">
      <c r="W6761" s="361"/>
    </row>
    <row r="6762" spans="23:23" ht="15">
      <c r="W6762" s="361"/>
    </row>
    <row r="6763" spans="23:23" ht="15">
      <c r="W6763" s="361"/>
    </row>
    <row r="6764" spans="23:23" ht="15">
      <c r="W6764" s="361"/>
    </row>
    <row r="6765" spans="23:23" ht="15">
      <c r="W6765" s="361"/>
    </row>
    <row r="6766" spans="23:23" ht="15">
      <c r="W6766" s="361"/>
    </row>
    <row r="6767" spans="23:23" ht="15">
      <c r="W6767" s="361"/>
    </row>
    <row r="6768" spans="23:23" ht="15">
      <c r="W6768" s="361"/>
    </row>
    <row r="6769" spans="23:23" ht="15">
      <c r="W6769" s="361"/>
    </row>
    <row r="6770" spans="23:23" ht="15">
      <c r="W6770" s="361"/>
    </row>
    <row r="6771" spans="23:23" ht="15">
      <c r="W6771" s="361"/>
    </row>
    <row r="6772" spans="23:23" ht="15">
      <c r="W6772" s="361"/>
    </row>
    <row r="6773" spans="23:23" ht="15">
      <c r="W6773" s="361"/>
    </row>
    <row r="6774" spans="23:23" ht="15">
      <c r="W6774" s="361"/>
    </row>
    <row r="6775" spans="23:23" ht="15">
      <c r="W6775" s="361"/>
    </row>
    <row r="6776" spans="23:23" ht="15">
      <c r="W6776" s="361"/>
    </row>
    <row r="6777" spans="23:23" ht="15">
      <c r="W6777" s="361"/>
    </row>
    <row r="6778" spans="23:23" ht="15">
      <c r="W6778" s="361"/>
    </row>
    <row r="6779" spans="23:23" ht="15">
      <c r="W6779" s="361"/>
    </row>
    <row r="6780" spans="23:23" ht="15">
      <c r="W6780" s="361"/>
    </row>
    <row r="6781" spans="23:23" ht="15">
      <c r="W6781" s="361"/>
    </row>
    <row r="6782" spans="23:23" ht="15">
      <c r="W6782" s="361"/>
    </row>
    <row r="6783" spans="23:23" ht="15">
      <c r="W6783" s="361"/>
    </row>
    <row r="6784" spans="23:23" ht="15">
      <c r="W6784" s="361"/>
    </row>
    <row r="6785" spans="23:23" ht="15">
      <c r="W6785" s="361"/>
    </row>
    <row r="6786" spans="23:23" ht="15">
      <c r="W6786" s="361"/>
    </row>
    <row r="6787" spans="23:23" ht="15">
      <c r="W6787" s="361"/>
    </row>
    <row r="6788" spans="23:23" ht="15">
      <c r="W6788" s="361"/>
    </row>
    <row r="6789" spans="23:23" ht="15">
      <c r="W6789" s="361"/>
    </row>
    <row r="6790" spans="23:23" ht="15">
      <c r="W6790" s="361"/>
    </row>
    <row r="6791" spans="23:23" ht="15">
      <c r="W6791" s="361"/>
    </row>
    <row r="6792" spans="23:23" ht="15">
      <c r="W6792" s="361"/>
    </row>
    <row r="6793" spans="23:23" ht="15">
      <c r="W6793" s="361"/>
    </row>
    <row r="6794" spans="23:23" ht="15">
      <c r="W6794" s="361"/>
    </row>
    <row r="6795" spans="23:23" ht="15">
      <c r="W6795" s="361"/>
    </row>
    <row r="6796" spans="23:23" ht="15">
      <c r="W6796" s="361"/>
    </row>
    <row r="6797" spans="23:23" ht="15">
      <c r="W6797" s="361"/>
    </row>
    <row r="6798" spans="23:23" ht="15">
      <c r="W6798" s="361"/>
    </row>
    <row r="6799" spans="23:23" ht="15">
      <c r="W6799" s="361"/>
    </row>
    <row r="6800" spans="23:23" ht="15">
      <c r="W6800" s="361"/>
    </row>
    <row r="6801" spans="23:23" ht="15">
      <c r="W6801" s="361"/>
    </row>
    <row r="6802" spans="23:23" ht="15">
      <c r="W6802" s="361"/>
    </row>
    <row r="6803" spans="23:23" ht="15">
      <c r="W6803" s="361"/>
    </row>
    <row r="6804" spans="23:23" ht="15">
      <c r="W6804" s="361"/>
    </row>
    <row r="6805" spans="23:23" ht="15">
      <c r="W6805" s="361"/>
    </row>
    <row r="6806" spans="23:23" ht="15">
      <c r="W6806" s="361"/>
    </row>
    <row r="6807" spans="23:23" ht="15">
      <c r="W6807" s="361"/>
    </row>
    <row r="6808" spans="23:23" ht="15">
      <c r="W6808" s="361"/>
    </row>
    <row r="6809" spans="23:23" ht="15">
      <c r="W6809" s="361"/>
    </row>
    <row r="6810" spans="23:23" ht="15">
      <c r="W6810" s="361"/>
    </row>
    <row r="6811" spans="23:23" ht="15">
      <c r="W6811" s="361"/>
    </row>
    <row r="6812" spans="23:23" ht="15">
      <c r="W6812" s="361"/>
    </row>
    <row r="6813" spans="23:23" ht="15">
      <c r="W6813" s="361"/>
    </row>
    <row r="6814" spans="23:23" ht="15">
      <c r="W6814" s="361"/>
    </row>
    <row r="6815" spans="23:23" ht="15">
      <c r="W6815" s="361"/>
    </row>
    <row r="6816" spans="23:23" ht="15">
      <c r="W6816" s="361"/>
    </row>
    <row r="6817" spans="23:23" ht="15">
      <c r="W6817" s="361"/>
    </row>
    <row r="6818" spans="23:23" ht="15">
      <c r="W6818" s="361"/>
    </row>
    <row r="6819" spans="23:23" ht="15">
      <c r="W6819" s="361"/>
    </row>
    <row r="6820" spans="23:23" ht="15">
      <c r="W6820" s="361"/>
    </row>
    <row r="6821" spans="23:23" ht="15">
      <c r="W6821" s="361"/>
    </row>
    <row r="6822" spans="23:23" ht="15">
      <c r="W6822" s="361"/>
    </row>
    <row r="6823" spans="23:23" ht="15">
      <c r="W6823" s="361"/>
    </row>
    <row r="6824" spans="23:23" ht="15">
      <c r="W6824" s="361"/>
    </row>
    <row r="6825" spans="23:23" ht="15">
      <c r="W6825" s="361"/>
    </row>
    <row r="6826" spans="23:23" ht="15">
      <c r="W6826" s="361"/>
    </row>
    <row r="6827" spans="23:23" ht="15">
      <c r="W6827" s="361"/>
    </row>
    <row r="6828" spans="23:23" ht="15">
      <c r="W6828" s="361"/>
    </row>
    <row r="6829" spans="23:23" ht="15">
      <c r="W6829" s="361"/>
    </row>
    <row r="6830" spans="23:23" ht="15">
      <c r="W6830" s="361"/>
    </row>
    <row r="6831" spans="23:23" ht="15">
      <c r="W6831" s="361"/>
    </row>
    <row r="6832" spans="23:23" ht="15">
      <c r="W6832" s="361"/>
    </row>
    <row r="6833" spans="23:23" ht="15">
      <c r="W6833" s="361"/>
    </row>
    <row r="6834" spans="23:23" ht="15">
      <c r="W6834" s="361"/>
    </row>
    <row r="6835" spans="23:23" ht="15">
      <c r="W6835" s="361"/>
    </row>
    <row r="6836" spans="23:23" ht="15">
      <c r="W6836" s="361"/>
    </row>
    <row r="6837" spans="23:23" ht="15">
      <c r="W6837" s="361"/>
    </row>
    <row r="6838" spans="23:23" ht="15">
      <c r="W6838" s="361"/>
    </row>
    <row r="6839" spans="23:23" ht="15">
      <c r="W6839" s="361"/>
    </row>
    <row r="6840" spans="23:23" ht="15">
      <c r="W6840" s="361"/>
    </row>
    <row r="6841" spans="23:23" ht="15">
      <c r="W6841" s="361"/>
    </row>
    <row r="6842" spans="23:23" ht="15">
      <c r="W6842" s="361"/>
    </row>
    <row r="6843" spans="23:23" ht="15">
      <c r="W6843" s="361"/>
    </row>
    <row r="6844" spans="23:23" ht="15">
      <c r="W6844" s="361"/>
    </row>
    <row r="6845" spans="23:23" ht="15">
      <c r="W6845" s="361"/>
    </row>
    <row r="6846" spans="23:23" ht="15">
      <c r="W6846" s="361"/>
    </row>
    <row r="6847" spans="23:23" ht="15">
      <c r="W6847" s="361"/>
    </row>
    <row r="6848" spans="23:23" ht="15">
      <c r="W6848" s="361"/>
    </row>
    <row r="6849" spans="23:23" ht="15">
      <c r="W6849" s="361"/>
    </row>
    <row r="6850" spans="23:23" ht="15">
      <c r="W6850" s="361"/>
    </row>
    <row r="6851" spans="23:23" ht="15">
      <c r="W6851" s="361"/>
    </row>
    <row r="6852" spans="23:23" ht="15">
      <c r="W6852" s="361"/>
    </row>
    <row r="6853" spans="23:23" ht="15">
      <c r="W6853" s="361"/>
    </row>
    <row r="6854" spans="23:23" ht="15">
      <c r="W6854" s="361"/>
    </row>
    <row r="6855" spans="23:23" ht="15">
      <c r="W6855" s="361"/>
    </row>
    <row r="6856" spans="23:23" ht="15">
      <c r="W6856" s="361"/>
    </row>
    <row r="6857" spans="23:23" ht="15">
      <c r="W6857" s="361"/>
    </row>
    <row r="6858" spans="23:23" ht="15">
      <c r="W6858" s="361"/>
    </row>
    <row r="6859" spans="23:23" ht="15">
      <c r="W6859" s="361"/>
    </row>
    <row r="6860" spans="23:23" ht="15">
      <c r="W6860" s="361"/>
    </row>
    <row r="6861" spans="23:23" ht="15">
      <c r="W6861" s="361"/>
    </row>
    <row r="6862" spans="23:23" ht="15">
      <c r="W6862" s="361"/>
    </row>
    <row r="6863" spans="23:23" ht="15">
      <c r="W6863" s="361"/>
    </row>
    <row r="6864" spans="23:23" ht="15">
      <c r="W6864" s="361"/>
    </row>
    <row r="6865" spans="23:23" ht="15">
      <c r="W6865" s="361"/>
    </row>
    <row r="6866" spans="23:23" ht="15">
      <c r="W6866" s="361"/>
    </row>
    <row r="6867" spans="23:23" ht="15">
      <c r="W6867" s="361"/>
    </row>
    <row r="6868" spans="23:23" ht="15">
      <c r="W6868" s="361"/>
    </row>
    <row r="6869" spans="23:23" ht="15">
      <c r="W6869" s="361"/>
    </row>
    <row r="6870" spans="23:23" ht="15">
      <c r="W6870" s="361"/>
    </row>
    <row r="6871" spans="23:23" ht="15">
      <c r="W6871" s="361"/>
    </row>
    <row r="6872" spans="23:23" ht="15">
      <c r="W6872" s="361"/>
    </row>
    <row r="6873" spans="23:23" ht="15">
      <c r="W6873" s="361"/>
    </row>
    <row r="6874" spans="23:23" ht="15">
      <c r="W6874" s="361"/>
    </row>
    <row r="6875" spans="23:23" ht="15">
      <c r="W6875" s="361"/>
    </row>
    <row r="6876" spans="23:23" ht="15">
      <c r="W6876" s="361"/>
    </row>
    <row r="6877" spans="23:23" ht="15">
      <c r="W6877" s="361"/>
    </row>
    <row r="6878" spans="23:23" ht="15">
      <c r="W6878" s="361"/>
    </row>
    <row r="6879" spans="23:23" ht="15">
      <c r="W6879" s="361"/>
    </row>
    <row r="6880" spans="23:23" ht="15">
      <c r="W6880" s="361"/>
    </row>
    <row r="6881" spans="23:23" ht="15">
      <c r="W6881" s="361"/>
    </row>
    <row r="6882" spans="23:23" ht="15">
      <c r="W6882" s="361"/>
    </row>
    <row r="6883" spans="23:23" ht="15">
      <c r="W6883" s="361"/>
    </row>
    <row r="6884" spans="23:23" ht="15">
      <c r="W6884" s="361"/>
    </row>
    <row r="6885" spans="23:23" ht="15">
      <c r="W6885" s="361"/>
    </row>
    <row r="6886" spans="23:23" ht="15">
      <c r="W6886" s="361"/>
    </row>
    <row r="6887" spans="23:23" ht="15">
      <c r="W6887" s="361"/>
    </row>
    <row r="6888" spans="23:23" ht="15">
      <c r="W6888" s="361"/>
    </row>
    <row r="6889" spans="23:23" ht="15">
      <c r="W6889" s="361"/>
    </row>
    <row r="6890" spans="23:23" ht="15">
      <c r="W6890" s="361"/>
    </row>
    <row r="6891" spans="23:23" ht="15">
      <c r="W6891" s="361"/>
    </row>
    <row r="6892" spans="23:23" ht="15">
      <c r="W6892" s="361"/>
    </row>
    <row r="6893" spans="23:23" ht="15">
      <c r="W6893" s="361"/>
    </row>
    <row r="6894" spans="23:23" ht="15">
      <c r="W6894" s="361"/>
    </row>
    <row r="6895" spans="23:23" ht="15">
      <c r="W6895" s="361"/>
    </row>
    <row r="6896" spans="23:23" ht="15">
      <c r="W6896" s="361"/>
    </row>
    <row r="6897" spans="23:23" ht="15">
      <c r="W6897" s="361"/>
    </row>
    <row r="6898" spans="23:23" ht="15">
      <c r="W6898" s="361"/>
    </row>
    <row r="6899" spans="23:23" ht="15">
      <c r="W6899" s="361"/>
    </row>
    <row r="6900" spans="23:23" ht="15">
      <c r="W6900" s="361"/>
    </row>
    <row r="6901" spans="23:23" ht="15">
      <c r="W6901" s="361"/>
    </row>
    <row r="6902" spans="23:23" ht="15">
      <c r="W6902" s="361"/>
    </row>
    <row r="6903" spans="23:23" ht="15">
      <c r="W6903" s="361"/>
    </row>
    <row r="6904" spans="23:23" ht="15">
      <c r="W6904" s="361"/>
    </row>
    <row r="6905" spans="23:23" ht="15">
      <c r="W6905" s="361"/>
    </row>
    <row r="6906" spans="23:23" ht="15">
      <c r="W6906" s="361"/>
    </row>
    <row r="6907" spans="23:23" ht="15">
      <c r="W6907" s="361"/>
    </row>
    <row r="6908" spans="23:23" ht="15">
      <c r="W6908" s="361"/>
    </row>
    <row r="6909" spans="23:23" ht="15">
      <c r="W6909" s="361"/>
    </row>
    <row r="6910" spans="23:23" ht="15">
      <c r="W6910" s="361"/>
    </row>
    <row r="6911" spans="23:23" ht="15">
      <c r="W6911" s="361"/>
    </row>
    <row r="6912" spans="23:23" ht="15">
      <c r="W6912" s="361"/>
    </row>
    <row r="6913" spans="23:23" ht="15">
      <c r="W6913" s="361"/>
    </row>
    <row r="6914" spans="23:23" ht="15">
      <c r="W6914" s="361"/>
    </row>
    <row r="6915" spans="23:23" ht="15">
      <c r="W6915" s="361"/>
    </row>
    <row r="6916" spans="23:23" ht="15">
      <c r="W6916" s="361"/>
    </row>
    <row r="6917" spans="23:23" ht="15">
      <c r="W6917" s="361"/>
    </row>
    <row r="6918" spans="23:23" ht="15">
      <c r="W6918" s="361"/>
    </row>
    <row r="6919" spans="23:23" ht="15">
      <c r="W6919" s="361"/>
    </row>
    <row r="6920" spans="23:23" ht="15">
      <c r="W6920" s="361"/>
    </row>
    <row r="6921" spans="23:23" ht="15">
      <c r="W6921" s="361"/>
    </row>
    <row r="6922" spans="23:23" ht="15">
      <c r="W6922" s="361"/>
    </row>
    <row r="6923" spans="23:23" ht="15">
      <c r="W6923" s="361"/>
    </row>
    <row r="6924" spans="23:23" ht="15">
      <c r="W6924" s="361"/>
    </row>
    <row r="6925" spans="23:23" ht="15">
      <c r="W6925" s="361"/>
    </row>
    <row r="6926" spans="23:23" ht="15">
      <c r="W6926" s="361"/>
    </row>
    <row r="6927" spans="23:23" ht="15">
      <c r="W6927" s="361"/>
    </row>
    <row r="6928" spans="23:23" ht="15">
      <c r="W6928" s="361"/>
    </row>
    <row r="6929" spans="23:23" ht="15">
      <c r="W6929" s="361"/>
    </row>
    <row r="6930" spans="23:23" ht="15">
      <c r="W6930" s="361"/>
    </row>
    <row r="6931" spans="23:23" ht="15">
      <c r="W6931" s="361"/>
    </row>
    <row r="6932" spans="23:23" ht="15">
      <c r="W6932" s="361"/>
    </row>
    <row r="6933" spans="23:23" ht="15">
      <c r="W6933" s="361"/>
    </row>
    <row r="6934" spans="23:23" ht="15">
      <c r="W6934" s="361"/>
    </row>
    <row r="6935" spans="23:23" ht="15">
      <c r="W6935" s="361"/>
    </row>
    <row r="6936" spans="23:23" ht="15">
      <c r="W6936" s="361"/>
    </row>
    <row r="6937" spans="23:23" ht="15">
      <c r="W6937" s="361"/>
    </row>
    <row r="6938" spans="23:23" ht="15">
      <c r="W6938" s="361"/>
    </row>
    <row r="6939" spans="23:23" ht="15">
      <c r="W6939" s="361"/>
    </row>
    <row r="6940" spans="23:23" ht="15">
      <c r="W6940" s="361"/>
    </row>
    <row r="6941" spans="23:23" ht="15">
      <c r="W6941" s="361"/>
    </row>
    <row r="6942" spans="23:23" ht="15">
      <c r="W6942" s="361"/>
    </row>
    <row r="6943" spans="23:23" ht="15">
      <c r="W6943" s="361"/>
    </row>
    <row r="6944" spans="23:23" ht="15">
      <c r="W6944" s="361"/>
    </row>
    <row r="6945" spans="23:23" ht="15">
      <c r="W6945" s="361"/>
    </row>
    <row r="6946" spans="23:23" ht="15">
      <c r="W6946" s="361"/>
    </row>
    <row r="6947" spans="23:23" ht="15">
      <c r="W6947" s="361"/>
    </row>
    <row r="6948" spans="23:23" ht="15">
      <c r="W6948" s="361"/>
    </row>
    <row r="6949" spans="23:23" ht="15">
      <c r="W6949" s="361"/>
    </row>
    <row r="6950" spans="23:23" ht="15">
      <c r="W6950" s="361"/>
    </row>
    <row r="6951" spans="23:23" ht="15">
      <c r="W6951" s="361"/>
    </row>
    <row r="6952" spans="23:23" ht="15">
      <c r="W6952" s="361"/>
    </row>
    <row r="6953" spans="23:23" ht="15">
      <c r="W6953" s="361"/>
    </row>
    <row r="6954" spans="23:23" ht="15">
      <c r="W6954" s="361"/>
    </row>
    <row r="6955" spans="23:23" ht="15">
      <c r="W6955" s="361"/>
    </row>
    <row r="6956" spans="23:23" ht="15">
      <c r="W6956" s="361"/>
    </row>
    <row r="6957" spans="23:23" ht="15">
      <c r="W6957" s="361"/>
    </row>
    <row r="6958" spans="23:23" ht="15">
      <c r="W6958" s="361"/>
    </row>
    <row r="6959" spans="23:23" ht="15">
      <c r="W6959" s="361"/>
    </row>
    <row r="6960" spans="23:23" ht="15">
      <c r="W6960" s="361"/>
    </row>
    <row r="6961" spans="23:23" ht="15">
      <c r="W6961" s="361"/>
    </row>
    <row r="6962" spans="23:23" ht="15">
      <c r="W6962" s="361"/>
    </row>
    <row r="6963" spans="23:23" ht="15">
      <c r="W6963" s="361"/>
    </row>
    <row r="6964" spans="23:23" ht="15">
      <c r="W6964" s="361"/>
    </row>
    <row r="6965" spans="23:23" ht="15">
      <c r="W6965" s="361"/>
    </row>
    <row r="6966" spans="23:23" ht="15">
      <c r="W6966" s="361"/>
    </row>
    <row r="6967" spans="23:23" ht="15">
      <c r="W6967" s="361"/>
    </row>
    <row r="6968" spans="23:23" ht="15">
      <c r="W6968" s="361"/>
    </row>
    <row r="6969" spans="23:23" ht="15">
      <c r="W6969" s="361"/>
    </row>
    <row r="6970" spans="23:23" ht="15">
      <c r="W6970" s="361"/>
    </row>
    <row r="6971" spans="23:23" ht="15">
      <c r="W6971" s="361"/>
    </row>
    <row r="6972" spans="23:23" ht="15">
      <c r="W6972" s="361"/>
    </row>
    <row r="6973" spans="23:23" ht="15">
      <c r="W6973" s="361"/>
    </row>
    <row r="6974" spans="23:23" ht="15">
      <c r="W6974" s="361"/>
    </row>
    <row r="6975" spans="23:23" ht="15">
      <c r="W6975" s="361"/>
    </row>
    <row r="6976" spans="23:23" ht="15">
      <c r="W6976" s="361"/>
    </row>
    <row r="6977" spans="23:23" ht="15">
      <c r="W6977" s="361"/>
    </row>
    <row r="6978" spans="23:23" ht="15">
      <c r="W6978" s="361"/>
    </row>
    <row r="6979" spans="23:23" ht="15">
      <c r="W6979" s="361"/>
    </row>
    <row r="6980" spans="23:23" ht="15">
      <c r="W6980" s="361"/>
    </row>
    <row r="6981" spans="23:23" ht="15">
      <c r="W6981" s="361"/>
    </row>
    <row r="6982" spans="23:23" ht="15">
      <c r="W6982" s="361"/>
    </row>
    <row r="6983" spans="23:23" ht="15">
      <c r="W6983" s="361"/>
    </row>
    <row r="6984" spans="23:23" ht="15">
      <c r="W6984" s="361"/>
    </row>
    <row r="6985" spans="23:23" ht="15">
      <c r="W6985" s="361"/>
    </row>
    <row r="6986" spans="23:23" ht="15">
      <c r="W6986" s="361"/>
    </row>
    <row r="6987" spans="23:23" ht="15">
      <c r="W6987" s="361"/>
    </row>
    <row r="6988" spans="23:23" ht="15">
      <c r="W6988" s="361"/>
    </row>
    <row r="6989" spans="23:23" ht="15">
      <c r="W6989" s="361"/>
    </row>
    <row r="6990" spans="23:23" ht="15">
      <c r="W6990" s="361"/>
    </row>
    <row r="6991" spans="23:23" ht="15">
      <c r="W6991" s="361"/>
    </row>
    <row r="6992" spans="23:23" ht="15">
      <c r="W6992" s="361"/>
    </row>
    <row r="6993" spans="23:23" ht="15">
      <c r="W6993" s="361"/>
    </row>
    <row r="6994" spans="23:23" ht="15">
      <c r="W6994" s="361"/>
    </row>
    <row r="6995" spans="23:23" ht="15">
      <c r="W6995" s="361"/>
    </row>
    <row r="6996" spans="23:23" ht="15">
      <c r="W6996" s="361"/>
    </row>
    <row r="6997" spans="23:23" ht="15">
      <c r="W6997" s="361"/>
    </row>
    <row r="6998" spans="23:23" ht="15">
      <c r="W6998" s="361"/>
    </row>
    <row r="6999" spans="23:23" ht="15">
      <c r="W6999" s="361"/>
    </row>
    <row r="7000" spans="23:23" ht="15">
      <c r="W7000" s="361"/>
    </row>
    <row r="7001" spans="23:23" ht="15">
      <c r="W7001" s="361"/>
    </row>
    <row r="7002" spans="23:23" ht="15">
      <c r="W7002" s="361"/>
    </row>
    <row r="7003" spans="23:23" ht="15">
      <c r="W7003" s="361"/>
    </row>
    <row r="7004" spans="23:23" ht="15">
      <c r="W7004" s="361"/>
    </row>
    <row r="7005" spans="23:23" ht="15">
      <c r="W7005" s="361"/>
    </row>
    <row r="7006" spans="23:23" ht="15">
      <c r="W7006" s="361"/>
    </row>
    <row r="7007" spans="23:23" ht="15">
      <c r="W7007" s="361"/>
    </row>
    <row r="7008" spans="23:23" ht="15">
      <c r="W7008" s="361"/>
    </row>
    <row r="7009" spans="23:23" ht="15">
      <c r="W7009" s="361"/>
    </row>
    <row r="7010" spans="23:23" ht="15">
      <c r="W7010" s="361"/>
    </row>
    <row r="7011" spans="23:23" ht="15">
      <c r="W7011" s="361"/>
    </row>
    <row r="7012" spans="23:23" ht="15">
      <c r="W7012" s="361"/>
    </row>
    <row r="7013" spans="23:23" ht="15">
      <c r="W7013" s="361"/>
    </row>
    <row r="7014" spans="23:23" ht="15">
      <c r="W7014" s="361"/>
    </row>
    <row r="7015" spans="23:23" ht="15">
      <c r="W7015" s="361"/>
    </row>
    <row r="7016" spans="23:23" ht="15">
      <c r="W7016" s="361"/>
    </row>
    <row r="7017" spans="23:23" ht="15">
      <c r="W7017" s="361"/>
    </row>
    <row r="7018" spans="23:23" ht="15">
      <c r="W7018" s="361"/>
    </row>
    <row r="7019" spans="23:23" ht="15">
      <c r="W7019" s="361"/>
    </row>
    <row r="7020" spans="23:23" ht="15">
      <c r="W7020" s="361"/>
    </row>
    <row r="7021" spans="23:23" ht="15">
      <c r="W7021" s="361"/>
    </row>
    <row r="7022" spans="23:23" ht="15">
      <c r="W7022" s="361"/>
    </row>
    <row r="7023" spans="23:23" ht="15">
      <c r="W7023" s="361"/>
    </row>
    <row r="7024" spans="23:23" ht="15">
      <c r="W7024" s="361"/>
    </row>
    <row r="7025" spans="23:23" ht="15">
      <c r="W7025" s="361"/>
    </row>
    <row r="7026" spans="23:23" ht="15">
      <c r="W7026" s="361"/>
    </row>
    <row r="7027" spans="23:23" ht="15">
      <c r="W7027" s="361"/>
    </row>
    <row r="7028" spans="23:23" ht="15">
      <c r="W7028" s="361"/>
    </row>
    <row r="7029" spans="23:23" ht="15">
      <c r="W7029" s="361"/>
    </row>
    <row r="7030" spans="23:23" ht="15">
      <c r="W7030" s="361"/>
    </row>
    <row r="7031" spans="23:23" ht="15">
      <c r="W7031" s="361"/>
    </row>
    <row r="7032" spans="23:23" ht="15">
      <c r="W7032" s="361"/>
    </row>
    <row r="7033" spans="23:23" ht="15">
      <c r="W7033" s="361"/>
    </row>
    <row r="7034" spans="23:23" ht="15">
      <c r="W7034" s="361"/>
    </row>
    <row r="7035" spans="23:23" ht="15">
      <c r="W7035" s="361"/>
    </row>
    <row r="7036" spans="23:23" ht="15">
      <c r="W7036" s="361"/>
    </row>
    <row r="7037" spans="23:23" ht="15">
      <c r="W7037" s="361"/>
    </row>
    <row r="7038" spans="23:23" ht="15">
      <c r="W7038" s="361"/>
    </row>
    <row r="7039" spans="23:23" ht="15">
      <c r="W7039" s="361"/>
    </row>
    <row r="7040" spans="23:23" ht="15">
      <c r="W7040" s="361"/>
    </row>
    <row r="7041" spans="23:23" ht="15">
      <c r="W7041" s="361"/>
    </row>
    <row r="7042" spans="23:23" ht="15">
      <c r="W7042" s="361"/>
    </row>
    <row r="7043" spans="23:23" ht="15">
      <c r="W7043" s="361"/>
    </row>
    <row r="7044" spans="23:23" ht="15">
      <c r="W7044" s="361"/>
    </row>
    <row r="7045" spans="23:23" ht="15">
      <c r="W7045" s="361"/>
    </row>
    <row r="7046" spans="23:23" ht="15">
      <c r="W7046" s="361"/>
    </row>
    <row r="7047" spans="23:23" ht="15">
      <c r="W7047" s="361"/>
    </row>
    <row r="7048" spans="23:23" ht="15">
      <c r="W7048" s="361"/>
    </row>
    <row r="7049" spans="23:23" ht="15">
      <c r="W7049" s="361"/>
    </row>
    <row r="7050" spans="23:23" ht="15">
      <c r="W7050" s="361"/>
    </row>
    <row r="7051" spans="23:23" ht="15">
      <c r="W7051" s="361"/>
    </row>
    <row r="7052" spans="23:23" ht="15">
      <c r="W7052" s="361"/>
    </row>
    <row r="7053" spans="23:23" ht="15">
      <c r="W7053" s="361"/>
    </row>
    <row r="7054" spans="23:23" ht="15">
      <c r="W7054" s="361"/>
    </row>
    <row r="7055" spans="23:23" ht="15">
      <c r="W7055" s="361"/>
    </row>
    <row r="7056" spans="23:23" ht="15">
      <c r="W7056" s="361"/>
    </row>
    <row r="7057" spans="23:23" ht="15">
      <c r="W7057" s="361"/>
    </row>
    <row r="7058" spans="23:23" ht="15">
      <c r="W7058" s="361"/>
    </row>
    <row r="7059" spans="23:23" ht="15">
      <c r="W7059" s="361"/>
    </row>
    <row r="7060" spans="23:23" ht="15">
      <c r="W7060" s="361"/>
    </row>
    <row r="7061" spans="23:23" ht="15">
      <c r="W7061" s="361"/>
    </row>
    <row r="7062" spans="23:23" ht="15">
      <c r="W7062" s="361"/>
    </row>
    <row r="7063" spans="23:23" ht="15">
      <c r="W7063" s="361"/>
    </row>
    <row r="7064" spans="23:23" ht="15">
      <c r="W7064" s="361"/>
    </row>
    <row r="7065" spans="23:23" ht="15">
      <c r="W7065" s="361"/>
    </row>
    <row r="7066" spans="23:23" ht="15">
      <c r="W7066" s="361"/>
    </row>
    <row r="7067" spans="23:23" ht="15">
      <c r="W7067" s="361"/>
    </row>
    <row r="7068" spans="23:23" ht="15">
      <c r="W7068" s="361"/>
    </row>
    <row r="7069" spans="23:23" ht="15">
      <c r="W7069" s="361"/>
    </row>
    <row r="7070" spans="23:23" ht="15">
      <c r="W7070" s="361"/>
    </row>
    <row r="7071" spans="23:23" ht="15">
      <c r="W7071" s="361"/>
    </row>
    <row r="7072" spans="23:23" ht="15">
      <c r="W7072" s="361"/>
    </row>
    <row r="7073" spans="23:23" ht="15">
      <c r="W7073" s="361"/>
    </row>
    <row r="7074" spans="23:23" ht="15">
      <c r="W7074" s="361"/>
    </row>
    <row r="7075" spans="23:23" ht="15">
      <c r="W7075" s="361"/>
    </row>
    <row r="7076" spans="23:23" ht="15">
      <c r="W7076" s="361"/>
    </row>
    <row r="7077" spans="23:23" ht="15">
      <c r="W7077" s="361"/>
    </row>
    <row r="7078" spans="23:23" ht="15">
      <c r="W7078" s="361"/>
    </row>
    <row r="7079" spans="23:23" ht="15">
      <c r="W7079" s="361"/>
    </row>
    <row r="7080" spans="23:23" ht="15">
      <c r="W7080" s="361"/>
    </row>
    <row r="7081" spans="23:23" ht="15">
      <c r="W7081" s="361"/>
    </row>
    <row r="7082" spans="23:23" ht="15">
      <c r="W7082" s="361"/>
    </row>
    <row r="7083" spans="23:23" ht="15">
      <c r="W7083" s="361"/>
    </row>
    <row r="7084" spans="23:23" ht="15">
      <c r="W7084" s="361"/>
    </row>
    <row r="7085" spans="23:23" ht="15">
      <c r="W7085" s="361"/>
    </row>
    <row r="7086" spans="23:23" ht="15">
      <c r="W7086" s="361"/>
    </row>
    <row r="7087" spans="23:23" ht="15">
      <c r="W7087" s="361"/>
    </row>
    <row r="7088" spans="23:23" ht="15">
      <c r="W7088" s="361"/>
    </row>
    <row r="7089" spans="23:23" ht="15">
      <c r="W7089" s="361"/>
    </row>
    <row r="7090" spans="23:23" ht="15">
      <c r="W7090" s="361"/>
    </row>
    <row r="7091" spans="23:23" ht="15">
      <c r="W7091" s="361"/>
    </row>
    <row r="7092" spans="23:23" ht="15">
      <c r="W7092" s="361"/>
    </row>
    <row r="7093" spans="23:23" ht="15">
      <c r="W7093" s="361"/>
    </row>
    <row r="7094" spans="23:23" ht="15">
      <c r="W7094" s="361"/>
    </row>
    <row r="7095" spans="23:23" ht="15">
      <c r="W7095" s="361"/>
    </row>
    <row r="7096" spans="23:23" ht="15">
      <c r="W7096" s="361"/>
    </row>
    <row r="7097" spans="23:23" ht="15">
      <c r="W7097" s="361"/>
    </row>
    <row r="7098" spans="23:23" ht="15">
      <c r="W7098" s="361"/>
    </row>
    <row r="7099" spans="23:23" ht="15">
      <c r="W7099" s="361"/>
    </row>
    <row r="7100" spans="23:23" ht="15">
      <c r="W7100" s="361"/>
    </row>
    <row r="7101" spans="23:23" ht="15">
      <c r="W7101" s="361"/>
    </row>
    <row r="7102" spans="23:23" ht="15">
      <c r="W7102" s="361"/>
    </row>
    <row r="7103" spans="23:23" ht="15">
      <c r="W7103" s="361"/>
    </row>
    <row r="7104" spans="23:23" ht="15">
      <c r="W7104" s="361"/>
    </row>
    <row r="7105" spans="23:23" ht="15">
      <c r="W7105" s="361"/>
    </row>
    <row r="7106" spans="23:23" ht="15">
      <c r="W7106" s="361"/>
    </row>
    <row r="7107" spans="23:23" ht="15">
      <c r="W7107" s="361"/>
    </row>
    <row r="7108" spans="23:23" ht="15">
      <c r="W7108" s="361"/>
    </row>
    <row r="7109" spans="23:23" ht="15">
      <c r="W7109" s="361"/>
    </row>
    <row r="7110" spans="23:23" ht="15">
      <c r="W7110" s="361"/>
    </row>
    <row r="7111" spans="23:23" ht="15">
      <c r="W7111" s="361"/>
    </row>
    <row r="7112" spans="23:23" ht="15">
      <c r="W7112" s="361"/>
    </row>
    <row r="7113" spans="23:23" ht="15">
      <c r="W7113" s="361"/>
    </row>
    <row r="7114" spans="23:23" ht="15">
      <c r="W7114" s="361"/>
    </row>
    <row r="7115" spans="23:23" ht="15">
      <c r="W7115" s="361"/>
    </row>
    <row r="7116" spans="23:23" ht="15">
      <c r="W7116" s="361"/>
    </row>
    <row r="7117" spans="23:23" ht="15">
      <c r="W7117" s="361"/>
    </row>
    <row r="7118" spans="23:23" ht="15">
      <c r="W7118" s="361"/>
    </row>
    <row r="7119" spans="23:23" ht="15">
      <c r="W7119" s="361"/>
    </row>
    <row r="7120" spans="23:23" ht="15">
      <c r="W7120" s="361"/>
    </row>
    <row r="7121" spans="23:23" ht="15">
      <c r="W7121" s="361"/>
    </row>
    <row r="7122" spans="23:23" ht="15">
      <c r="W7122" s="361"/>
    </row>
    <row r="7123" spans="23:23" ht="15">
      <c r="W7123" s="361"/>
    </row>
    <row r="7124" spans="23:23" ht="15">
      <c r="W7124" s="361"/>
    </row>
    <row r="7125" spans="23:23" ht="15">
      <c r="W7125" s="361"/>
    </row>
    <row r="7126" spans="23:23" ht="15">
      <c r="W7126" s="361"/>
    </row>
    <row r="7127" spans="23:23" ht="15">
      <c r="W7127" s="361"/>
    </row>
    <row r="7128" spans="23:23" ht="15">
      <c r="W7128" s="361"/>
    </row>
    <row r="7129" spans="23:23" ht="15">
      <c r="W7129" s="361"/>
    </row>
    <row r="7130" spans="23:23" ht="15">
      <c r="W7130" s="361"/>
    </row>
    <row r="7131" spans="23:23" ht="15">
      <c r="W7131" s="361"/>
    </row>
    <row r="7132" spans="23:23" ht="15">
      <c r="W7132" s="361"/>
    </row>
    <row r="7133" spans="23:23" ht="15">
      <c r="W7133" s="361"/>
    </row>
    <row r="7134" spans="23:23" ht="15">
      <c r="W7134" s="361"/>
    </row>
    <row r="7135" spans="23:23" ht="15">
      <c r="W7135" s="361"/>
    </row>
    <row r="7136" spans="23:23" ht="15">
      <c r="W7136" s="361"/>
    </row>
    <row r="7137" spans="23:23" ht="15">
      <c r="W7137" s="361"/>
    </row>
    <row r="7138" spans="23:23" ht="15">
      <c r="W7138" s="361"/>
    </row>
    <row r="7139" spans="23:23" ht="15">
      <c r="W7139" s="361"/>
    </row>
    <row r="7140" spans="23:23" ht="15">
      <c r="W7140" s="361"/>
    </row>
    <row r="7141" spans="23:23" ht="15">
      <c r="W7141" s="361"/>
    </row>
    <row r="7142" spans="23:23" ht="15">
      <c r="W7142" s="361"/>
    </row>
    <row r="7143" spans="23:23" ht="15">
      <c r="W7143" s="361"/>
    </row>
    <row r="7144" spans="23:23" ht="15">
      <c r="W7144" s="361"/>
    </row>
    <row r="7145" spans="23:23" ht="15">
      <c r="W7145" s="361"/>
    </row>
    <row r="7146" spans="23:23" ht="15">
      <c r="W7146" s="361"/>
    </row>
    <row r="7147" spans="23:23" ht="15">
      <c r="W7147" s="361"/>
    </row>
    <row r="7148" spans="23:23" ht="15">
      <c r="W7148" s="361"/>
    </row>
    <row r="7149" spans="23:23" ht="15">
      <c r="W7149" s="361"/>
    </row>
    <row r="7150" spans="23:23" ht="15">
      <c r="W7150" s="361"/>
    </row>
    <row r="7151" spans="23:23" ht="15">
      <c r="W7151" s="361"/>
    </row>
    <row r="7152" spans="23:23" ht="15">
      <c r="W7152" s="361"/>
    </row>
    <row r="7153" spans="23:23" ht="15">
      <c r="W7153" s="361"/>
    </row>
    <row r="7154" spans="23:23" ht="15">
      <c r="W7154" s="361"/>
    </row>
    <row r="7155" spans="23:23" ht="15">
      <c r="W7155" s="361"/>
    </row>
    <row r="7156" spans="23:23" ht="15">
      <c r="W7156" s="361"/>
    </row>
    <row r="7157" spans="23:23" ht="15">
      <c r="W7157" s="361"/>
    </row>
    <row r="7158" spans="23:23" ht="15">
      <c r="W7158" s="361"/>
    </row>
    <row r="7159" spans="23:23" ht="15">
      <c r="W7159" s="361"/>
    </row>
    <row r="7160" spans="23:23" ht="15">
      <c r="W7160" s="361"/>
    </row>
    <row r="7161" spans="23:23" ht="15">
      <c r="W7161" s="361"/>
    </row>
    <row r="7162" spans="23:23" ht="15">
      <c r="W7162" s="361"/>
    </row>
    <row r="7163" spans="23:23" ht="15">
      <c r="W7163" s="361"/>
    </row>
    <row r="7164" spans="23:23" ht="15">
      <c r="W7164" s="361"/>
    </row>
    <row r="7165" spans="23:23" ht="15">
      <c r="W7165" s="361"/>
    </row>
    <row r="7166" spans="23:23" ht="15">
      <c r="W7166" s="361"/>
    </row>
    <row r="7167" spans="23:23" ht="15">
      <c r="W7167" s="361"/>
    </row>
    <row r="7168" spans="23:23" ht="15">
      <c r="W7168" s="361"/>
    </row>
    <row r="7169" spans="23:23" ht="15">
      <c r="W7169" s="361"/>
    </row>
    <row r="7170" spans="23:23" ht="15">
      <c r="W7170" s="361"/>
    </row>
    <row r="7171" spans="23:23" ht="15">
      <c r="W7171" s="361"/>
    </row>
    <row r="7172" spans="23:23" ht="15">
      <c r="W7172" s="361"/>
    </row>
    <row r="7173" spans="23:23" ht="15">
      <c r="W7173" s="361"/>
    </row>
    <row r="7174" spans="23:23" ht="15">
      <c r="W7174" s="361"/>
    </row>
    <row r="7175" spans="23:23" ht="15">
      <c r="W7175" s="361"/>
    </row>
    <row r="7176" spans="23:23" ht="15">
      <c r="W7176" s="361"/>
    </row>
    <row r="7177" spans="23:23" ht="15">
      <c r="W7177" s="361"/>
    </row>
    <row r="7178" spans="23:23" ht="15">
      <c r="W7178" s="361"/>
    </row>
    <row r="7179" spans="23:23" ht="15">
      <c r="W7179" s="361"/>
    </row>
    <row r="7180" spans="23:23" ht="15">
      <c r="W7180" s="361"/>
    </row>
    <row r="7181" spans="23:23" ht="15">
      <c r="W7181" s="361"/>
    </row>
    <row r="7182" spans="23:23" ht="15">
      <c r="W7182" s="361"/>
    </row>
    <row r="7183" spans="23:23" ht="15">
      <c r="W7183" s="361"/>
    </row>
    <row r="7184" spans="23:23" ht="15">
      <c r="W7184" s="361"/>
    </row>
    <row r="7185" spans="23:23" ht="15">
      <c r="W7185" s="361"/>
    </row>
    <row r="7186" spans="23:23" ht="15">
      <c r="W7186" s="361"/>
    </row>
    <row r="7187" spans="23:23" ht="15">
      <c r="W7187" s="361"/>
    </row>
    <row r="7188" spans="23:23" ht="15">
      <c r="W7188" s="361"/>
    </row>
    <row r="7189" spans="23:23" ht="15">
      <c r="W7189" s="361"/>
    </row>
    <row r="7190" spans="23:23" ht="15">
      <c r="W7190" s="361"/>
    </row>
    <row r="7191" spans="23:23" ht="15">
      <c r="W7191" s="361"/>
    </row>
    <row r="7192" spans="23:23" ht="15">
      <c r="W7192" s="361"/>
    </row>
    <row r="7193" spans="23:23" ht="15">
      <c r="W7193" s="361"/>
    </row>
    <row r="7194" spans="23:23" ht="15">
      <c r="W7194" s="361"/>
    </row>
    <row r="7195" spans="23:23" ht="15">
      <c r="W7195" s="361"/>
    </row>
    <row r="7196" spans="23:23" ht="15">
      <c r="W7196" s="361"/>
    </row>
    <row r="7197" spans="23:23" ht="15">
      <c r="W7197" s="361"/>
    </row>
    <row r="7198" spans="23:23" ht="15">
      <c r="W7198" s="361"/>
    </row>
    <row r="7199" spans="23:23" ht="15">
      <c r="W7199" s="361"/>
    </row>
    <row r="7200" spans="23:23" ht="15">
      <c r="W7200" s="361"/>
    </row>
    <row r="7201" spans="23:23" ht="15">
      <c r="W7201" s="361"/>
    </row>
    <row r="7202" spans="23:23" ht="15">
      <c r="W7202" s="361"/>
    </row>
    <row r="7203" spans="23:23" ht="15">
      <c r="W7203" s="361"/>
    </row>
    <row r="7204" spans="23:23" ht="15">
      <c r="W7204" s="361"/>
    </row>
    <row r="7205" spans="23:23" ht="15">
      <c r="W7205" s="361"/>
    </row>
    <row r="7206" spans="23:23" ht="15">
      <c r="W7206" s="361"/>
    </row>
    <row r="7207" spans="23:23" ht="15">
      <c r="W7207" s="361"/>
    </row>
    <row r="7208" spans="23:23" ht="15">
      <c r="W7208" s="361"/>
    </row>
    <row r="7209" spans="23:23" ht="15">
      <c r="W7209" s="361"/>
    </row>
    <row r="7210" spans="23:23" ht="15">
      <c r="W7210" s="361"/>
    </row>
    <row r="7211" spans="23:23" ht="15">
      <c r="W7211" s="361"/>
    </row>
    <row r="7212" spans="23:23" ht="15">
      <c r="W7212" s="361"/>
    </row>
    <row r="7213" spans="23:23" ht="15">
      <c r="W7213" s="361"/>
    </row>
    <row r="7214" spans="23:23" ht="15">
      <c r="W7214" s="361"/>
    </row>
    <row r="7215" spans="23:23" ht="15">
      <c r="W7215" s="361"/>
    </row>
    <row r="7216" spans="23:23" ht="15">
      <c r="W7216" s="361"/>
    </row>
    <row r="7217" spans="23:23" ht="15">
      <c r="W7217" s="361"/>
    </row>
    <row r="7218" spans="23:23" ht="15">
      <c r="W7218" s="361"/>
    </row>
    <row r="7219" spans="23:23" ht="15">
      <c r="W7219" s="361"/>
    </row>
    <row r="7220" spans="23:23" ht="15">
      <c r="W7220" s="361"/>
    </row>
    <row r="7221" spans="23:23" ht="15">
      <c r="W7221" s="361"/>
    </row>
    <row r="7222" spans="23:23" ht="15">
      <c r="W7222" s="361"/>
    </row>
    <row r="7223" spans="23:23" ht="15">
      <c r="W7223" s="361"/>
    </row>
    <row r="7224" spans="23:23" ht="15">
      <c r="W7224" s="361"/>
    </row>
    <row r="7225" spans="23:23" ht="15">
      <c r="W7225" s="361"/>
    </row>
    <row r="7226" spans="23:23" ht="15">
      <c r="W7226" s="361"/>
    </row>
    <row r="7227" spans="23:23" ht="15">
      <c r="W7227" s="361"/>
    </row>
    <row r="7228" spans="23:23" ht="15">
      <c r="W7228" s="361"/>
    </row>
    <row r="7229" spans="23:23" ht="15">
      <c r="W7229" s="361"/>
    </row>
    <row r="7230" spans="23:23" ht="15">
      <c r="W7230" s="361"/>
    </row>
    <row r="7231" spans="23:23" ht="15">
      <c r="W7231" s="361"/>
    </row>
    <row r="7232" spans="23:23" ht="15">
      <c r="W7232" s="361"/>
    </row>
    <row r="7233" spans="23:23" ht="15">
      <c r="W7233" s="361"/>
    </row>
    <row r="7234" spans="23:23" ht="15">
      <c r="W7234" s="361"/>
    </row>
    <row r="7235" spans="23:23" ht="15">
      <c r="W7235" s="361"/>
    </row>
    <row r="7236" spans="23:23" ht="15">
      <c r="W7236" s="361"/>
    </row>
    <row r="7237" spans="23:23" ht="15">
      <c r="W7237" s="361"/>
    </row>
    <row r="7238" spans="23:23" ht="15">
      <c r="W7238" s="361"/>
    </row>
    <row r="7239" spans="23:23" ht="15">
      <c r="W7239" s="361"/>
    </row>
    <row r="7240" spans="23:23" ht="15">
      <c r="W7240" s="361"/>
    </row>
    <row r="7241" spans="23:23" ht="15">
      <c r="W7241" s="361"/>
    </row>
    <row r="7242" spans="23:23" ht="15">
      <c r="W7242" s="361"/>
    </row>
    <row r="7243" spans="23:23" ht="15">
      <c r="W7243" s="361"/>
    </row>
    <row r="7244" spans="23:23" ht="15">
      <c r="W7244" s="361"/>
    </row>
    <row r="7245" spans="23:23" ht="15">
      <c r="W7245" s="361"/>
    </row>
    <row r="7246" spans="23:23" ht="15">
      <c r="W7246" s="361"/>
    </row>
    <row r="7247" spans="23:23" ht="15">
      <c r="W7247" s="361"/>
    </row>
    <row r="7248" spans="23:23" ht="15">
      <c r="W7248" s="361"/>
    </row>
    <row r="7249" spans="23:23" ht="15">
      <c r="W7249" s="361"/>
    </row>
    <row r="7250" spans="23:23" ht="15">
      <c r="W7250" s="361"/>
    </row>
    <row r="7251" spans="23:23" ht="15">
      <c r="W7251" s="361"/>
    </row>
    <row r="7252" spans="23:23" ht="15">
      <c r="W7252" s="361"/>
    </row>
    <row r="7253" spans="23:23" ht="15">
      <c r="W7253" s="361"/>
    </row>
    <row r="7254" spans="23:23" ht="15">
      <c r="W7254" s="361"/>
    </row>
    <row r="7255" spans="23:23" ht="15">
      <c r="W7255" s="361"/>
    </row>
    <row r="7256" spans="23:23" ht="15">
      <c r="W7256" s="361"/>
    </row>
    <row r="7257" spans="23:23" ht="15">
      <c r="W7257" s="361"/>
    </row>
    <row r="7258" spans="23:23" ht="15">
      <c r="W7258" s="361"/>
    </row>
    <row r="7259" spans="23:23" ht="15">
      <c r="W7259" s="361"/>
    </row>
    <row r="7260" spans="23:23" ht="15">
      <c r="W7260" s="361"/>
    </row>
    <row r="7261" spans="23:23" ht="15">
      <c r="W7261" s="361"/>
    </row>
    <row r="7262" spans="23:23" ht="15">
      <c r="W7262" s="361"/>
    </row>
    <row r="7263" spans="23:23" ht="15">
      <c r="W7263" s="361"/>
    </row>
    <row r="7264" spans="23:23" ht="15">
      <c r="W7264" s="361"/>
    </row>
    <row r="7265" spans="23:23" ht="15">
      <c r="W7265" s="361"/>
    </row>
    <row r="7266" spans="23:23" ht="15">
      <c r="W7266" s="361"/>
    </row>
    <row r="7267" spans="23:23" ht="15">
      <c r="W7267" s="361"/>
    </row>
    <row r="7268" spans="23:23" ht="15">
      <c r="W7268" s="361"/>
    </row>
    <row r="7269" spans="23:23" ht="15">
      <c r="W7269" s="361"/>
    </row>
    <row r="7270" spans="23:23" ht="15">
      <c r="W7270" s="361"/>
    </row>
    <row r="7271" spans="23:23" ht="15">
      <c r="W7271" s="361"/>
    </row>
    <row r="7272" spans="23:23" ht="15">
      <c r="W7272" s="361"/>
    </row>
    <row r="7273" spans="23:23" ht="15">
      <c r="W7273" s="361"/>
    </row>
    <row r="7274" spans="23:23" ht="15">
      <c r="W7274" s="361"/>
    </row>
    <row r="7275" spans="23:23" ht="15">
      <c r="W7275" s="361"/>
    </row>
    <row r="7276" spans="23:23" ht="15">
      <c r="W7276" s="361"/>
    </row>
    <row r="7277" spans="23:23" ht="15">
      <c r="W7277" s="361"/>
    </row>
    <row r="7278" spans="23:23" ht="15">
      <c r="W7278" s="361"/>
    </row>
    <row r="7279" spans="23:23" ht="15">
      <c r="W7279" s="361"/>
    </row>
    <row r="7280" spans="23:23" ht="15">
      <c r="W7280" s="361"/>
    </row>
    <row r="7281" spans="23:23" ht="15">
      <c r="W7281" s="361"/>
    </row>
    <row r="7282" spans="23:23" ht="15">
      <c r="W7282" s="361"/>
    </row>
    <row r="7283" spans="23:23" ht="15">
      <c r="W7283" s="361"/>
    </row>
    <row r="7284" spans="23:23" ht="15">
      <c r="W7284" s="361"/>
    </row>
    <row r="7285" spans="23:23" ht="15">
      <c r="W7285" s="361"/>
    </row>
    <row r="7286" spans="23:23" ht="15">
      <c r="W7286" s="361"/>
    </row>
    <row r="7287" spans="23:23" ht="15">
      <c r="W7287" s="361"/>
    </row>
    <row r="7288" spans="23:23" ht="15">
      <c r="W7288" s="361"/>
    </row>
    <row r="7289" spans="23:23" ht="15">
      <c r="W7289" s="361"/>
    </row>
    <row r="7290" spans="23:23" ht="15">
      <c r="W7290" s="361"/>
    </row>
    <row r="7291" spans="23:23" ht="15">
      <c r="W7291" s="361"/>
    </row>
    <row r="7292" spans="23:23" ht="15">
      <c r="W7292" s="361"/>
    </row>
    <row r="7293" spans="23:23" ht="15">
      <c r="W7293" s="361"/>
    </row>
    <row r="7294" spans="23:23" ht="15">
      <c r="W7294" s="361"/>
    </row>
    <row r="7295" spans="23:23" ht="15">
      <c r="W7295" s="361"/>
    </row>
    <row r="7296" spans="23:23" ht="15">
      <c r="W7296" s="361"/>
    </row>
    <row r="7297" spans="23:23" ht="15">
      <c r="W7297" s="361"/>
    </row>
    <row r="7298" spans="23:23" ht="15">
      <c r="W7298" s="361"/>
    </row>
    <row r="7299" spans="23:23" ht="15">
      <c r="W7299" s="361"/>
    </row>
    <row r="7300" spans="23:23" ht="15">
      <c r="W7300" s="361"/>
    </row>
    <row r="7301" spans="23:23" ht="15">
      <c r="W7301" s="361"/>
    </row>
    <row r="7302" spans="23:23" ht="15">
      <c r="W7302" s="361"/>
    </row>
    <row r="7303" spans="23:23" ht="15">
      <c r="W7303" s="361"/>
    </row>
    <row r="7304" spans="23:23" ht="15">
      <c r="W7304" s="361"/>
    </row>
    <row r="7305" spans="23:23" ht="15">
      <c r="W7305" s="361"/>
    </row>
    <row r="7306" spans="23:23" ht="15">
      <c r="W7306" s="361"/>
    </row>
    <row r="7307" spans="23:23" ht="15">
      <c r="W7307" s="361"/>
    </row>
    <row r="7308" spans="23:23" ht="15">
      <c r="W7308" s="361"/>
    </row>
    <row r="7309" spans="23:23" ht="15">
      <c r="W7309" s="361"/>
    </row>
    <row r="7310" spans="23:23" ht="15">
      <c r="W7310" s="361"/>
    </row>
    <row r="7311" spans="23:23" ht="15">
      <c r="W7311" s="361"/>
    </row>
    <row r="7312" spans="23:23" ht="15">
      <c r="W7312" s="361"/>
    </row>
    <row r="7313" spans="23:23" ht="15">
      <c r="W7313" s="361"/>
    </row>
    <row r="7314" spans="23:23" ht="15">
      <c r="W7314" s="361"/>
    </row>
    <row r="7315" spans="23:23" ht="15">
      <c r="W7315" s="361"/>
    </row>
    <row r="7316" spans="23:23" ht="15">
      <c r="W7316" s="361"/>
    </row>
    <row r="7317" spans="23:23" ht="15">
      <c r="W7317" s="361"/>
    </row>
    <row r="7318" spans="23:23" ht="15">
      <c r="W7318" s="361"/>
    </row>
    <row r="7319" spans="23:23" ht="15">
      <c r="W7319" s="361"/>
    </row>
    <row r="7320" spans="23:23" ht="15">
      <c r="W7320" s="361"/>
    </row>
    <row r="7321" spans="23:23" ht="15">
      <c r="W7321" s="361"/>
    </row>
    <row r="7322" spans="23:23" ht="15">
      <c r="W7322" s="361"/>
    </row>
    <row r="7323" spans="23:23" ht="15">
      <c r="W7323" s="361"/>
    </row>
    <row r="7324" spans="23:23" ht="15">
      <c r="W7324" s="361"/>
    </row>
    <row r="7325" spans="23:23" ht="15">
      <c r="W7325" s="361"/>
    </row>
    <row r="7326" spans="23:23" ht="15">
      <c r="W7326" s="361"/>
    </row>
    <row r="7327" spans="23:23" ht="15">
      <c r="W7327" s="361"/>
    </row>
    <row r="7328" spans="23:23" ht="15">
      <c r="W7328" s="361"/>
    </row>
    <row r="7329" spans="23:23" ht="15">
      <c r="W7329" s="361"/>
    </row>
    <row r="7330" spans="23:23" ht="15">
      <c r="W7330" s="361"/>
    </row>
    <row r="7331" spans="23:23" ht="15">
      <c r="W7331" s="361"/>
    </row>
    <row r="7332" spans="23:23" ht="15">
      <c r="W7332" s="361"/>
    </row>
    <row r="7333" spans="23:23" ht="15">
      <c r="W7333" s="361"/>
    </row>
    <row r="7334" spans="23:23" ht="15">
      <c r="W7334" s="361"/>
    </row>
    <row r="7335" spans="23:23" ht="15">
      <c r="W7335" s="361"/>
    </row>
    <row r="7336" spans="23:23" ht="15">
      <c r="W7336" s="361"/>
    </row>
    <row r="7337" spans="23:23" ht="15">
      <c r="W7337" s="361"/>
    </row>
    <row r="7338" spans="23:23" ht="15">
      <c r="W7338" s="361"/>
    </row>
    <row r="7339" spans="23:23" ht="15">
      <c r="W7339" s="361"/>
    </row>
    <row r="7340" spans="23:23" ht="15">
      <c r="W7340" s="361"/>
    </row>
    <row r="7341" spans="23:23" ht="15">
      <c r="W7341" s="361"/>
    </row>
    <row r="7342" spans="23:23" ht="15">
      <c r="W7342" s="361"/>
    </row>
    <row r="7343" spans="23:23" ht="15">
      <c r="W7343" s="361"/>
    </row>
    <row r="7344" spans="23:23" ht="15">
      <c r="W7344" s="361"/>
    </row>
    <row r="7345" spans="23:23" ht="15">
      <c r="W7345" s="361"/>
    </row>
    <row r="7346" spans="23:23" ht="15">
      <c r="W7346" s="361"/>
    </row>
    <row r="7347" spans="23:23" ht="15">
      <c r="W7347" s="361"/>
    </row>
    <row r="7348" spans="23:23" ht="15">
      <c r="W7348" s="361"/>
    </row>
    <row r="7349" spans="23:23" ht="15">
      <c r="W7349" s="361"/>
    </row>
    <row r="7350" spans="23:23" ht="15">
      <c r="W7350" s="361"/>
    </row>
    <row r="7351" spans="23:23" ht="15">
      <c r="W7351" s="361"/>
    </row>
    <row r="7352" spans="23:23" ht="15">
      <c r="W7352" s="361"/>
    </row>
    <row r="7353" spans="23:23" ht="15">
      <c r="W7353" s="361"/>
    </row>
    <row r="7354" spans="23:23" ht="15">
      <c r="W7354" s="361"/>
    </row>
    <row r="7355" spans="23:23" ht="15">
      <c r="W7355" s="361"/>
    </row>
    <row r="7356" spans="23:23" ht="15">
      <c r="W7356" s="361"/>
    </row>
    <row r="7357" spans="23:23" ht="15">
      <c r="W7357" s="361"/>
    </row>
    <row r="7358" spans="23:23" ht="15">
      <c r="W7358" s="361"/>
    </row>
    <row r="7359" spans="23:23" ht="15">
      <c r="W7359" s="361"/>
    </row>
    <row r="7360" spans="23:23" ht="15">
      <c r="W7360" s="361"/>
    </row>
    <row r="7361" spans="23:23" ht="15">
      <c r="W7361" s="361"/>
    </row>
    <row r="7362" spans="23:23" ht="15">
      <c r="W7362" s="361"/>
    </row>
    <row r="7363" spans="23:23" ht="15">
      <c r="W7363" s="361"/>
    </row>
    <row r="7364" spans="23:23" ht="15">
      <c r="W7364" s="361"/>
    </row>
    <row r="7365" spans="23:23" ht="15">
      <c r="W7365" s="361"/>
    </row>
    <row r="7366" spans="23:23" ht="15">
      <c r="W7366" s="361"/>
    </row>
    <row r="7367" spans="23:23" ht="15">
      <c r="W7367" s="361"/>
    </row>
    <row r="7368" spans="23:23" ht="15">
      <c r="W7368" s="361"/>
    </row>
    <row r="7369" spans="23:23" ht="15">
      <c r="W7369" s="361"/>
    </row>
    <row r="7370" spans="23:23" ht="15">
      <c r="W7370" s="361"/>
    </row>
    <row r="7371" spans="23:23" ht="15">
      <c r="W7371" s="361"/>
    </row>
    <row r="7372" spans="23:23" ht="15">
      <c r="W7372" s="361"/>
    </row>
    <row r="7373" spans="23:23" ht="15">
      <c r="W7373" s="361"/>
    </row>
    <row r="7374" spans="23:23" ht="15">
      <c r="W7374" s="361"/>
    </row>
    <row r="7375" spans="23:23" ht="15">
      <c r="W7375" s="361"/>
    </row>
    <row r="7376" spans="23:23" ht="15">
      <c r="W7376" s="361"/>
    </row>
    <row r="7377" spans="23:23" ht="15">
      <c r="W7377" s="361"/>
    </row>
    <row r="7378" spans="23:23" ht="15">
      <c r="W7378" s="361"/>
    </row>
    <row r="7379" spans="23:23" ht="15">
      <c r="W7379" s="361"/>
    </row>
    <row r="7380" spans="23:23" ht="15">
      <c r="W7380" s="361"/>
    </row>
    <row r="7381" spans="23:23" ht="15">
      <c r="W7381" s="361"/>
    </row>
    <row r="7382" spans="23:23" ht="15">
      <c r="W7382" s="361"/>
    </row>
    <row r="7383" spans="23:23" ht="15">
      <c r="W7383" s="361"/>
    </row>
    <row r="7384" spans="23:23" ht="15">
      <c r="W7384" s="361"/>
    </row>
    <row r="7385" spans="23:23" ht="15">
      <c r="W7385" s="361"/>
    </row>
    <row r="7386" spans="23:23" ht="15">
      <c r="W7386" s="361"/>
    </row>
    <row r="7387" spans="23:23" ht="15">
      <c r="W7387" s="361"/>
    </row>
    <row r="7388" spans="23:23" ht="15">
      <c r="W7388" s="361"/>
    </row>
    <row r="7389" spans="23:23" ht="15">
      <c r="W7389" s="361"/>
    </row>
    <row r="7390" spans="23:23" ht="15">
      <c r="W7390" s="361"/>
    </row>
    <row r="7391" spans="23:23" ht="15">
      <c r="W7391" s="361"/>
    </row>
    <row r="7392" spans="23:23" ht="15">
      <c r="W7392" s="361"/>
    </row>
    <row r="7393" spans="23:23" ht="15">
      <c r="W7393" s="361"/>
    </row>
    <row r="7394" spans="23:23" ht="15">
      <c r="W7394" s="361"/>
    </row>
    <row r="7395" spans="23:23" ht="15">
      <c r="W7395" s="361"/>
    </row>
    <row r="7396" spans="23:23" ht="15">
      <c r="W7396" s="361"/>
    </row>
    <row r="7397" spans="23:23" ht="15">
      <c r="W7397" s="361"/>
    </row>
    <row r="7398" spans="23:23" ht="15">
      <c r="W7398" s="361"/>
    </row>
    <row r="7399" spans="23:23" ht="15">
      <c r="W7399" s="361"/>
    </row>
    <row r="7400" spans="23:23" ht="15">
      <c r="W7400" s="361"/>
    </row>
    <row r="7401" spans="23:23" ht="15">
      <c r="W7401" s="361"/>
    </row>
    <row r="7402" spans="23:23" ht="15">
      <c r="W7402" s="361"/>
    </row>
    <row r="7403" spans="23:23" ht="15">
      <c r="W7403" s="361"/>
    </row>
    <row r="7404" spans="23:23" ht="15">
      <c r="W7404" s="361"/>
    </row>
    <row r="7405" spans="23:23" ht="15">
      <c r="W7405" s="361"/>
    </row>
    <row r="7406" spans="23:23" ht="15">
      <c r="W7406" s="361"/>
    </row>
    <row r="7407" spans="23:23" ht="15">
      <c r="W7407" s="361"/>
    </row>
    <row r="7408" spans="23:23" ht="15">
      <c r="W7408" s="361"/>
    </row>
    <row r="7409" spans="23:23" ht="15">
      <c r="W7409" s="361"/>
    </row>
    <row r="7410" spans="23:23" ht="15">
      <c r="W7410" s="361"/>
    </row>
    <row r="7411" spans="23:23" ht="15">
      <c r="W7411" s="361"/>
    </row>
    <row r="7412" spans="23:23" ht="15">
      <c r="W7412" s="361"/>
    </row>
    <row r="7413" spans="23:23" ht="15">
      <c r="W7413" s="361"/>
    </row>
    <row r="7414" spans="23:23" ht="15">
      <c r="W7414" s="361"/>
    </row>
    <row r="7415" spans="23:23" ht="15">
      <c r="W7415" s="361"/>
    </row>
    <row r="7416" spans="23:23" ht="15">
      <c r="W7416" s="361"/>
    </row>
    <row r="7417" spans="23:23" ht="15">
      <c r="W7417" s="361"/>
    </row>
    <row r="7418" spans="23:23" ht="15">
      <c r="W7418" s="361"/>
    </row>
    <row r="7419" spans="23:23" ht="15">
      <c r="W7419" s="361"/>
    </row>
    <row r="7420" spans="23:23" ht="15">
      <c r="W7420" s="361"/>
    </row>
    <row r="7421" spans="23:23" ht="15">
      <c r="W7421" s="361"/>
    </row>
    <row r="7422" spans="23:23" ht="15">
      <c r="W7422" s="361"/>
    </row>
    <row r="7423" spans="23:23" ht="15">
      <c r="W7423" s="361"/>
    </row>
    <row r="7424" spans="23:23" ht="15">
      <c r="W7424" s="361"/>
    </row>
    <row r="7425" spans="23:23" ht="15">
      <c r="W7425" s="361"/>
    </row>
    <row r="7426" spans="23:23" ht="15">
      <c r="W7426" s="361"/>
    </row>
    <row r="7427" spans="23:23" ht="15">
      <c r="W7427" s="361"/>
    </row>
    <row r="7428" spans="23:23" ht="15">
      <c r="W7428" s="361"/>
    </row>
    <row r="7429" spans="23:23" ht="15">
      <c r="W7429" s="361"/>
    </row>
    <row r="7430" spans="23:23" ht="15">
      <c r="W7430" s="361"/>
    </row>
    <row r="7431" spans="23:23" ht="15">
      <c r="W7431" s="361"/>
    </row>
    <row r="7432" spans="23:23" ht="15">
      <c r="W7432" s="361"/>
    </row>
    <row r="7433" spans="23:23" ht="15">
      <c r="W7433" s="361"/>
    </row>
    <row r="7434" spans="23:23" ht="15">
      <c r="W7434" s="361"/>
    </row>
    <row r="7435" spans="23:23" ht="15">
      <c r="W7435" s="361"/>
    </row>
    <row r="7436" spans="23:23" ht="15">
      <c r="W7436" s="361"/>
    </row>
    <row r="7437" spans="23:23" ht="15">
      <c r="W7437" s="361"/>
    </row>
    <row r="7438" spans="23:23" ht="15">
      <c r="W7438" s="361"/>
    </row>
    <row r="7439" spans="23:23" ht="15">
      <c r="W7439" s="361"/>
    </row>
    <row r="7440" spans="23:23" ht="15">
      <c r="W7440" s="361"/>
    </row>
    <row r="7441" spans="23:23" ht="15">
      <c r="W7441" s="361"/>
    </row>
    <row r="7442" spans="23:23" ht="15">
      <c r="W7442" s="361"/>
    </row>
    <row r="7443" spans="23:23" ht="15">
      <c r="W7443" s="361"/>
    </row>
    <row r="7444" spans="23:23" ht="15">
      <c r="W7444" s="361"/>
    </row>
    <row r="7445" spans="23:23" ht="15">
      <c r="W7445" s="361"/>
    </row>
    <row r="7446" spans="23:23" ht="15">
      <c r="W7446" s="361"/>
    </row>
    <row r="7447" spans="23:23" ht="15">
      <c r="W7447" s="361"/>
    </row>
    <row r="7448" spans="23:23" ht="15">
      <c r="W7448" s="361"/>
    </row>
    <row r="7449" spans="23:23" ht="15">
      <c r="W7449" s="361"/>
    </row>
    <row r="7450" spans="23:23" ht="15">
      <c r="W7450" s="361"/>
    </row>
    <row r="7451" spans="23:23" ht="15">
      <c r="W7451" s="361"/>
    </row>
    <row r="7452" spans="23:23" ht="15">
      <c r="W7452" s="361"/>
    </row>
    <row r="7453" spans="23:23" ht="15">
      <c r="W7453" s="361"/>
    </row>
    <row r="7454" spans="23:23" ht="15">
      <c r="W7454" s="361"/>
    </row>
    <row r="7455" spans="23:23" ht="15">
      <c r="W7455" s="361"/>
    </row>
    <row r="7456" spans="23:23" ht="15">
      <c r="W7456" s="361"/>
    </row>
    <row r="7457" spans="23:23" ht="15">
      <c r="W7457" s="361"/>
    </row>
    <row r="7458" spans="23:23" ht="15">
      <c r="W7458" s="361"/>
    </row>
    <row r="7459" spans="23:23" ht="15">
      <c r="W7459" s="361"/>
    </row>
    <row r="7460" spans="23:23" ht="15">
      <c r="W7460" s="361"/>
    </row>
    <row r="7461" spans="23:23" ht="15">
      <c r="W7461" s="361"/>
    </row>
    <row r="7462" spans="23:23" ht="15">
      <c r="W7462" s="361"/>
    </row>
    <row r="7463" spans="23:23" ht="15">
      <c r="W7463" s="361"/>
    </row>
    <row r="7464" spans="23:23" ht="15">
      <c r="W7464" s="361"/>
    </row>
    <row r="7465" spans="23:23" ht="15">
      <c r="W7465" s="361"/>
    </row>
    <row r="7466" spans="23:23" ht="15">
      <c r="W7466" s="361"/>
    </row>
    <row r="7467" spans="23:23" ht="15">
      <c r="W7467" s="361"/>
    </row>
    <row r="7468" spans="23:23" ht="15">
      <c r="W7468" s="361"/>
    </row>
    <row r="7469" spans="23:23" ht="15">
      <c r="W7469" s="361"/>
    </row>
    <row r="7470" spans="23:23" ht="15">
      <c r="W7470" s="361"/>
    </row>
    <row r="7471" spans="23:23" ht="15">
      <c r="W7471" s="361"/>
    </row>
    <row r="7472" spans="23:23" ht="15">
      <c r="W7472" s="361"/>
    </row>
    <row r="7473" spans="23:23" ht="15">
      <c r="W7473" s="361"/>
    </row>
    <row r="7474" spans="23:23" ht="15">
      <c r="W7474" s="361"/>
    </row>
    <row r="7475" spans="23:23" ht="15">
      <c r="W7475" s="361"/>
    </row>
    <row r="7476" spans="23:23" ht="15">
      <c r="W7476" s="361"/>
    </row>
    <row r="7477" spans="23:23" ht="15">
      <c r="W7477" s="361"/>
    </row>
    <row r="7478" spans="23:23" ht="15">
      <c r="W7478" s="361"/>
    </row>
    <row r="7479" spans="23:23" ht="15">
      <c r="W7479" s="361"/>
    </row>
    <row r="7480" spans="23:23" ht="15">
      <c r="W7480" s="361"/>
    </row>
    <row r="7481" spans="23:23" ht="15">
      <c r="W7481" s="361"/>
    </row>
    <row r="7482" spans="23:23" ht="15">
      <c r="W7482" s="361"/>
    </row>
    <row r="7483" spans="23:23" ht="15">
      <c r="W7483" s="361"/>
    </row>
    <row r="7484" spans="23:23" ht="15">
      <c r="W7484" s="361"/>
    </row>
    <row r="7485" spans="23:23" ht="15">
      <c r="W7485" s="361"/>
    </row>
    <row r="7486" spans="23:23" ht="15">
      <c r="W7486" s="361"/>
    </row>
    <row r="7487" spans="23:23" ht="15">
      <c r="W7487" s="361"/>
    </row>
    <row r="7488" spans="23:23" ht="15">
      <c r="W7488" s="361"/>
    </row>
    <row r="7489" spans="23:23" ht="15">
      <c r="W7489" s="361"/>
    </row>
    <row r="7490" spans="23:23" ht="15">
      <c r="W7490" s="361"/>
    </row>
    <row r="7491" spans="23:23" ht="15">
      <c r="W7491" s="361"/>
    </row>
    <row r="7492" spans="23:23" ht="15">
      <c r="W7492" s="361"/>
    </row>
    <row r="7493" spans="23:23" ht="15">
      <c r="W7493" s="361"/>
    </row>
    <row r="7494" spans="23:23" ht="15">
      <c r="W7494" s="361"/>
    </row>
    <row r="7495" spans="23:23" ht="15">
      <c r="W7495" s="361"/>
    </row>
    <row r="7496" spans="23:23" ht="15">
      <c r="W7496" s="361"/>
    </row>
    <row r="7497" spans="23:23" ht="15">
      <c r="W7497" s="361"/>
    </row>
    <row r="7498" spans="23:23" ht="15">
      <c r="W7498" s="361"/>
    </row>
    <row r="7499" spans="23:23" ht="15">
      <c r="W7499" s="361"/>
    </row>
    <row r="7500" spans="23:23" ht="15">
      <c r="W7500" s="361"/>
    </row>
    <row r="7501" spans="23:23" ht="15">
      <c r="W7501" s="361"/>
    </row>
    <row r="7502" spans="23:23" ht="15">
      <c r="W7502" s="361"/>
    </row>
    <row r="7503" spans="23:23" ht="15">
      <c r="W7503" s="361"/>
    </row>
    <row r="7504" spans="23:23" ht="15">
      <c r="W7504" s="361"/>
    </row>
    <row r="7505" spans="23:23" ht="15">
      <c r="W7505" s="361"/>
    </row>
    <row r="7506" spans="23:23" ht="15">
      <c r="W7506" s="361"/>
    </row>
    <row r="7507" spans="23:23" ht="15">
      <c r="W7507" s="361"/>
    </row>
    <row r="7508" spans="23:23" ht="15">
      <c r="W7508" s="361"/>
    </row>
    <row r="7509" spans="23:23" ht="15">
      <c r="W7509" s="361"/>
    </row>
    <row r="7510" spans="23:23" ht="15">
      <c r="W7510" s="361"/>
    </row>
    <row r="7511" spans="23:23" ht="15">
      <c r="W7511" s="361"/>
    </row>
    <row r="7512" spans="23:23" ht="15">
      <c r="W7512" s="361"/>
    </row>
    <row r="7513" spans="23:23" ht="15">
      <c r="W7513" s="361"/>
    </row>
    <row r="7514" spans="23:23" ht="15">
      <c r="W7514" s="361"/>
    </row>
    <row r="7515" spans="23:23" ht="15">
      <c r="W7515" s="361"/>
    </row>
    <row r="7516" spans="23:23" ht="15">
      <c r="W7516" s="361"/>
    </row>
    <row r="7517" spans="23:23" ht="15">
      <c r="W7517" s="361"/>
    </row>
    <row r="7518" spans="23:23" ht="15">
      <c r="W7518" s="361"/>
    </row>
    <row r="7519" spans="23:23" ht="15">
      <c r="W7519" s="361"/>
    </row>
    <row r="7520" spans="23:23" ht="15">
      <c r="W7520" s="361"/>
    </row>
    <row r="7521" spans="23:23" ht="15">
      <c r="W7521" s="361"/>
    </row>
    <row r="7522" spans="23:23" ht="15">
      <c r="W7522" s="361"/>
    </row>
    <row r="7523" spans="23:23" ht="15">
      <c r="W7523" s="361"/>
    </row>
    <row r="7524" spans="23:23" ht="15">
      <c r="W7524" s="361"/>
    </row>
    <row r="7525" spans="23:23" ht="15">
      <c r="W7525" s="361"/>
    </row>
    <row r="7526" spans="23:23" ht="15">
      <c r="W7526" s="361"/>
    </row>
    <row r="7527" spans="23:23" ht="15">
      <c r="W7527" s="361"/>
    </row>
    <row r="7528" spans="23:23" ht="15">
      <c r="W7528" s="361"/>
    </row>
    <row r="7529" spans="23:23" ht="15">
      <c r="W7529" s="361"/>
    </row>
    <row r="7530" spans="23:23" ht="15">
      <c r="W7530" s="361"/>
    </row>
    <row r="7531" spans="23:23" ht="15">
      <c r="W7531" s="361"/>
    </row>
    <row r="7532" spans="23:23" ht="15">
      <c r="W7532" s="361"/>
    </row>
    <row r="7533" spans="23:23" ht="15">
      <c r="W7533" s="361"/>
    </row>
    <row r="7534" spans="23:23" ht="15">
      <c r="W7534" s="361"/>
    </row>
    <row r="7535" spans="23:23" ht="15">
      <c r="W7535" s="361"/>
    </row>
    <row r="7536" spans="23:23" ht="15">
      <c r="W7536" s="361"/>
    </row>
    <row r="7537" spans="23:23" ht="15">
      <c r="W7537" s="361"/>
    </row>
    <row r="7538" spans="23:23" ht="15">
      <c r="W7538" s="361"/>
    </row>
    <row r="7539" spans="23:23" ht="15">
      <c r="W7539" s="361"/>
    </row>
    <row r="7540" spans="23:23" ht="15">
      <c r="W7540" s="361"/>
    </row>
    <row r="7541" spans="23:23" ht="15">
      <c r="W7541" s="361"/>
    </row>
    <row r="7542" spans="23:23" ht="15">
      <c r="W7542" s="361"/>
    </row>
    <row r="7543" spans="23:23" ht="15">
      <c r="W7543" s="361"/>
    </row>
    <row r="7544" spans="23:23" ht="15">
      <c r="W7544" s="361"/>
    </row>
    <row r="7545" spans="23:23" ht="15">
      <c r="W7545" s="361"/>
    </row>
    <row r="7546" spans="23:23" ht="15">
      <c r="W7546" s="361"/>
    </row>
    <row r="7547" spans="23:23" ht="15">
      <c r="W7547" s="361"/>
    </row>
    <row r="7548" spans="23:23" ht="15">
      <c r="W7548" s="361"/>
    </row>
    <row r="7549" spans="23:23" ht="15">
      <c r="W7549" s="361"/>
    </row>
    <row r="7550" spans="23:23" ht="15">
      <c r="W7550" s="361"/>
    </row>
    <row r="7551" spans="23:23" ht="15">
      <c r="W7551" s="361"/>
    </row>
    <row r="7552" spans="23:23" ht="15">
      <c r="W7552" s="361"/>
    </row>
    <row r="7553" spans="23:23" ht="15">
      <c r="W7553" s="361"/>
    </row>
    <row r="7554" spans="23:23" ht="15">
      <c r="W7554" s="361"/>
    </row>
    <row r="7555" spans="23:23" ht="15">
      <c r="W7555" s="361"/>
    </row>
    <row r="7556" spans="23:23" ht="15">
      <c r="W7556" s="361"/>
    </row>
    <row r="7557" spans="23:23" ht="15">
      <c r="W7557" s="361"/>
    </row>
    <row r="7558" spans="23:23" ht="15">
      <c r="W7558" s="361"/>
    </row>
    <row r="7559" spans="23:23" ht="15">
      <c r="W7559" s="361"/>
    </row>
    <row r="7560" spans="23:23" ht="15">
      <c r="W7560" s="361"/>
    </row>
    <row r="7561" spans="23:23" ht="15">
      <c r="W7561" s="361"/>
    </row>
    <row r="7562" spans="23:23" ht="15">
      <c r="W7562" s="361"/>
    </row>
    <row r="7563" spans="23:23" ht="15">
      <c r="W7563" s="361"/>
    </row>
    <row r="7564" spans="23:23" ht="15">
      <c r="W7564" s="361"/>
    </row>
    <row r="7565" spans="23:23" ht="15">
      <c r="W7565" s="361"/>
    </row>
    <row r="7566" spans="23:23" ht="15">
      <c r="W7566" s="361"/>
    </row>
    <row r="7567" spans="23:23" ht="15">
      <c r="W7567" s="361"/>
    </row>
    <row r="7568" spans="23:23" ht="15">
      <c r="W7568" s="361"/>
    </row>
    <row r="7569" spans="23:23" ht="15">
      <c r="W7569" s="361"/>
    </row>
    <row r="7570" spans="23:23" ht="15">
      <c r="W7570" s="361"/>
    </row>
    <row r="7571" spans="23:23" ht="15">
      <c r="W7571" s="361"/>
    </row>
    <row r="7572" spans="23:23" ht="15">
      <c r="W7572" s="361"/>
    </row>
    <row r="7573" spans="23:23" ht="15">
      <c r="W7573" s="361"/>
    </row>
    <row r="7574" spans="23:23" ht="15">
      <c r="W7574" s="361"/>
    </row>
    <row r="7575" spans="23:23" ht="15">
      <c r="W7575" s="361"/>
    </row>
    <row r="7576" spans="23:23" ht="15">
      <c r="W7576" s="361"/>
    </row>
    <row r="7577" spans="23:23" ht="15">
      <c r="W7577" s="361"/>
    </row>
    <row r="7578" spans="23:23" ht="15">
      <c r="W7578" s="361"/>
    </row>
    <row r="7579" spans="23:23" ht="15">
      <c r="W7579" s="361"/>
    </row>
    <row r="7580" spans="23:23" ht="15">
      <c r="W7580" s="361"/>
    </row>
    <row r="7581" spans="23:23" ht="15">
      <c r="W7581" s="361"/>
    </row>
    <row r="7582" spans="23:23" ht="15">
      <c r="W7582" s="361"/>
    </row>
    <row r="7583" spans="23:23" ht="15">
      <c r="W7583" s="361"/>
    </row>
    <row r="7584" spans="23:23" ht="15">
      <c r="W7584" s="361"/>
    </row>
    <row r="7585" spans="23:23" ht="15">
      <c r="W7585" s="361"/>
    </row>
    <row r="7586" spans="23:23" ht="15">
      <c r="W7586" s="361"/>
    </row>
    <row r="7587" spans="23:23" ht="15">
      <c r="W7587" s="361"/>
    </row>
    <row r="7588" spans="23:23" ht="15">
      <c r="W7588" s="361"/>
    </row>
    <row r="7589" spans="23:23" ht="15">
      <c r="W7589" s="361"/>
    </row>
    <row r="7590" spans="23:23" ht="15">
      <c r="W7590" s="361"/>
    </row>
    <row r="7591" spans="23:23" ht="15">
      <c r="W7591" s="361"/>
    </row>
    <row r="7592" spans="23:23" ht="15">
      <c r="W7592" s="361"/>
    </row>
    <row r="7593" spans="23:23" ht="15">
      <c r="W7593" s="361"/>
    </row>
    <row r="7594" spans="23:23" ht="15">
      <c r="W7594" s="361"/>
    </row>
    <row r="7595" spans="23:23" ht="15">
      <c r="W7595" s="361"/>
    </row>
    <row r="7596" spans="23:23" ht="15">
      <c r="W7596" s="361"/>
    </row>
    <row r="7597" spans="23:23" ht="15">
      <c r="W7597" s="361"/>
    </row>
    <row r="7598" spans="23:23" ht="15">
      <c r="W7598" s="361"/>
    </row>
    <row r="7599" spans="23:23" ht="15">
      <c r="W7599" s="361"/>
    </row>
    <row r="7600" spans="23:23" ht="15">
      <c r="W7600" s="361"/>
    </row>
    <row r="7601" spans="23:23" ht="15">
      <c r="W7601" s="361"/>
    </row>
    <row r="7602" spans="23:23" ht="15">
      <c r="W7602" s="361"/>
    </row>
    <row r="7603" spans="23:23" ht="15">
      <c r="W7603" s="361"/>
    </row>
    <row r="7604" spans="23:23" ht="15">
      <c r="W7604" s="361"/>
    </row>
    <row r="7605" spans="23:23" ht="15">
      <c r="W7605" s="361"/>
    </row>
    <row r="7606" spans="23:23" ht="15">
      <c r="W7606" s="361"/>
    </row>
    <row r="7607" spans="23:23" ht="15">
      <c r="W7607" s="361"/>
    </row>
    <row r="7608" spans="23:23" ht="15">
      <c r="W7608" s="361"/>
    </row>
    <row r="7609" spans="23:23" ht="15">
      <c r="W7609" s="361"/>
    </row>
    <row r="7610" spans="23:23" ht="15">
      <c r="W7610" s="361"/>
    </row>
    <row r="7611" spans="23:23" ht="15">
      <c r="W7611" s="361"/>
    </row>
    <row r="7612" spans="23:23" ht="15">
      <c r="W7612" s="361"/>
    </row>
    <row r="7613" spans="23:23" ht="15">
      <c r="W7613" s="361"/>
    </row>
    <row r="7614" spans="23:23" ht="15">
      <c r="W7614" s="361"/>
    </row>
    <row r="7615" spans="23:23" ht="15">
      <c r="W7615" s="361"/>
    </row>
    <row r="7616" spans="23:23" ht="15">
      <c r="W7616" s="361"/>
    </row>
    <row r="7617" spans="23:23" ht="15">
      <c r="W7617" s="361"/>
    </row>
    <row r="7618" spans="23:23" ht="15">
      <c r="W7618" s="361"/>
    </row>
    <row r="7619" spans="23:23" ht="15">
      <c r="W7619" s="361"/>
    </row>
    <row r="7620" spans="23:23" ht="15">
      <c r="W7620" s="361"/>
    </row>
    <row r="7621" spans="23:23" ht="15">
      <c r="W7621" s="361"/>
    </row>
    <row r="7622" spans="23:23" ht="15">
      <c r="W7622" s="361"/>
    </row>
    <row r="7623" spans="23:23" ht="15">
      <c r="W7623" s="361"/>
    </row>
    <row r="7624" spans="23:23" ht="15">
      <c r="W7624" s="361"/>
    </row>
    <row r="7625" spans="23:23" ht="15">
      <c r="W7625" s="361"/>
    </row>
    <row r="7626" spans="23:23" ht="15">
      <c r="W7626" s="361"/>
    </row>
    <row r="7627" spans="23:23" ht="15">
      <c r="W7627" s="361"/>
    </row>
    <row r="7628" spans="23:23" ht="15">
      <c r="W7628" s="361"/>
    </row>
    <row r="7629" spans="23:23" ht="15">
      <c r="W7629" s="361"/>
    </row>
    <row r="7630" spans="23:23" ht="15">
      <c r="W7630" s="361"/>
    </row>
    <row r="7631" spans="23:23" ht="15">
      <c r="W7631" s="361"/>
    </row>
    <row r="7632" spans="23:23" ht="15">
      <c r="W7632" s="361"/>
    </row>
    <row r="7633" spans="23:23" ht="15">
      <c r="W7633" s="361"/>
    </row>
    <row r="7634" spans="23:23" ht="15">
      <c r="W7634" s="361"/>
    </row>
    <row r="7635" spans="23:23" ht="15">
      <c r="W7635" s="361"/>
    </row>
    <row r="7636" spans="23:23" ht="15">
      <c r="W7636" s="361"/>
    </row>
    <row r="7637" spans="23:23" ht="15">
      <c r="W7637" s="361"/>
    </row>
    <row r="7638" spans="23:23" ht="15">
      <c r="W7638" s="361"/>
    </row>
    <row r="7639" spans="23:23" ht="15">
      <c r="W7639" s="361"/>
    </row>
    <row r="7640" spans="23:23" ht="15">
      <c r="W7640" s="361"/>
    </row>
    <row r="7641" spans="23:23" ht="15">
      <c r="W7641" s="361"/>
    </row>
    <row r="7642" spans="23:23" ht="15">
      <c r="W7642" s="361"/>
    </row>
    <row r="7643" spans="23:23" ht="15">
      <c r="W7643" s="361"/>
    </row>
    <row r="7644" spans="23:23" ht="15">
      <c r="W7644" s="361"/>
    </row>
    <row r="7645" spans="23:23" ht="15">
      <c r="W7645" s="361"/>
    </row>
    <row r="7646" spans="23:23" ht="15">
      <c r="W7646" s="361"/>
    </row>
    <row r="7647" spans="23:23" ht="15">
      <c r="W7647" s="361"/>
    </row>
    <row r="7648" spans="23:23" ht="15">
      <c r="W7648" s="361"/>
    </row>
    <row r="7649" spans="23:23" ht="15">
      <c r="W7649" s="361"/>
    </row>
    <row r="7650" spans="23:23" ht="15">
      <c r="W7650" s="361"/>
    </row>
    <row r="7651" spans="23:23" ht="15">
      <c r="W7651" s="361"/>
    </row>
    <row r="7652" spans="23:23" ht="15">
      <c r="W7652" s="361"/>
    </row>
    <row r="7653" spans="23:23" ht="15">
      <c r="W7653" s="361"/>
    </row>
    <row r="7654" spans="23:23" ht="15">
      <c r="W7654" s="361"/>
    </row>
    <row r="7655" spans="23:23" ht="15">
      <c r="W7655" s="361"/>
    </row>
    <row r="7656" spans="23:23" ht="15">
      <c r="W7656" s="361"/>
    </row>
    <row r="7657" spans="23:23" ht="15">
      <c r="W7657" s="361"/>
    </row>
    <row r="7658" spans="23:23" ht="15">
      <c r="W7658" s="361"/>
    </row>
    <row r="7659" spans="23:23" ht="15">
      <c r="W7659" s="361"/>
    </row>
    <row r="7660" spans="23:23" ht="15">
      <c r="W7660" s="361"/>
    </row>
    <row r="7661" spans="23:23" ht="15">
      <c r="W7661" s="361"/>
    </row>
    <row r="7662" spans="23:23" ht="15">
      <c r="W7662" s="361"/>
    </row>
    <row r="7663" spans="23:23" ht="15">
      <c r="W7663" s="361"/>
    </row>
    <row r="7664" spans="23:23" ht="15">
      <c r="W7664" s="361"/>
    </row>
    <row r="7665" spans="23:23" ht="15">
      <c r="W7665" s="361"/>
    </row>
    <row r="7666" spans="23:23" ht="15">
      <c r="W7666" s="361"/>
    </row>
    <row r="7667" spans="23:23" ht="15">
      <c r="W7667" s="361"/>
    </row>
    <row r="7668" spans="23:23" ht="15">
      <c r="W7668" s="361"/>
    </row>
    <row r="7669" spans="23:23" ht="15">
      <c r="W7669" s="361"/>
    </row>
    <row r="7670" spans="23:23" ht="15">
      <c r="W7670" s="361"/>
    </row>
    <row r="7671" spans="23:23" ht="15">
      <c r="W7671" s="361"/>
    </row>
    <row r="7672" spans="23:23" ht="15">
      <c r="W7672" s="361"/>
    </row>
    <row r="7673" spans="23:23" ht="15">
      <c r="W7673" s="361"/>
    </row>
    <row r="7674" spans="23:23" ht="15">
      <c r="W7674" s="361"/>
    </row>
    <row r="7675" spans="23:23" ht="15">
      <c r="W7675" s="361"/>
    </row>
    <row r="7676" spans="23:23" ht="15">
      <c r="W7676" s="361"/>
    </row>
    <row r="7677" spans="23:23" ht="15">
      <c r="W7677" s="361"/>
    </row>
    <row r="7678" spans="23:23" ht="15">
      <c r="W7678" s="361"/>
    </row>
    <row r="7679" spans="23:23" ht="15">
      <c r="W7679" s="361"/>
    </row>
    <row r="7680" spans="23:23" ht="15">
      <c r="W7680" s="361"/>
    </row>
    <row r="7681" spans="23:23" ht="15">
      <c r="W7681" s="361"/>
    </row>
    <row r="7682" spans="23:23" ht="15">
      <c r="W7682" s="361"/>
    </row>
    <row r="7683" spans="23:23" ht="15">
      <c r="W7683" s="361"/>
    </row>
    <row r="7684" spans="23:23" ht="15">
      <c r="W7684" s="361"/>
    </row>
    <row r="7685" spans="23:23" ht="15">
      <c r="W7685" s="361"/>
    </row>
    <row r="7686" spans="23:23" ht="15">
      <c r="W7686" s="361"/>
    </row>
    <row r="7687" spans="23:23" ht="15">
      <c r="W7687" s="361"/>
    </row>
    <row r="7688" spans="23:23" ht="15">
      <c r="W7688" s="361"/>
    </row>
    <row r="7689" spans="23:23" ht="15">
      <c r="W7689" s="361"/>
    </row>
    <row r="7690" spans="23:23" ht="15">
      <c r="W7690" s="361"/>
    </row>
    <row r="7691" spans="23:23" ht="15">
      <c r="W7691" s="361"/>
    </row>
    <row r="7692" spans="23:23" ht="15">
      <c r="W7692" s="361"/>
    </row>
    <row r="7693" spans="23:23" ht="15">
      <c r="W7693" s="361"/>
    </row>
    <row r="7694" spans="23:23" ht="15">
      <c r="W7694" s="361"/>
    </row>
    <row r="7695" spans="23:23" ht="15">
      <c r="W7695" s="361"/>
    </row>
    <row r="7696" spans="23:23" ht="15">
      <c r="W7696" s="361"/>
    </row>
    <row r="7697" spans="23:23" ht="15">
      <c r="W7697" s="361"/>
    </row>
    <row r="7698" spans="23:23" ht="15">
      <c r="W7698" s="361"/>
    </row>
    <row r="7699" spans="23:23" ht="15">
      <c r="W7699" s="361"/>
    </row>
    <row r="7700" spans="23:23" ht="15">
      <c r="W7700" s="361"/>
    </row>
    <row r="7701" spans="23:23" ht="15">
      <c r="W7701" s="361"/>
    </row>
    <row r="7702" spans="23:23" ht="15">
      <c r="W7702" s="361"/>
    </row>
    <row r="7703" spans="23:23" ht="15">
      <c r="W7703" s="361"/>
    </row>
    <row r="7704" spans="23:23" ht="15">
      <c r="W7704" s="361"/>
    </row>
    <row r="7705" spans="23:23" ht="15">
      <c r="W7705" s="361"/>
    </row>
    <row r="7706" spans="23:23" ht="15">
      <c r="W7706" s="361"/>
    </row>
    <row r="7707" spans="23:23" ht="15">
      <c r="W7707" s="361"/>
    </row>
    <row r="7708" spans="23:23" ht="15">
      <c r="W7708" s="361"/>
    </row>
    <row r="7709" spans="23:23" ht="15">
      <c r="W7709" s="361"/>
    </row>
    <row r="7710" spans="23:23" ht="15">
      <c r="W7710" s="361"/>
    </row>
    <row r="7711" spans="23:23" ht="15">
      <c r="W7711" s="361"/>
    </row>
    <row r="7712" spans="23:23" ht="15">
      <c r="W7712" s="361"/>
    </row>
    <row r="7713" spans="23:23" ht="15">
      <c r="W7713" s="361"/>
    </row>
    <row r="7714" spans="23:23" ht="15">
      <c r="W7714" s="361"/>
    </row>
    <row r="7715" spans="23:23" ht="15">
      <c r="W7715" s="361"/>
    </row>
    <row r="7716" spans="23:23" ht="15">
      <c r="W7716" s="361"/>
    </row>
    <row r="7717" spans="23:23" ht="15">
      <c r="W7717" s="361"/>
    </row>
    <row r="7718" spans="23:23" ht="15">
      <c r="W7718" s="361"/>
    </row>
    <row r="7719" spans="23:23" ht="15">
      <c r="W7719" s="361"/>
    </row>
    <row r="7720" spans="23:23" ht="15">
      <c r="W7720" s="361"/>
    </row>
    <row r="7721" spans="23:23" ht="15">
      <c r="W7721" s="361"/>
    </row>
    <row r="7722" spans="23:23" ht="15">
      <c r="W7722" s="361"/>
    </row>
    <row r="7723" spans="23:23" ht="15">
      <c r="W7723" s="361"/>
    </row>
    <row r="7724" spans="23:23" ht="15">
      <c r="W7724" s="361"/>
    </row>
    <row r="7725" spans="23:23" ht="15">
      <c r="W7725" s="361"/>
    </row>
    <row r="7726" spans="23:23" ht="15">
      <c r="W7726" s="361"/>
    </row>
    <row r="7727" spans="23:23" ht="15">
      <c r="W7727" s="361"/>
    </row>
    <row r="7728" spans="23:23" ht="15">
      <c r="W7728" s="361"/>
    </row>
    <row r="7729" spans="23:23" ht="15">
      <c r="W7729" s="361"/>
    </row>
    <row r="7730" spans="23:23" ht="15">
      <c r="W7730" s="361"/>
    </row>
    <row r="7731" spans="23:23" ht="15">
      <c r="W7731" s="361"/>
    </row>
    <row r="7732" spans="23:23" ht="15">
      <c r="W7732" s="361"/>
    </row>
    <row r="7733" spans="23:23" ht="15">
      <c r="W7733" s="361"/>
    </row>
    <row r="7734" spans="23:23" ht="15">
      <c r="W7734" s="361"/>
    </row>
    <row r="7735" spans="23:23" ht="15">
      <c r="W7735" s="361"/>
    </row>
    <row r="7736" spans="23:23" ht="15">
      <c r="W7736" s="361"/>
    </row>
    <row r="7737" spans="23:23" ht="15">
      <c r="W7737" s="361"/>
    </row>
    <row r="7738" spans="23:23" ht="15">
      <c r="W7738" s="361"/>
    </row>
    <row r="7739" spans="23:23" ht="15">
      <c r="W7739" s="361"/>
    </row>
    <row r="7740" spans="23:23" ht="15">
      <c r="W7740" s="361"/>
    </row>
    <row r="7741" spans="23:23" ht="15">
      <c r="W7741" s="361"/>
    </row>
    <row r="7742" spans="23:23" ht="15">
      <c r="W7742" s="361"/>
    </row>
    <row r="7743" spans="23:23" ht="15">
      <c r="W7743" s="361"/>
    </row>
    <row r="7744" spans="23:23" ht="15">
      <c r="W7744" s="361"/>
    </row>
    <row r="7745" spans="23:23" ht="15">
      <c r="W7745" s="361"/>
    </row>
    <row r="7746" spans="23:23" ht="15">
      <c r="W7746" s="361"/>
    </row>
    <row r="7747" spans="23:23" ht="15">
      <c r="W7747" s="361"/>
    </row>
    <row r="7748" spans="23:23" ht="15">
      <c r="W7748" s="361"/>
    </row>
    <row r="7749" spans="23:23" ht="15">
      <c r="W7749" s="361"/>
    </row>
    <row r="7750" spans="23:23" ht="15">
      <c r="W7750" s="361"/>
    </row>
    <row r="7751" spans="23:23" ht="15">
      <c r="W7751" s="361"/>
    </row>
    <row r="7752" spans="23:23" ht="15">
      <c r="W7752" s="361"/>
    </row>
    <row r="7753" spans="23:23" ht="15">
      <c r="W7753" s="361"/>
    </row>
    <row r="7754" spans="23:23" ht="15">
      <c r="W7754" s="361"/>
    </row>
    <row r="7755" spans="23:23" ht="15">
      <c r="W7755" s="361"/>
    </row>
    <row r="7756" spans="23:23" ht="15">
      <c r="W7756" s="361"/>
    </row>
    <row r="7757" spans="23:23" ht="15">
      <c r="W7757" s="361"/>
    </row>
    <row r="7758" spans="23:23" ht="15">
      <c r="W7758" s="361"/>
    </row>
    <row r="7759" spans="23:23" ht="15">
      <c r="W7759" s="361"/>
    </row>
    <row r="7760" spans="23:23" ht="15">
      <c r="W7760" s="361"/>
    </row>
    <row r="7761" spans="23:23" ht="15">
      <c r="W7761" s="361"/>
    </row>
    <row r="7762" spans="23:23" ht="15">
      <c r="W7762" s="361"/>
    </row>
    <row r="7763" spans="23:23" ht="15">
      <c r="W7763" s="361"/>
    </row>
    <row r="7764" spans="23:23" ht="15">
      <c r="W7764" s="361"/>
    </row>
    <row r="7765" spans="23:23" ht="15">
      <c r="W7765" s="361"/>
    </row>
    <row r="7766" spans="23:23" ht="15">
      <c r="W7766" s="361"/>
    </row>
    <row r="7767" spans="23:23" ht="15">
      <c r="W7767" s="361"/>
    </row>
    <row r="7768" spans="23:23" ht="15">
      <c r="W7768" s="361"/>
    </row>
    <row r="7769" spans="23:23" ht="15">
      <c r="W7769" s="361"/>
    </row>
    <row r="7770" spans="23:23" ht="15">
      <c r="W7770" s="361"/>
    </row>
    <row r="7771" spans="23:23" ht="15">
      <c r="W7771" s="361"/>
    </row>
    <row r="7772" spans="23:23" ht="15">
      <c r="W7772" s="361"/>
    </row>
    <row r="7773" spans="23:23" ht="15">
      <c r="W7773" s="361"/>
    </row>
    <row r="7774" spans="23:23" ht="15">
      <c r="W7774" s="361"/>
    </row>
    <row r="7775" spans="23:23" ht="15">
      <c r="W7775" s="361"/>
    </row>
    <row r="7776" spans="23:23" ht="15">
      <c r="W7776" s="361"/>
    </row>
    <row r="7777" spans="23:23" ht="15">
      <c r="W7777" s="361"/>
    </row>
    <row r="7778" spans="23:23" ht="15">
      <c r="W7778" s="361"/>
    </row>
    <row r="7779" spans="23:23" ht="15">
      <c r="W7779" s="361"/>
    </row>
    <row r="7780" spans="23:23" ht="15">
      <c r="W7780" s="361"/>
    </row>
    <row r="7781" spans="23:23" ht="15">
      <c r="W7781" s="361"/>
    </row>
    <row r="7782" spans="23:23" ht="15">
      <c r="W7782" s="361"/>
    </row>
    <row r="7783" spans="23:23" ht="15">
      <c r="W7783" s="361"/>
    </row>
    <row r="7784" spans="23:23" ht="15">
      <c r="W7784" s="361"/>
    </row>
    <row r="7785" spans="23:23" ht="15">
      <c r="W7785" s="361"/>
    </row>
    <row r="7786" spans="23:23" ht="15">
      <c r="W7786" s="361"/>
    </row>
    <row r="7787" spans="23:23" ht="15">
      <c r="W7787" s="361"/>
    </row>
    <row r="7788" spans="23:23" ht="15">
      <c r="W7788" s="361"/>
    </row>
    <row r="7789" spans="23:23" ht="15">
      <c r="W7789" s="361"/>
    </row>
    <row r="7790" spans="23:23" ht="15">
      <c r="W7790" s="361"/>
    </row>
    <row r="7791" spans="23:23" ht="15">
      <c r="W7791" s="361"/>
    </row>
    <row r="7792" spans="23:23" ht="15">
      <c r="W7792" s="361"/>
    </row>
    <row r="7793" spans="23:23" ht="15">
      <c r="W7793" s="361"/>
    </row>
    <row r="7794" spans="23:23" ht="15">
      <c r="W7794" s="361"/>
    </row>
    <row r="7795" spans="23:23" ht="15">
      <c r="W7795" s="361"/>
    </row>
    <row r="7796" spans="23:23" ht="15">
      <c r="W7796" s="361"/>
    </row>
    <row r="7797" spans="23:23" ht="15">
      <c r="W7797" s="361"/>
    </row>
    <row r="7798" spans="23:23" ht="15">
      <c r="W7798" s="361"/>
    </row>
    <row r="7799" spans="23:23" ht="15">
      <c r="W7799" s="361"/>
    </row>
    <row r="7800" spans="23:23" ht="15">
      <c r="W7800" s="361"/>
    </row>
    <row r="7801" spans="23:23" ht="15">
      <c r="W7801" s="361"/>
    </row>
    <row r="7802" spans="23:23" ht="15">
      <c r="W7802" s="361"/>
    </row>
    <row r="7803" spans="23:23" ht="15">
      <c r="W7803" s="361"/>
    </row>
    <row r="7804" spans="23:23" ht="15">
      <c r="W7804" s="361"/>
    </row>
    <row r="7805" spans="23:23" ht="15">
      <c r="W7805" s="361"/>
    </row>
    <row r="7806" spans="23:23" ht="15">
      <c r="W7806" s="361"/>
    </row>
    <row r="7807" spans="23:23" ht="15">
      <c r="W7807" s="361"/>
    </row>
    <row r="7808" spans="23:23" ht="15">
      <c r="W7808" s="361"/>
    </row>
    <row r="7809" spans="23:23" ht="15">
      <c r="W7809" s="361"/>
    </row>
    <row r="7810" spans="23:23" ht="15">
      <c r="W7810" s="361"/>
    </row>
    <row r="7811" spans="23:23" ht="15">
      <c r="W7811" s="361"/>
    </row>
    <row r="7812" spans="23:23" ht="15">
      <c r="W7812" s="361"/>
    </row>
    <row r="7813" spans="23:23" ht="15">
      <c r="W7813" s="361"/>
    </row>
    <row r="7814" spans="23:23" ht="15">
      <c r="W7814" s="361"/>
    </row>
    <row r="7815" spans="23:23" ht="15">
      <c r="W7815" s="361"/>
    </row>
    <row r="7816" spans="23:23" ht="15">
      <c r="W7816" s="361"/>
    </row>
    <row r="7817" spans="23:23" ht="15">
      <c r="W7817" s="361"/>
    </row>
    <row r="7818" spans="23:23" ht="15">
      <c r="W7818" s="361"/>
    </row>
    <row r="7819" spans="23:23" ht="15">
      <c r="W7819" s="361"/>
    </row>
    <row r="7820" spans="23:23" ht="15">
      <c r="W7820" s="361"/>
    </row>
    <row r="7821" spans="23:23" ht="15">
      <c r="W7821" s="361"/>
    </row>
    <row r="7822" spans="23:23" ht="15">
      <c r="W7822" s="361"/>
    </row>
    <row r="7823" spans="23:23" ht="15">
      <c r="W7823" s="361"/>
    </row>
    <row r="7824" spans="23:23" ht="15">
      <c r="W7824" s="361"/>
    </row>
    <row r="7825" spans="23:23" ht="15">
      <c r="W7825" s="361"/>
    </row>
    <row r="7826" spans="23:23" ht="15">
      <c r="W7826" s="361"/>
    </row>
    <row r="7827" spans="23:23" ht="15">
      <c r="W7827" s="361"/>
    </row>
    <row r="7828" spans="23:23" ht="15">
      <c r="W7828" s="361"/>
    </row>
    <row r="7829" spans="23:23" ht="15">
      <c r="W7829" s="361"/>
    </row>
    <row r="7830" spans="23:23" ht="15">
      <c r="W7830" s="361"/>
    </row>
    <row r="7831" spans="23:23" ht="15">
      <c r="W7831" s="361"/>
    </row>
    <row r="7832" spans="23:23" ht="15">
      <c r="W7832" s="361"/>
    </row>
    <row r="7833" spans="23:23" ht="15">
      <c r="W7833" s="361"/>
    </row>
    <row r="7834" spans="23:23" ht="15">
      <c r="W7834" s="361"/>
    </row>
    <row r="7835" spans="23:23" ht="15">
      <c r="W7835" s="361"/>
    </row>
    <row r="7836" spans="23:23" ht="15">
      <c r="W7836" s="361"/>
    </row>
    <row r="7837" spans="23:23" ht="15">
      <c r="W7837" s="361"/>
    </row>
    <row r="7838" spans="23:23" ht="15">
      <c r="W7838" s="361"/>
    </row>
    <row r="7839" spans="23:23" ht="15">
      <c r="W7839" s="361"/>
    </row>
    <row r="7840" spans="23:23" ht="15">
      <c r="W7840" s="361"/>
    </row>
    <row r="7841" spans="23:23" ht="15">
      <c r="W7841" s="361"/>
    </row>
    <row r="7842" spans="23:23" ht="15">
      <c r="W7842" s="361"/>
    </row>
    <row r="7843" spans="23:23" ht="15">
      <c r="W7843" s="361"/>
    </row>
    <row r="7844" spans="23:23" ht="15">
      <c r="W7844" s="361"/>
    </row>
    <row r="7845" spans="23:23" ht="15">
      <c r="W7845" s="361"/>
    </row>
    <row r="7846" spans="23:23" ht="15">
      <c r="W7846" s="361"/>
    </row>
    <row r="7847" spans="23:23" ht="15">
      <c r="W7847" s="361"/>
    </row>
    <row r="7848" spans="23:23" ht="15">
      <c r="W7848" s="361"/>
    </row>
    <row r="7849" spans="23:23" ht="15">
      <c r="W7849" s="361"/>
    </row>
    <row r="7850" spans="23:23" ht="15">
      <c r="W7850" s="361"/>
    </row>
    <row r="7851" spans="23:23" ht="15">
      <c r="W7851" s="361"/>
    </row>
    <row r="7852" spans="23:23" ht="15">
      <c r="W7852" s="361"/>
    </row>
    <row r="7853" spans="23:23" ht="15">
      <c r="W7853" s="361"/>
    </row>
    <row r="7854" spans="23:23" ht="15">
      <c r="W7854" s="361"/>
    </row>
    <row r="7855" spans="23:23" ht="15">
      <c r="W7855" s="361"/>
    </row>
    <row r="7856" spans="23:23" ht="15">
      <c r="W7856" s="361"/>
    </row>
    <row r="7857" spans="23:23" ht="15">
      <c r="W7857" s="361"/>
    </row>
    <row r="7858" spans="23:23" ht="15">
      <c r="W7858" s="361"/>
    </row>
    <row r="7859" spans="23:23" ht="15">
      <c r="W7859" s="361"/>
    </row>
    <row r="7860" spans="23:23" ht="15">
      <c r="W7860" s="361"/>
    </row>
    <row r="7861" spans="23:23" ht="15">
      <c r="W7861" s="361"/>
    </row>
    <row r="7862" spans="23:23" ht="15">
      <c r="W7862" s="361"/>
    </row>
    <row r="7863" spans="23:23" ht="15">
      <c r="W7863" s="361"/>
    </row>
    <row r="7864" spans="23:23" ht="15">
      <c r="W7864" s="361"/>
    </row>
    <row r="7865" spans="23:23" ht="15">
      <c r="W7865" s="361"/>
    </row>
    <row r="7866" spans="23:23" ht="15">
      <c r="W7866" s="361"/>
    </row>
    <row r="7867" spans="23:23" ht="15">
      <c r="W7867" s="361"/>
    </row>
    <row r="7868" spans="23:23" ht="15">
      <c r="W7868" s="361"/>
    </row>
    <row r="7869" spans="23:23" ht="15">
      <c r="W7869" s="361"/>
    </row>
    <row r="7870" spans="23:23" ht="15">
      <c r="W7870" s="361"/>
    </row>
    <row r="7871" spans="23:23" ht="15">
      <c r="W7871" s="361"/>
    </row>
    <row r="7872" spans="23:23" ht="15">
      <c r="W7872" s="361"/>
    </row>
    <row r="7873" spans="23:23" ht="15">
      <c r="W7873" s="361"/>
    </row>
    <row r="7874" spans="23:23" ht="15">
      <c r="W7874" s="361"/>
    </row>
    <row r="7875" spans="23:23" ht="15">
      <c r="W7875" s="361"/>
    </row>
    <row r="7876" spans="23:23" ht="15">
      <c r="W7876" s="361"/>
    </row>
    <row r="7877" spans="23:23" ht="15">
      <c r="W7877" s="361"/>
    </row>
    <row r="7878" spans="23:23" ht="15">
      <c r="W7878" s="361"/>
    </row>
    <row r="7879" spans="23:23" ht="15">
      <c r="W7879" s="361"/>
    </row>
    <row r="7880" spans="23:23" ht="15">
      <c r="W7880" s="361"/>
    </row>
    <row r="7881" spans="23:23" ht="15">
      <c r="W7881" s="361"/>
    </row>
    <row r="7882" spans="23:23" ht="15">
      <c r="W7882" s="361"/>
    </row>
    <row r="7883" spans="23:23" ht="15">
      <c r="W7883" s="361"/>
    </row>
    <row r="7884" spans="23:23" ht="15">
      <c r="W7884" s="361"/>
    </row>
    <row r="7885" spans="23:23" ht="15">
      <c r="W7885" s="361"/>
    </row>
    <row r="7886" spans="23:23" ht="15">
      <c r="W7886" s="361"/>
    </row>
    <row r="7887" spans="23:23" ht="15">
      <c r="W7887" s="361"/>
    </row>
    <row r="7888" spans="23:23" ht="15">
      <c r="W7888" s="361"/>
    </row>
    <row r="7889" spans="23:23" ht="15">
      <c r="W7889" s="361"/>
    </row>
    <row r="7890" spans="23:23" ht="15">
      <c r="W7890" s="361"/>
    </row>
    <row r="7891" spans="23:23" ht="15">
      <c r="W7891" s="361"/>
    </row>
    <row r="7892" spans="23:23" ht="15">
      <c r="W7892" s="361"/>
    </row>
    <row r="7893" spans="23:23" ht="15">
      <c r="W7893" s="361"/>
    </row>
    <row r="7894" spans="23:23" ht="15">
      <c r="W7894" s="361"/>
    </row>
    <row r="7895" spans="23:23" ht="15">
      <c r="W7895" s="361"/>
    </row>
    <row r="7896" spans="23:23" ht="15">
      <c r="W7896" s="361"/>
    </row>
    <row r="7897" spans="23:23" ht="15">
      <c r="W7897" s="361"/>
    </row>
    <row r="7898" spans="23:23" ht="15">
      <c r="W7898" s="361"/>
    </row>
    <row r="7899" spans="23:23" ht="15">
      <c r="W7899" s="361"/>
    </row>
    <row r="7900" spans="23:23" ht="15">
      <c r="W7900" s="361"/>
    </row>
    <row r="7901" spans="23:23" ht="15">
      <c r="W7901" s="361"/>
    </row>
    <row r="7902" spans="23:23" ht="15">
      <c r="W7902" s="361"/>
    </row>
    <row r="7903" spans="23:23" ht="15">
      <c r="W7903" s="361"/>
    </row>
    <row r="7904" spans="23:23" ht="15">
      <c r="W7904" s="361"/>
    </row>
    <row r="7905" spans="23:23" ht="15">
      <c r="W7905" s="361"/>
    </row>
    <row r="7906" spans="23:23" ht="15">
      <c r="W7906" s="361"/>
    </row>
    <row r="7907" spans="23:23" ht="15">
      <c r="W7907" s="361"/>
    </row>
    <row r="7908" spans="23:23" ht="15">
      <c r="W7908" s="361"/>
    </row>
    <row r="7909" spans="23:23" ht="15">
      <c r="W7909" s="361"/>
    </row>
    <row r="7910" spans="23:23" ht="15">
      <c r="W7910" s="361"/>
    </row>
    <row r="7911" spans="23:23" ht="15">
      <c r="W7911" s="361"/>
    </row>
    <row r="7912" spans="23:23" ht="15">
      <c r="W7912" s="361"/>
    </row>
    <row r="7913" spans="23:23" ht="15">
      <c r="W7913" s="361"/>
    </row>
    <row r="7914" spans="23:23" ht="15">
      <c r="W7914" s="361"/>
    </row>
    <row r="7915" spans="23:23" ht="15">
      <c r="W7915" s="361"/>
    </row>
    <row r="7916" spans="23:23" ht="15">
      <c r="W7916" s="361"/>
    </row>
    <row r="7917" spans="23:23" ht="15">
      <c r="W7917" s="361"/>
    </row>
    <row r="7918" spans="23:23" ht="15">
      <c r="W7918" s="361"/>
    </row>
    <row r="7919" spans="23:23" ht="15">
      <c r="W7919" s="361"/>
    </row>
    <row r="7920" spans="23:23" ht="15">
      <c r="W7920" s="361"/>
    </row>
    <row r="7921" spans="23:23" ht="15">
      <c r="W7921" s="361"/>
    </row>
    <row r="7922" spans="23:23" ht="15">
      <c r="W7922" s="361"/>
    </row>
    <row r="7923" spans="23:23" ht="15">
      <c r="W7923" s="361"/>
    </row>
    <row r="7924" spans="23:23" ht="15">
      <c r="W7924" s="361"/>
    </row>
    <row r="7925" spans="23:23" ht="15">
      <c r="W7925" s="361"/>
    </row>
    <row r="7926" spans="23:23" ht="15">
      <c r="W7926" s="361"/>
    </row>
    <row r="7927" spans="23:23" ht="15">
      <c r="W7927" s="361"/>
    </row>
    <row r="7928" spans="23:23" ht="15">
      <c r="W7928" s="361"/>
    </row>
    <row r="7929" spans="23:23" ht="15">
      <c r="W7929" s="361"/>
    </row>
    <row r="7930" spans="23:23" ht="15">
      <c r="W7930" s="361"/>
    </row>
    <row r="7931" spans="23:23" ht="15">
      <c r="W7931" s="361"/>
    </row>
    <row r="7932" spans="23:23" ht="15">
      <c r="W7932" s="361"/>
    </row>
    <row r="7933" spans="23:23" ht="15">
      <c r="W7933" s="361"/>
    </row>
    <row r="7934" spans="23:23" ht="15">
      <c r="W7934" s="361"/>
    </row>
    <row r="7935" spans="23:23" ht="15">
      <c r="W7935" s="361"/>
    </row>
    <row r="7936" spans="23:23" ht="15">
      <c r="W7936" s="361"/>
    </row>
    <row r="7937" spans="23:23" ht="15">
      <c r="W7937" s="361"/>
    </row>
    <row r="7938" spans="23:23" ht="15">
      <c r="W7938" s="361"/>
    </row>
    <row r="7939" spans="23:23" ht="15">
      <c r="W7939" s="361"/>
    </row>
    <row r="7940" spans="23:23" ht="15">
      <c r="W7940" s="361"/>
    </row>
    <row r="7941" spans="23:23" ht="15">
      <c r="W7941" s="361"/>
    </row>
    <row r="7942" spans="23:23" ht="15">
      <c r="W7942" s="361"/>
    </row>
    <row r="7943" spans="23:23" ht="15">
      <c r="W7943" s="361"/>
    </row>
    <row r="7944" spans="23:23" ht="15">
      <c r="W7944" s="361"/>
    </row>
    <row r="7945" spans="23:23" ht="15">
      <c r="W7945" s="361"/>
    </row>
    <row r="7946" spans="23:23" ht="15">
      <c r="W7946" s="361"/>
    </row>
    <row r="7947" spans="23:23" ht="15">
      <c r="W7947" s="361"/>
    </row>
    <row r="7948" spans="23:23" ht="15">
      <c r="W7948" s="361"/>
    </row>
    <row r="7949" spans="23:23" ht="15">
      <c r="W7949" s="361"/>
    </row>
    <row r="7950" spans="23:23" ht="15">
      <c r="W7950" s="361"/>
    </row>
    <row r="7951" spans="23:23" ht="15">
      <c r="W7951" s="361"/>
    </row>
    <row r="7952" spans="23:23" ht="15">
      <c r="W7952" s="361"/>
    </row>
    <row r="7953" spans="23:23" ht="15">
      <c r="W7953" s="361"/>
    </row>
    <row r="7954" spans="23:23" ht="15">
      <c r="W7954" s="361"/>
    </row>
    <row r="7955" spans="23:23" ht="15">
      <c r="W7955" s="361"/>
    </row>
    <row r="7956" spans="23:23" ht="15">
      <c r="W7956" s="361"/>
    </row>
    <row r="7957" spans="23:23" ht="15">
      <c r="W7957" s="361"/>
    </row>
    <row r="7958" spans="23:23" ht="15">
      <c r="W7958" s="361"/>
    </row>
    <row r="7959" spans="23:23" ht="15">
      <c r="W7959" s="361"/>
    </row>
    <row r="7960" spans="23:23" ht="15">
      <c r="W7960" s="361"/>
    </row>
    <row r="7961" spans="23:23" ht="15">
      <c r="W7961" s="361"/>
    </row>
    <row r="7962" spans="23:23" ht="15">
      <c r="W7962" s="361"/>
    </row>
    <row r="7963" spans="23:23" ht="15">
      <c r="W7963" s="361"/>
    </row>
    <row r="7964" spans="23:23" ht="15">
      <c r="W7964" s="361"/>
    </row>
    <row r="7965" spans="23:23" ht="15">
      <c r="W7965" s="361"/>
    </row>
    <row r="7966" spans="23:23" ht="15">
      <c r="W7966" s="361"/>
    </row>
    <row r="7967" spans="23:23" ht="15">
      <c r="W7967" s="361"/>
    </row>
    <row r="7968" spans="23:23" ht="15">
      <c r="W7968" s="361"/>
    </row>
    <row r="7969" spans="23:23" ht="15">
      <c r="W7969" s="361"/>
    </row>
    <row r="7970" spans="23:23" ht="15">
      <c r="W7970" s="361"/>
    </row>
    <row r="7971" spans="23:23" ht="15">
      <c r="W7971" s="361"/>
    </row>
    <row r="7972" spans="23:23" ht="15">
      <c r="W7972" s="361"/>
    </row>
    <row r="7973" spans="23:23" ht="15">
      <c r="W7973" s="361"/>
    </row>
    <row r="7974" spans="23:23" ht="15">
      <c r="W7974" s="361"/>
    </row>
    <row r="7975" spans="23:23" ht="15">
      <c r="W7975" s="361"/>
    </row>
    <row r="7976" spans="23:23" ht="15">
      <c r="W7976" s="361"/>
    </row>
    <row r="7977" spans="23:23" ht="15">
      <c r="W7977" s="361"/>
    </row>
    <row r="7978" spans="23:23" ht="15">
      <c r="W7978" s="361"/>
    </row>
    <row r="7979" spans="23:23" ht="15">
      <c r="W7979" s="361"/>
    </row>
    <row r="7980" spans="23:23" ht="15">
      <c r="W7980" s="361"/>
    </row>
    <row r="7981" spans="23:23" ht="15">
      <c r="W7981" s="361"/>
    </row>
    <row r="7982" spans="23:23" ht="15">
      <c r="W7982" s="361"/>
    </row>
    <row r="7983" spans="23:23" ht="15">
      <c r="W7983" s="361"/>
    </row>
    <row r="7984" spans="23:23" ht="15">
      <c r="W7984" s="361"/>
    </row>
    <row r="7985" spans="23:23" ht="15">
      <c r="W7985" s="361"/>
    </row>
    <row r="7986" spans="23:23" ht="15">
      <c r="W7986" s="361"/>
    </row>
    <row r="7987" spans="23:23" ht="15">
      <c r="W7987" s="361"/>
    </row>
    <row r="7988" spans="23:23" ht="15">
      <c r="W7988" s="361"/>
    </row>
    <row r="7989" spans="23:23" ht="15">
      <c r="W7989" s="361"/>
    </row>
    <row r="7990" spans="23:23" ht="15">
      <c r="W7990" s="361"/>
    </row>
    <row r="7991" spans="23:23" ht="15">
      <c r="W7991" s="361"/>
    </row>
    <row r="7992" spans="23:23" ht="15">
      <c r="W7992" s="361"/>
    </row>
    <row r="7993" spans="23:23" ht="15">
      <c r="W7993" s="361"/>
    </row>
    <row r="7994" spans="23:23" ht="15">
      <c r="W7994" s="361"/>
    </row>
    <row r="7995" spans="23:23" ht="15">
      <c r="W7995" s="361"/>
    </row>
    <row r="7996" spans="23:23" ht="15">
      <c r="W7996" s="361"/>
    </row>
    <row r="7997" spans="23:23" ht="15">
      <c r="W7997" s="361"/>
    </row>
    <row r="7998" spans="23:23" ht="15">
      <c r="W7998" s="361"/>
    </row>
    <row r="7999" spans="23:23" ht="15">
      <c r="W7999" s="361"/>
    </row>
    <row r="8000" spans="23:23" ht="15">
      <c r="W8000" s="361"/>
    </row>
    <row r="8001" spans="23:23" ht="15">
      <c r="W8001" s="361"/>
    </row>
    <row r="8002" spans="23:23" ht="15">
      <c r="W8002" s="361"/>
    </row>
    <row r="8003" spans="23:23" ht="15">
      <c r="W8003" s="361"/>
    </row>
    <row r="8004" spans="23:23" ht="15">
      <c r="W8004" s="361"/>
    </row>
    <row r="8005" spans="23:23" ht="15">
      <c r="W8005" s="361"/>
    </row>
    <row r="8006" spans="23:23" ht="15">
      <c r="W8006" s="361"/>
    </row>
    <row r="8007" spans="23:23" ht="15">
      <c r="W8007" s="361"/>
    </row>
    <row r="8008" spans="23:23" ht="15">
      <c r="W8008" s="361"/>
    </row>
    <row r="8009" spans="23:23" ht="15">
      <c r="W8009" s="361"/>
    </row>
    <row r="8010" spans="23:23" ht="15">
      <c r="W8010" s="361"/>
    </row>
    <row r="8011" spans="23:23" ht="15">
      <c r="W8011" s="361"/>
    </row>
    <row r="8012" spans="23:23" ht="15">
      <c r="W8012" s="361"/>
    </row>
    <row r="8013" spans="23:23" ht="15">
      <c r="W8013" s="361"/>
    </row>
    <row r="8014" spans="23:23" ht="15">
      <c r="W8014" s="361"/>
    </row>
    <row r="8015" spans="23:23" ht="15">
      <c r="W8015" s="361"/>
    </row>
    <row r="8016" spans="23:23" ht="15">
      <c r="W8016" s="361"/>
    </row>
    <row r="8017" spans="23:23" ht="15">
      <c r="W8017" s="361"/>
    </row>
    <row r="8018" spans="23:23" ht="15">
      <c r="W8018" s="361"/>
    </row>
    <row r="8019" spans="23:23" ht="15">
      <c r="W8019" s="361"/>
    </row>
    <row r="8020" spans="23:23" ht="15">
      <c r="W8020" s="361"/>
    </row>
    <row r="8021" spans="23:23" ht="15">
      <c r="W8021" s="361"/>
    </row>
    <row r="8022" spans="23:23" ht="15">
      <c r="W8022" s="361"/>
    </row>
    <row r="8023" spans="23:23" ht="15">
      <c r="W8023" s="361"/>
    </row>
    <row r="8024" spans="23:23" ht="15">
      <c r="W8024" s="361"/>
    </row>
    <row r="8025" spans="23:23" ht="15">
      <c r="W8025" s="361"/>
    </row>
    <row r="8026" spans="23:23" ht="15">
      <c r="W8026" s="361"/>
    </row>
    <row r="8027" spans="23:23" ht="15">
      <c r="W8027" s="361"/>
    </row>
    <row r="8028" spans="23:23" ht="15">
      <c r="W8028" s="361"/>
    </row>
    <row r="8029" spans="23:23" ht="15">
      <c r="W8029" s="361"/>
    </row>
    <row r="8030" spans="23:23" ht="15">
      <c r="W8030" s="361"/>
    </row>
    <row r="8031" spans="23:23" ht="15">
      <c r="W8031" s="361"/>
    </row>
    <row r="8032" spans="23:23" ht="15">
      <c r="W8032" s="361"/>
    </row>
    <row r="8033" spans="23:23" ht="15">
      <c r="W8033" s="361"/>
    </row>
    <row r="8034" spans="23:23" ht="15">
      <c r="W8034" s="361"/>
    </row>
    <row r="8035" spans="23:23" ht="15">
      <c r="W8035" s="361"/>
    </row>
    <row r="8036" spans="23:23" ht="15">
      <c r="W8036" s="361"/>
    </row>
    <row r="8037" spans="23:23" ht="15">
      <c r="W8037" s="361"/>
    </row>
    <row r="8038" spans="23:23" ht="15">
      <c r="W8038" s="361"/>
    </row>
    <row r="8039" spans="23:23" ht="15">
      <c r="W8039" s="361"/>
    </row>
    <row r="8040" spans="23:23" ht="15">
      <c r="W8040" s="361"/>
    </row>
    <row r="8041" spans="23:23" ht="15">
      <c r="W8041" s="361"/>
    </row>
    <row r="8042" spans="23:23" ht="15">
      <c r="W8042" s="361"/>
    </row>
    <row r="8043" spans="23:23" ht="15">
      <c r="W8043" s="361"/>
    </row>
    <row r="8044" spans="23:23" ht="15">
      <c r="W8044" s="361"/>
    </row>
    <row r="8045" spans="23:23" ht="15">
      <c r="W8045" s="361"/>
    </row>
    <row r="8046" spans="23:23" ht="15">
      <c r="W8046" s="361"/>
    </row>
    <row r="8047" spans="23:23" ht="15">
      <c r="W8047" s="361"/>
    </row>
    <row r="8048" spans="23:23" ht="15">
      <c r="W8048" s="361"/>
    </row>
    <row r="8049" spans="23:23" ht="15">
      <c r="W8049" s="361"/>
    </row>
    <row r="8050" spans="23:23" ht="15">
      <c r="W8050" s="361"/>
    </row>
    <row r="8051" spans="23:23" ht="15">
      <c r="W8051" s="361"/>
    </row>
    <row r="8052" spans="23:23" ht="15">
      <c r="W8052" s="361"/>
    </row>
    <row r="8053" spans="23:23" ht="15">
      <c r="W8053" s="361"/>
    </row>
    <row r="8054" spans="23:23" ht="15">
      <c r="W8054" s="361"/>
    </row>
    <row r="8055" spans="23:23" ht="15">
      <c r="W8055" s="361"/>
    </row>
    <row r="8056" spans="23:23" ht="15">
      <c r="W8056" s="361"/>
    </row>
    <row r="8057" spans="23:23" ht="15">
      <c r="W8057" s="361"/>
    </row>
    <row r="8058" spans="23:23" ht="15">
      <c r="W8058" s="361"/>
    </row>
    <row r="8059" spans="23:23" ht="15">
      <c r="W8059" s="361"/>
    </row>
    <row r="8060" spans="23:23" ht="15">
      <c r="W8060" s="361"/>
    </row>
    <row r="8061" spans="23:23" ht="15">
      <c r="W8061" s="361"/>
    </row>
    <row r="8062" spans="23:23" ht="15">
      <c r="W8062" s="361"/>
    </row>
    <row r="8063" spans="23:23" ht="15">
      <c r="W8063" s="361"/>
    </row>
    <row r="8064" spans="23:23" ht="15">
      <c r="W8064" s="361"/>
    </row>
    <row r="8065" spans="23:23" ht="15">
      <c r="W8065" s="361"/>
    </row>
    <row r="8066" spans="23:23" ht="15">
      <c r="W8066" s="361"/>
    </row>
    <row r="8067" spans="23:23" ht="15">
      <c r="W8067" s="361"/>
    </row>
    <row r="8068" spans="23:23" ht="15">
      <c r="W8068" s="361"/>
    </row>
    <row r="8069" spans="23:23" ht="15">
      <c r="W8069" s="361"/>
    </row>
    <row r="8070" spans="23:23" ht="15">
      <c r="W8070" s="361"/>
    </row>
    <row r="8071" spans="23:23" ht="15">
      <c r="W8071" s="361"/>
    </row>
    <row r="8072" spans="23:23" ht="15">
      <c r="W8072" s="361"/>
    </row>
    <row r="8073" spans="23:23" ht="15">
      <c r="W8073" s="361"/>
    </row>
    <row r="8074" spans="23:23" ht="15">
      <c r="W8074" s="361"/>
    </row>
    <row r="8075" spans="23:23" ht="15">
      <c r="W8075" s="361"/>
    </row>
    <row r="8076" spans="23:23" ht="15">
      <c r="W8076" s="361"/>
    </row>
    <row r="8077" spans="23:23" ht="15">
      <c r="W8077" s="361"/>
    </row>
    <row r="8078" spans="23:23" ht="15">
      <c r="W8078" s="361"/>
    </row>
    <row r="8079" spans="23:23" ht="15">
      <c r="W8079" s="361"/>
    </row>
    <row r="8080" spans="23:23" ht="15">
      <c r="W8080" s="361"/>
    </row>
    <row r="8081" spans="23:23" ht="15">
      <c r="W8081" s="361"/>
    </row>
    <row r="8082" spans="23:23" ht="15">
      <c r="W8082" s="361"/>
    </row>
    <row r="8083" spans="23:23" ht="15">
      <c r="W8083" s="361"/>
    </row>
    <row r="8084" spans="23:23" ht="15">
      <c r="W8084" s="361"/>
    </row>
    <row r="8085" spans="23:23" ht="15">
      <c r="W8085" s="361"/>
    </row>
    <row r="8086" spans="23:23" ht="15">
      <c r="W8086" s="361"/>
    </row>
    <row r="8087" spans="23:23" ht="15">
      <c r="W8087" s="361"/>
    </row>
    <row r="8088" spans="23:23" ht="15">
      <c r="W8088" s="361"/>
    </row>
    <row r="8089" spans="23:23" ht="15">
      <c r="W8089" s="361"/>
    </row>
    <row r="8090" spans="23:23" ht="15">
      <c r="W8090" s="361"/>
    </row>
    <row r="8091" spans="23:23" ht="15">
      <c r="W8091" s="361"/>
    </row>
    <row r="8092" spans="23:23" ht="15">
      <c r="W8092" s="361"/>
    </row>
    <row r="8093" spans="23:23" ht="15">
      <c r="W8093" s="361"/>
    </row>
    <row r="8094" spans="23:23" ht="15">
      <c r="W8094" s="361"/>
    </row>
    <row r="8095" spans="23:23" ht="15">
      <c r="W8095" s="361"/>
    </row>
    <row r="8096" spans="23:23" ht="15">
      <c r="W8096" s="361"/>
    </row>
    <row r="8097" spans="23:23" ht="15">
      <c r="W8097" s="361"/>
    </row>
    <row r="8098" spans="23:23" ht="15">
      <c r="W8098" s="361"/>
    </row>
    <row r="8099" spans="23:23" ht="15">
      <c r="W8099" s="361"/>
    </row>
    <row r="8100" spans="23:23" ht="15">
      <c r="W8100" s="361"/>
    </row>
    <row r="8101" spans="23:23" ht="15">
      <c r="W8101" s="361"/>
    </row>
    <row r="8102" spans="23:23" ht="15">
      <c r="W8102" s="361"/>
    </row>
    <row r="8103" spans="23:23" ht="15">
      <c r="W8103" s="361"/>
    </row>
    <row r="8104" spans="23:23" ht="15">
      <c r="W8104" s="361"/>
    </row>
    <row r="8105" spans="23:23" ht="15">
      <c r="W8105" s="361"/>
    </row>
    <row r="8106" spans="23:23" ht="15">
      <c r="W8106" s="361"/>
    </row>
    <row r="8107" spans="23:23" ht="15">
      <c r="W8107" s="361"/>
    </row>
    <row r="8108" spans="23:23" ht="15">
      <c r="W8108" s="361"/>
    </row>
    <row r="8109" spans="23:23" ht="15">
      <c r="W8109" s="361"/>
    </row>
    <row r="8110" spans="23:23" ht="15">
      <c r="W8110" s="361"/>
    </row>
    <row r="8111" spans="23:23" ht="15">
      <c r="W8111" s="361"/>
    </row>
    <row r="8112" spans="23:23" ht="15">
      <c r="W8112" s="361"/>
    </row>
    <row r="8113" spans="23:23" ht="15">
      <c r="W8113" s="361"/>
    </row>
    <row r="8114" spans="23:23" ht="15">
      <c r="W8114" s="361"/>
    </row>
    <row r="8115" spans="23:23" ht="15">
      <c r="W8115" s="361"/>
    </row>
    <row r="8116" spans="23:23" ht="15">
      <c r="W8116" s="361"/>
    </row>
    <row r="8117" spans="23:23" ht="15">
      <c r="W8117" s="361"/>
    </row>
    <row r="8118" spans="23:23" ht="15">
      <c r="W8118" s="361"/>
    </row>
    <row r="8119" spans="23:23" ht="15">
      <c r="W8119" s="361"/>
    </row>
    <row r="8120" spans="23:23" ht="15">
      <c r="W8120" s="361"/>
    </row>
    <row r="8121" spans="23:23" ht="15">
      <c r="W8121" s="361"/>
    </row>
    <row r="8122" spans="23:23" ht="15">
      <c r="W8122" s="361"/>
    </row>
    <row r="8123" spans="23:23" ht="15">
      <c r="W8123" s="361"/>
    </row>
    <row r="8124" spans="23:23" ht="15">
      <c r="W8124" s="361"/>
    </row>
    <row r="8125" spans="23:23" ht="15">
      <c r="W8125" s="361"/>
    </row>
    <row r="8126" spans="23:23" ht="15">
      <c r="W8126" s="361"/>
    </row>
    <row r="8127" spans="23:23" ht="15">
      <c r="W8127" s="361"/>
    </row>
    <row r="8128" spans="23:23" ht="15">
      <c r="W8128" s="361"/>
    </row>
    <row r="8129" spans="23:23" ht="15">
      <c r="W8129" s="361"/>
    </row>
    <row r="8130" spans="23:23" ht="15">
      <c r="W8130" s="361"/>
    </row>
    <row r="8131" spans="23:23" ht="15">
      <c r="W8131" s="361"/>
    </row>
    <row r="8132" spans="23:23" ht="15">
      <c r="W8132" s="361"/>
    </row>
    <row r="8133" spans="23:23" ht="15">
      <c r="W8133" s="361"/>
    </row>
    <row r="8134" spans="23:23" ht="15">
      <c r="W8134" s="361"/>
    </row>
    <row r="8135" spans="23:23" ht="15">
      <c r="W8135" s="361"/>
    </row>
    <row r="8136" spans="23:23" ht="15">
      <c r="W8136" s="361"/>
    </row>
    <row r="8137" spans="23:23" ht="15">
      <c r="W8137" s="361"/>
    </row>
    <row r="8138" spans="23:23" ht="15">
      <c r="W8138" s="361"/>
    </row>
    <row r="8139" spans="23:23" ht="15">
      <c r="W8139" s="361"/>
    </row>
    <row r="8140" spans="23:23" ht="15">
      <c r="W8140" s="361"/>
    </row>
    <row r="8141" spans="23:23" ht="15">
      <c r="W8141" s="361"/>
    </row>
    <row r="8142" spans="23:23" ht="15">
      <c r="W8142" s="361"/>
    </row>
    <row r="8143" spans="23:23" ht="15">
      <c r="W8143" s="361"/>
    </row>
    <row r="8144" spans="23:23" ht="15">
      <c r="W8144" s="361"/>
    </row>
    <row r="8145" spans="23:23" ht="15">
      <c r="W8145" s="361"/>
    </row>
    <row r="8146" spans="23:23" ht="15">
      <c r="W8146" s="361"/>
    </row>
    <row r="8147" spans="23:23" ht="15">
      <c r="W8147" s="361"/>
    </row>
    <row r="8148" spans="23:23" ht="15">
      <c r="W8148" s="361"/>
    </row>
    <row r="8149" spans="23:23" ht="15">
      <c r="W8149" s="361"/>
    </row>
    <row r="8150" spans="23:23" ht="15">
      <c r="W8150" s="361"/>
    </row>
    <row r="8151" spans="23:23" ht="15">
      <c r="W8151" s="361"/>
    </row>
    <row r="8152" spans="23:23" ht="15">
      <c r="W8152" s="361"/>
    </row>
    <row r="8153" spans="23:23" ht="15">
      <c r="W8153" s="361"/>
    </row>
    <row r="8154" spans="23:23" ht="15">
      <c r="W8154" s="361"/>
    </row>
    <row r="8155" spans="23:23" ht="15">
      <c r="W8155" s="361"/>
    </row>
    <row r="8156" spans="23:23" ht="15">
      <c r="W8156" s="361"/>
    </row>
    <row r="8157" spans="23:23" ht="15">
      <c r="W8157" s="361"/>
    </row>
    <row r="8158" spans="23:23" ht="15">
      <c r="W8158" s="361"/>
    </row>
    <row r="8159" spans="23:23" ht="15">
      <c r="W8159" s="361"/>
    </row>
    <row r="8160" spans="23:23" ht="15">
      <c r="W8160" s="361"/>
    </row>
    <row r="8161" spans="23:23" ht="15">
      <c r="W8161" s="361"/>
    </row>
    <row r="8162" spans="23:23" ht="15">
      <c r="W8162" s="361"/>
    </row>
    <row r="8163" spans="23:23" ht="15">
      <c r="W8163" s="361"/>
    </row>
    <row r="8164" spans="23:23" ht="15">
      <c r="W8164" s="361"/>
    </row>
    <row r="8165" spans="23:23" ht="15">
      <c r="W8165" s="361"/>
    </row>
    <row r="8166" spans="23:23" ht="15">
      <c r="W8166" s="361"/>
    </row>
    <row r="8167" spans="23:23" ht="15">
      <c r="W8167" s="361"/>
    </row>
    <row r="8168" spans="23:23" ht="15">
      <c r="W8168" s="361"/>
    </row>
    <row r="8169" spans="23:23" ht="15">
      <c r="W8169" s="361"/>
    </row>
    <row r="8170" spans="23:23" ht="15">
      <c r="W8170" s="361"/>
    </row>
    <row r="8171" spans="23:23" ht="15">
      <c r="W8171" s="361"/>
    </row>
    <row r="8172" spans="23:23" ht="15">
      <c r="W8172" s="361"/>
    </row>
    <row r="8173" spans="23:23" ht="15">
      <c r="W8173" s="361"/>
    </row>
    <row r="8174" spans="23:23" ht="15">
      <c r="W8174" s="361"/>
    </row>
    <row r="8175" spans="23:23" ht="15">
      <c r="W8175" s="361"/>
    </row>
    <row r="8176" spans="23:23" ht="15">
      <c r="W8176" s="361"/>
    </row>
    <row r="8177" spans="23:23" ht="15">
      <c r="W8177" s="361"/>
    </row>
    <row r="8178" spans="23:23" ht="15">
      <c r="W8178" s="361"/>
    </row>
    <row r="8179" spans="23:23" ht="15">
      <c r="W8179" s="361"/>
    </row>
    <row r="8180" spans="23:23" ht="15">
      <c r="W8180" s="361"/>
    </row>
    <row r="8181" spans="23:23" ht="15">
      <c r="W8181" s="361"/>
    </row>
    <row r="8182" spans="23:23" ht="15">
      <c r="W8182" s="361"/>
    </row>
    <row r="8183" spans="23:23" ht="15">
      <c r="W8183" s="361"/>
    </row>
    <row r="8184" spans="23:23" ht="15">
      <c r="W8184" s="361"/>
    </row>
    <row r="8185" spans="23:23" ht="15">
      <c r="W8185" s="361"/>
    </row>
    <row r="8186" spans="23:23" ht="15">
      <c r="W8186" s="361"/>
    </row>
    <row r="8187" spans="23:23" ht="15">
      <c r="W8187" s="361"/>
    </row>
    <row r="8188" spans="23:23" ht="15">
      <c r="W8188" s="361"/>
    </row>
    <row r="8189" spans="23:23" ht="15">
      <c r="W8189" s="361"/>
    </row>
    <row r="8190" spans="23:23" ht="15">
      <c r="W8190" s="361"/>
    </row>
    <row r="8191" spans="23:23" ht="15">
      <c r="W8191" s="361"/>
    </row>
    <row r="8192" spans="23:23" ht="15">
      <c r="W8192" s="361"/>
    </row>
    <row r="8193" spans="23:23" ht="15">
      <c r="W8193" s="361"/>
    </row>
    <row r="8194" spans="23:23" ht="15">
      <c r="W8194" s="361"/>
    </row>
    <row r="8195" spans="23:23" ht="15">
      <c r="W8195" s="361"/>
    </row>
    <row r="8196" spans="23:23" ht="15">
      <c r="W8196" s="361"/>
    </row>
    <row r="8197" spans="23:23" ht="15">
      <c r="W8197" s="361"/>
    </row>
    <row r="8198" spans="23:23" ht="15">
      <c r="W8198" s="361"/>
    </row>
    <row r="8199" spans="23:23" ht="15">
      <c r="W8199" s="361"/>
    </row>
    <row r="8200" spans="23:23" ht="15">
      <c r="W8200" s="361"/>
    </row>
    <row r="8201" spans="23:23" ht="15">
      <c r="W8201" s="361"/>
    </row>
    <row r="8202" spans="23:23" ht="15">
      <c r="W8202" s="361"/>
    </row>
    <row r="8203" spans="23:23" ht="15">
      <c r="W8203" s="361"/>
    </row>
    <row r="8204" spans="23:23" ht="15">
      <c r="W8204" s="361"/>
    </row>
    <row r="8205" spans="23:23" ht="15">
      <c r="W8205" s="361"/>
    </row>
    <row r="8206" spans="23:23" ht="15">
      <c r="W8206" s="361"/>
    </row>
    <row r="8207" spans="23:23" ht="15">
      <c r="W8207" s="361"/>
    </row>
    <row r="8208" spans="23:23" ht="15">
      <c r="W8208" s="361"/>
    </row>
    <row r="8209" spans="23:23" ht="15">
      <c r="W8209" s="361"/>
    </row>
    <row r="8210" spans="23:23" ht="15">
      <c r="W8210" s="361"/>
    </row>
    <row r="8211" spans="23:23" ht="15">
      <c r="W8211" s="361"/>
    </row>
    <row r="8212" spans="23:23" ht="15">
      <c r="W8212" s="361"/>
    </row>
    <row r="8213" spans="23:23" ht="15">
      <c r="W8213" s="361"/>
    </row>
    <row r="8214" spans="23:23" ht="15">
      <c r="W8214" s="361"/>
    </row>
    <row r="8215" spans="23:23" ht="15">
      <c r="W8215" s="361"/>
    </row>
    <row r="8216" spans="23:23" ht="15">
      <c r="W8216" s="361"/>
    </row>
    <row r="8217" spans="23:23" ht="15">
      <c r="W8217" s="361"/>
    </row>
    <row r="8218" spans="23:23" ht="15">
      <c r="W8218" s="361"/>
    </row>
    <row r="8219" spans="23:23" ht="15">
      <c r="W8219" s="361"/>
    </row>
    <row r="8220" spans="23:23" ht="15">
      <c r="W8220" s="361"/>
    </row>
    <row r="8221" spans="23:23" ht="15">
      <c r="W8221" s="361"/>
    </row>
    <row r="8222" spans="23:23" ht="15">
      <c r="W8222" s="361"/>
    </row>
    <row r="8223" spans="23:23" ht="15">
      <c r="W8223" s="361"/>
    </row>
    <row r="8224" spans="23:23" ht="15">
      <c r="W8224" s="361"/>
    </row>
    <row r="8225" spans="23:23" ht="15">
      <c r="W8225" s="361"/>
    </row>
    <row r="8226" spans="23:23" ht="15">
      <c r="W8226" s="361"/>
    </row>
    <row r="8227" spans="23:23" ht="15">
      <c r="W8227" s="361"/>
    </row>
    <row r="8228" spans="23:23" ht="15">
      <c r="W8228" s="361"/>
    </row>
    <row r="8229" spans="23:23" ht="15">
      <c r="W8229" s="361"/>
    </row>
    <row r="8230" spans="23:23" ht="15">
      <c r="W8230" s="361"/>
    </row>
    <row r="8231" spans="23:23" ht="15">
      <c r="W8231" s="361"/>
    </row>
    <row r="8232" spans="23:23" ht="15">
      <c r="W8232" s="361"/>
    </row>
    <row r="8233" spans="23:23" ht="15">
      <c r="W8233" s="361"/>
    </row>
    <row r="8234" spans="23:23" ht="15">
      <c r="W8234" s="361"/>
    </row>
    <row r="8235" spans="23:23" ht="15">
      <c r="W8235" s="361"/>
    </row>
    <row r="8236" spans="23:23" ht="15">
      <c r="W8236" s="361"/>
    </row>
    <row r="8237" spans="23:23" ht="15">
      <c r="W8237" s="361"/>
    </row>
    <row r="8238" spans="23:23" ht="15">
      <c r="W8238" s="361"/>
    </row>
    <row r="8239" spans="23:23" ht="15">
      <c r="W8239" s="361"/>
    </row>
    <row r="8240" spans="23:23" ht="15">
      <c r="W8240" s="361"/>
    </row>
    <row r="8241" spans="23:23" ht="15">
      <c r="W8241" s="361"/>
    </row>
    <row r="8242" spans="23:23" ht="15">
      <c r="W8242" s="361"/>
    </row>
    <row r="8243" spans="23:23" ht="15">
      <c r="W8243" s="361"/>
    </row>
    <row r="8244" spans="23:23" ht="15">
      <c r="W8244" s="361"/>
    </row>
    <row r="8245" spans="23:23" ht="15">
      <c r="W8245" s="361"/>
    </row>
    <row r="8246" spans="23:23" ht="15">
      <c r="W8246" s="361"/>
    </row>
    <row r="8247" spans="23:23" ht="15">
      <c r="W8247" s="361"/>
    </row>
    <row r="8248" spans="23:23" ht="15">
      <c r="W8248" s="361"/>
    </row>
    <row r="8249" spans="23:23" ht="15">
      <c r="W8249" s="361"/>
    </row>
    <row r="8250" spans="23:23" ht="15">
      <c r="W8250" s="361"/>
    </row>
    <row r="8251" spans="23:23" ht="15">
      <c r="W8251" s="361"/>
    </row>
    <row r="8252" spans="23:23" ht="15">
      <c r="W8252" s="361"/>
    </row>
    <row r="8253" spans="23:23" ht="15">
      <c r="W8253" s="361"/>
    </row>
    <row r="8254" spans="23:23" ht="15">
      <c r="W8254" s="361"/>
    </row>
    <row r="8255" spans="23:23" ht="15">
      <c r="W8255" s="361"/>
    </row>
    <row r="8256" spans="23:23" ht="15">
      <c r="W8256" s="361"/>
    </row>
    <row r="8257" spans="23:23" ht="15">
      <c r="W8257" s="361"/>
    </row>
    <row r="8258" spans="23:23" ht="15">
      <c r="W8258" s="361"/>
    </row>
    <row r="8259" spans="23:23" ht="15">
      <c r="W8259" s="361"/>
    </row>
    <row r="8260" spans="23:23" ht="15">
      <c r="W8260" s="361"/>
    </row>
    <row r="8261" spans="23:23" ht="15">
      <c r="W8261" s="361"/>
    </row>
    <row r="8262" spans="23:23" ht="15">
      <c r="W8262" s="361"/>
    </row>
    <row r="8263" spans="23:23" ht="15">
      <c r="W8263" s="361"/>
    </row>
    <row r="8264" spans="23:23" ht="15">
      <c r="W8264" s="361"/>
    </row>
    <row r="8265" spans="23:23" ht="15">
      <c r="W8265" s="361"/>
    </row>
    <row r="8266" spans="23:23" ht="15">
      <c r="W8266" s="361"/>
    </row>
    <row r="8267" spans="23:23" ht="15">
      <c r="W8267" s="361"/>
    </row>
    <row r="8268" spans="23:23" ht="15">
      <c r="W8268" s="361"/>
    </row>
    <row r="8269" spans="23:23" ht="15">
      <c r="W8269" s="361"/>
    </row>
    <row r="8270" spans="23:23" ht="15">
      <c r="W8270" s="361"/>
    </row>
    <row r="8271" spans="23:23" ht="15">
      <c r="W8271" s="361"/>
    </row>
    <row r="8272" spans="23:23" ht="15">
      <c r="W8272" s="361"/>
    </row>
    <row r="8273" spans="23:23" ht="15">
      <c r="W8273" s="361"/>
    </row>
    <row r="8274" spans="23:23" ht="15">
      <c r="W8274" s="361"/>
    </row>
    <row r="8275" spans="23:23" ht="15">
      <c r="W8275" s="361"/>
    </row>
    <row r="8276" spans="23:23" ht="15">
      <c r="W8276" s="361"/>
    </row>
    <row r="8277" spans="23:23" ht="15">
      <c r="W8277" s="361"/>
    </row>
    <row r="8278" spans="23:23" ht="15">
      <c r="W8278" s="361"/>
    </row>
    <row r="8279" spans="23:23" ht="15">
      <c r="W8279" s="361"/>
    </row>
    <row r="8280" spans="23:23" ht="15">
      <c r="W8280" s="361"/>
    </row>
    <row r="8281" spans="23:23" ht="15">
      <c r="W8281" s="361"/>
    </row>
    <row r="8282" spans="23:23" ht="15">
      <c r="W8282" s="361"/>
    </row>
    <row r="8283" spans="23:23" ht="15">
      <c r="W8283" s="361"/>
    </row>
    <row r="8284" spans="23:23" ht="15">
      <c r="W8284" s="361"/>
    </row>
    <row r="8285" spans="23:23" ht="15">
      <c r="W8285" s="361"/>
    </row>
    <row r="8286" spans="23:23" ht="15">
      <c r="W8286" s="361"/>
    </row>
    <row r="8287" spans="23:23" ht="15">
      <c r="W8287" s="361"/>
    </row>
    <row r="8288" spans="23:23" ht="15">
      <c r="W8288" s="361"/>
    </row>
    <row r="8289" spans="23:23" ht="15">
      <c r="W8289" s="361"/>
    </row>
    <row r="8290" spans="23:23" ht="15">
      <c r="W8290" s="361"/>
    </row>
    <row r="8291" spans="23:23" ht="15">
      <c r="W8291" s="361"/>
    </row>
    <row r="8292" spans="23:23" ht="15">
      <c r="W8292" s="361"/>
    </row>
    <row r="8293" spans="23:23" ht="15">
      <c r="W8293" s="361"/>
    </row>
    <row r="8294" spans="23:23" ht="15">
      <c r="W8294" s="361"/>
    </row>
    <row r="8295" spans="23:23" ht="15">
      <c r="W8295" s="361"/>
    </row>
    <row r="8296" spans="23:23" ht="15">
      <c r="W8296" s="361"/>
    </row>
    <row r="8297" spans="23:23" ht="15">
      <c r="W8297" s="361"/>
    </row>
    <row r="8298" spans="23:23" ht="15">
      <c r="W8298" s="361"/>
    </row>
    <row r="8299" spans="23:23" ht="15">
      <c r="W8299" s="361"/>
    </row>
    <row r="8300" spans="23:23" ht="15">
      <c r="W8300" s="361"/>
    </row>
    <row r="8301" spans="23:23" ht="15">
      <c r="W8301" s="361"/>
    </row>
    <row r="8302" spans="23:23" ht="15">
      <c r="W8302" s="361"/>
    </row>
    <row r="8303" spans="23:23" ht="15">
      <c r="W8303" s="361"/>
    </row>
    <row r="8304" spans="23:23" ht="15">
      <c r="W8304" s="361"/>
    </row>
    <row r="8305" spans="23:23" ht="15">
      <c r="W8305" s="361"/>
    </row>
    <row r="8306" spans="23:23" ht="15">
      <c r="W8306" s="361"/>
    </row>
    <row r="8307" spans="23:23" ht="15">
      <c r="W8307" s="361"/>
    </row>
    <row r="8308" spans="23:23" ht="15">
      <c r="W8308" s="361"/>
    </row>
    <row r="8309" spans="23:23" ht="15">
      <c r="W8309" s="361"/>
    </row>
    <row r="8310" spans="23:23" ht="15">
      <c r="W8310" s="361"/>
    </row>
    <row r="8311" spans="23:23" ht="15">
      <c r="W8311" s="361"/>
    </row>
    <row r="8312" spans="23:23" ht="15">
      <c r="W8312" s="361"/>
    </row>
    <row r="8313" spans="23:23" ht="15">
      <c r="W8313" s="361"/>
    </row>
    <row r="8314" spans="23:23" ht="15">
      <c r="W8314" s="361"/>
    </row>
    <row r="8315" spans="23:23" ht="15">
      <c r="W8315" s="361"/>
    </row>
    <row r="8316" spans="23:23" ht="15">
      <c r="W8316" s="361"/>
    </row>
    <row r="8317" spans="23:23" ht="15">
      <c r="W8317" s="361"/>
    </row>
    <row r="8318" spans="23:23" ht="15">
      <c r="W8318" s="361"/>
    </row>
    <row r="8319" spans="23:23" ht="15">
      <c r="W8319" s="361"/>
    </row>
    <row r="8320" spans="23:23" ht="15">
      <c r="W8320" s="361"/>
    </row>
    <row r="8321" spans="23:23" ht="15">
      <c r="W8321" s="361"/>
    </row>
    <row r="8322" spans="23:23" ht="15">
      <c r="W8322" s="361"/>
    </row>
    <row r="8323" spans="23:23" ht="15">
      <c r="W8323" s="361"/>
    </row>
    <row r="8324" spans="23:23" ht="15">
      <c r="W8324" s="361"/>
    </row>
    <row r="8325" spans="23:23" ht="15">
      <c r="W8325" s="361"/>
    </row>
    <row r="8326" spans="23:23" ht="15">
      <c r="W8326" s="361"/>
    </row>
    <row r="8327" spans="23:23" ht="15">
      <c r="W8327" s="361"/>
    </row>
    <row r="8328" spans="23:23" ht="15">
      <c r="W8328" s="361"/>
    </row>
    <row r="8329" spans="23:23" ht="15">
      <c r="W8329" s="361"/>
    </row>
    <row r="8330" spans="23:23" ht="15">
      <c r="W8330" s="361"/>
    </row>
    <row r="8331" spans="23:23" ht="15">
      <c r="W8331" s="361"/>
    </row>
    <row r="8332" spans="23:23" ht="15">
      <c r="W8332" s="361"/>
    </row>
    <row r="8333" spans="23:23" ht="15">
      <c r="W8333" s="361"/>
    </row>
    <row r="8334" spans="23:23" ht="15">
      <c r="W8334" s="361"/>
    </row>
    <row r="8335" spans="23:23" ht="15">
      <c r="W8335" s="361"/>
    </row>
    <row r="8336" spans="23:23" ht="15">
      <c r="W8336" s="361"/>
    </row>
    <row r="8337" spans="23:23" ht="15">
      <c r="W8337" s="361"/>
    </row>
    <row r="8338" spans="23:23" ht="15">
      <c r="W8338" s="361"/>
    </row>
    <row r="8339" spans="23:23" ht="15">
      <c r="W8339" s="361"/>
    </row>
    <row r="8340" spans="23:23" ht="15">
      <c r="W8340" s="361"/>
    </row>
    <row r="8341" spans="23:23" ht="15">
      <c r="W8341" s="361"/>
    </row>
    <row r="8342" spans="23:23" ht="15">
      <c r="W8342" s="361"/>
    </row>
    <row r="8343" spans="23:23" ht="15">
      <c r="W8343" s="361"/>
    </row>
    <row r="8344" spans="23:23" ht="15">
      <c r="W8344" s="361"/>
    </row>
    <row r="8345" spans="23:23" ht="15">
      <c r="W8345" s="361"/>
    </row>
    <row r="8346" spans="23:23" ht="15">
      <c r="W8346" s="361"/>
    </row>
    <row r="8347" spans="23:23" ht="15">
      <c r="W8347" s="361"/>
    </row>
    <row r="8348" spans="23:23" ht="15">
      <c r="W8348" s="361"/>
    </row>
    <row r="8349" spans="23:23" ht="15">
      <c r="W8349" s="361"/>
    </row>
    <row r="8350" spans="23:23" ht="15">
      <c r="W8350" s="361"/>
    </row>
    <row r="8351" spans="23:23" ht="15">
      <c r="W8351" s="361"/>
    </row>
    <row r="8352" spans="23:23" ht="15">
      <c r="W8352" s="361"/>
    </row>
    <row r="8353" spans="23:23" ht="15">
      <c r="W8353" s="361"/>
    </row>
    <row r="8354" spans="23:23" ht="15">
      <c r="W8354" s="361"/>
    </row>
    <row r="8355" spans="23:23" ht="15">
      <c r="W8355" s="361"/>
    </row>
    <row r="8356" spans="23:23" ht="15">
      <c r="W8356" s="361"/>
    </row>
    <row r="8357" spans="23:23" ht="15">
      <c r="W8357" s="361"/>
    </row>
    <row r="8358" spans="23:23" ht="15">
      <c r="W8358" s="361"/>
    </row>
    <row r="8359" spans="23:23" ht="15">
      <c r="W8359" s="361"/>
    </row>
    <row r="8360" spans="23:23" ht="15">
      <c r="W8360" s="361"/>
    </row>
    <row r="8361" spans="23:23" ht="15">
      <c r="W8361" s="361"/>
    </row>
    <row r="8362" spans="23:23" ht="15">
      <c r="W8362" s="361"/>
    </row>
    <row r="8363" spans="23:23" ht="15">
      <c r="W8363" s="361"/>
    </row>
    <row r="8364" spans="23:23" ht="15">
      <c r="W8364" s="361"/>
    </row>
    <row r="8365" spans="23:23" ht="15">
      <c r="W8365" s="361"/>
    </row>
    <row r="8366" spans="23:23" ht="15">
      <c r="W8366" s="361"/>
    </row>
    <row r="8367" spans="23:23" ht="15">
      <c r="W8367" s="361"/>
    </row>
    <row r="8368" spans="23:23" ht="15">
      <c r="W8368" s="361"/>
    </row>
    <row r="8369" spans="23:23" ht="15">
      <c r="W8369" s="361"/>
    </row>
    <row r="8370" spans="23:23" ht="15">
      <c r="W8370" s="361"/>
    </row>
    <row r="8371" spans="23:23" ht="15">
      <c r="W8371" s="361"/>
    </row>
    <row r="8372" spans="23:23" ht="15">
      <c r="W8372" s="361"/>
    </row>
    <row r="8373" spans="23:23" ht="15">
      <c r="W8373" s="361"/>
    </row>
    <row r="8374" spans="23:23" ht="15">
      <c r="W8374" s="361"/>
    </row>
    <row r="8375" spans="23:23" ht="15">
      <c r="W8375" s="361"/>
    </row>
    <row r="8376" spans="23:23" ht="15">
      <c r="W8376" s="361"/>
    </row>
    <row r="8377" spans="23:23" ht="15">
      <c r="W8377" s="361"/>
    </row>
    <row r="8378" spans="23:23" ht="15">
      <c r="W8378" s="361"/>
    </row>
    <row r="8379" spans="23:23" ht="15">
      <c r="W8379" s="361"/>
    </row>
    <row r="8380" spans="23:23" ht="15">
      <c r="W8380" s="361"/>
    </row>
    <row r="8381" spans="23:23" ht="15">
      <c r="W8381" s="361"/>
    </row>
    <row r="8382" spans="23:23" ht="15">
      <c r="W8382" s="361"/>
    </row>
    <row r="8383" spans="23:23" ht="15">
      <c r="W8383" s="361"/>
    </row>
    <row r="8384" spans="23:23" ht="15">
      <c r="W8384" s="361"/>
    </row>
    <row r="8385" spans="23:23" ht="15">
      <c r="W8385" s="361"/>
    </row>
    <row r="8386" spans="23:23" ht="15">
      <c r="W8386" s="361"/>
    </row>
    <row r="8387" spans="23:23" ht="15">
      <c r="W8387" s="361"/>
    </row>
    <row r="8388" spans="23:23" ht="15">
      <c r="W8388" s="361"/>
    </row>
    <row r="8389" spans="23:23" ht="15">
      <c r="W8389" s="361"/>
    </row>
    <row r="8390" spans="23:23" ht="15">
      <c r="W8390" s="361"/>
    </row>
    <row r="8391" spans="23:23" ht="15">
      <c r="W8391" s="361"/>
    </row>
    <row r="8392" spans="23:23" ht="15">
      <c r="W8392" s="361"/>
    </row>
    <row r="8393" spans="23:23" ht="15">
      <c r="W8393" s="361"/>
    </row>
    <row r="8394" spans="23:23" ht="15">
      <c r="W8394" s="361"/>
    </row>
    <row r="8395" spans="23:23" ht="15">
      <c r="W8395" s="361"/>
    </row>
    <row r="8396" spans="23:23" ht="15">
      <c r="W8396" s="361"/>
    </row>
    <row r="8397" spans="23:23" ht="15">
      <c r="W8397" s="361"/>
    </row>
    <row r="8398" spans="23:23" ht="15">
      <c r="W8398" s="361"/>
    </row>
    <row r="8399" spans="23:23" ht="15">
      <c r="W8399" s="361"/>
    </row>
    <row r="8400" spans="23:23" ht="15">
      <c r="W8400" s="361"/>
    </row>
    <row r="8401" spans="23:23" ht="15">
      <c r="W8401" s="361"/>
    </row>
    <row r="8402" spans="23:23" ht="15">
      <c r="W8402" s="361"/>
    </row>
    <row r="8403" spans="23:23" ht="15">
      <c r="W8403" s="361"/>
    </row>
    <row r="8404" spans="23:23" ht="15">
      <c r="W8404" s="361"/>
    </row>
    <row r="8405" spans="23:23" ht="15">
      <c r="W8405" s="361"/>
    </row>
    <row r="8406" spans="23:23" ht="15">
      <c r="W8406" s="361"/>
    </row>
    <row r="8407" spans="23:23" ht="15">
      <c r="W8407" s="361"/>
    </row>
    <row r="8408" spans="23:23" ht="15">
      <c r="W8408" s="361"/>
    </row>
    <row r="8409" spans="23:23" ht="15">
      <c r="W8409" s="361"/>
    </row>
    <row r="8410" spans="23:23" ht="15">
      <c r="W8410" s="361"/>
    </row>
    <row r="8411" spans="23:23" ht="15">
      <c r="W8411" s="361"/>
    </row>
    <row r="8412" spans="23:23" ht="15">
      <c r="W8412" s="361"/>
    </row>
    <row r="8413" spans="23:23" ht="15">
      <c r="W8413" s="361"/>
    </row>
    <row r="8414" spans="23:23" ht="15">
      <c r="W8414" s="361"/>
    </row>
    <row r="8415" spans="23:23" ht="15">
      <c r="W8415" s="361"/>
    </row>
    <row r="8416" spans="23:23" ht="15">
      <c r="W8416" s="361"/>
    </row>
    <row r="8417" spans="23:23" ht="15">
      <c r="W8417" s="361"/>
    </row>
    <row r="8418" spans="23:23" ht="15">
      <c r="W8418" s="361"/>
    </row>
    <row r="8419" spans="23:23" ht="15">
      <c r="W8419" s="361"/>
    </row>
    <row r="8420" spans="23:23" ht="15">
      <c r="W8420" s="361"/>
    </row>
    <row r="8421" spans="23:23" ht="15">
      <c r="W8421" s="361"/>
    </row>
    <row r="8422" spans="23:23" ht="15">
      <c r="W8422" s="361"/>
    </row>
    <row r="8423" spans="23:23" ht="15">
      <c r="W8423" s="361"/>
    </row>
    <row r="8424" spans="23:23" ht="15">
      <c r="W8424" s="361"/>
    </row>
    <row r="8425" spans="23:23" ht="15">
      <c r="W8425" s="361"/>
    </row>
    <row r="8426" spans="23:23" ht="15">
      <c r="W8426" s="361"/>
    </row>
    <row r="8427" spans="23:23" ht="15">
      <c r="W8427" s="361"/>
    </row>
    <row r="8428" spans="23:23" ht="15">
      <c r="W8428" s="361"/>
    </row>
    <row r="8429" spans="23:23" ht="15">
      <c r="W8429" s="361"/>
    </row>
    <row r="8430" spans="23:23" ht="15">
      <c r="W8430" s="361"/>
    </row>
    <row r="8431" spans="23:23" ht="15">
      <c r="W8431" s="361"/>
    </row>
    <row r="8432" spans="23:23" ht="15">
      <c r="W8432" s="361"/>
    </row>
    <row r="8433" spans="23:23" ht="15">
      <c r="W8433" s="361"/>
    </row>
    <row r="8434" spans="23:23" ht="15">
      <c r="W8434" s="361"/>
    </row>
    <row r="8435" spans="23:23" ht="15">
      <c r="W8435" s="361"/>
    </row>
    <row r="8436" spans="23:23" ht="15">
      <c r="W8436" s="361"/>
    </row>
    <row r="8437" spans="23:23" ht="15">
      <c r="W8437" s="361"/>
    </row>
    <row r="8438" spans="23:23" ht="15">
      <c r="W8438" s="361"/>
    </row>
    <row r="8439" spans="23:23" ht="15">
      <c r="W8439" s="361"/>
    </row>
    <row r="8440" spans="23:23" ht="15">
      <c r="W8440" s="361"/>
    </row>
    <row r="8441" spans="23:23" ht="15">
      <c r="W8441" s="361"/>
    </row>
    <row r="8442" spans="23:23" ht="15">
      <c r="W8442" s="361"/>
    </row>
    <row r="8443" spans="23:23" ht="15">
      <c r="W8443" s="361"/>
    </row>
    <row r="8444" spans="23:23" ht="15">
      <c r="W8444" s="361"/>
    </row>
    <row r="8445" spans="23:23" ht="15">
      <c r="W8445" s="361"/>
    </row>
    <row r="8446" spans="23:23" ht="15">
      <c r="W8446" s="361"/>
    </row>
    <row r="8447" spans="23:23" ht="15">
      <c r="W8447" s="361"/>
    </row>
    <row r="8448" spans="23:23" ht="15">
      <c r="W8448" s="361"/>
    </row>
    <row r="8449" spans="23:23" ht="15">
      <c r="W8449" s="361"/>
    </row>
    <row r="8450" spans="23:23" ht="15">
      <c r="W8450" s="361"/>
    </row>
    <row r="8451" spans="23:23" ht="15">
      <c r="W8451" s="361"/>
    </row>
    <row r="8452" spans="23:23" ht="15">
      <c r="W8452" s="361"/>
    </row>
    <row r="8453" spans="23:23" ht="15">
      <c r="W8453" s="361"/>
    </row>
    <row r="8454" spans="23:23" ht="15">
      <c r="W8454" s="361"/>
    </row>
    <row r="8455" spans="23:23" ht="15">
      <c r="W8455" s="361"/>
    </row>
    <row r="8456" spans="23:23" ht="15">
      <c r="W8456" s="361"/>
    </row>
    <row r="8457" spans="23:23" ht="15">
      <c r="W8457" s="361"/>
    </row>
    <row r="8458" spans="23:23" ht="15">
      <c r="W8458" s="361"/>
    </row>
    <row r="8459" spans="23:23" ht="15">
      <c r="W8459" s="361"/>
    </row>
    <row r="8460" spans="23:23" ht="15">
      <c r="W8460" s="361"/>
    </row>
    <row r="8461" spans="23:23" ht="15">
      <c r="W8461" s="361"/>
    </row>
    <row r="8462" spans="23:23" ht="15">
      <c r="W8462" s="361"/>
    </row>
    <row r="8463" spans="23:23" ht="15">
      <c r="W8463" s="361"/>
    </row>
    <row r="8464" spans="23:23" ht="15">
      <c r="W8464" s="361"/>
    </row>
    <row r="8465" spans="23:23" ht="15">
      <c r="W8465" s="361"/>
    </row>
    <row r="8466" spans="23:23" ht="15">
      <c r="W8466" s="361"/>
    </row>
    <row r="8467" spans="23:23" ht="15">
      <c r="W8467" s="361"/>
    </row>
    <row r="8468" spans="23:23" ht="15">
      <c r="W8468" s="361"/>
    </row>
    <row r="8469" spans="23:23" ht="15">
      <c r="W8469" s="361"/>
    </row>
    <row r="8470" spans="23:23" ht="15">
      <c r="W8470" s="361"/>
    </row>
    <row r="8471" spans="23:23" ht="15">
      <c r="W8471" s="361"/>
    </row>
    <row r="8472" spans="23:23" ht="15">
      <c r="W8472" s="361"/>
    </row>
    <row r="8473" spans="23:23" ht="15">
      <c r="W8473" s="361"/>
    </row>
    <row r="8474" spans="23:23" ht="15">
      <c r="W8474" s="361"/>
    </row>
    <row r="8475" spans="23:23" ht="15">
      <c r="W8475" s="361"/>
    </row>
    <row r="8476" spans="23:23" ht="15">
      <c r="W8476" s="361"/>
    </row>
    <row r="8477" spans="23:23" ht="15">
      <c r="W8477" s="361"/>
    </row>
    <row r="8478" spans="23:23" ht="15">
      <c r="W8478" s="361"/>
    </row>
    <row r="8479" spans="23:23" ht="15">
      <c r="W8479" s="361"/>
    </row>
    <row r="8480" spans="23:23" ht="15">
      <c r="W8480" s="361"/>
    </row>
    <row r="8481" spans="23:23" ht="15">
      <c r="W8481" s="361"/>
    </row>
    <row r="8482" spans="23:23" ht="15">
      <c r="W8482" s="361"/>
    </row>
    <row r="8483" spans="23:23" ht="15">
      <c r="W8483" s="361"/>
    </row>
    <row r="8484" spans="23:23" ht="15">
      <c r="W8484" s="361"/>
    </row>
    <row r="8485" spans="23:23" ht="15">
      <c r="W8485" s="361"/>
    </row>
    <row r="8486" spans="23:23" ht="15">
      <c r="W8486" s="361"/>
    </row>
    <row r="8487" spans="23:23" ht="15">
      <c r="W8487" s="361"/>
    </row>
    <row r="8488" spans="23:23" ht="15">
      <c r="W8488" s="361"/>
    </row>
    <row r="8489" spans="23:23" ht="15">
      <c r="W8489" s="361"/>
    </row>
    <row r="8490" spans="23:23" ht="15">
      <c r="W8490" s="361"/>
    </row>
    <row r="8491" spans="23:23" ht="15">
      <c r="W8491" s="361"/>
    </row>
    <row r="8492" spans="23:23" ht="15">
      <c r="W8492" s="361"/>
    </row>
    <row r="8493" spans="23:23" ht="15">
      <c r="W8493" s="361"/>
    </row>
    <row r="8494" spans="23:23" ht="15">
      <c r="W8494" s="361"/>
    </row>
    <row r="8495" spans="23:23" ht="15">
      <c r="W8495" s="361"/>
    </row>
    <row r="8496" spans="23:23" ht="15">
      <c r="W8496" s="361"/>
    </row>
    <row r="8497" spans="23:23" ht="15">
      <c r="W8497" s="361"/>
    </row>
    <row r="8498" spans="23:23" ht="15">
      <c r="W8498" s="361"/>
    </row>
    <row r="8499" spans="23:23" ht="15">
      <c r="W8499" s="361"/>
    </row>
    <row r="8500" spans="23:23" ht="15">
      <c r="W8500" s="361"/>
    </row>
    <row r="8501" spans="23:23" ht="15">
      <c r="W8501" s="361"/>
    </row>
    <row r="8502" spans="23:23" ht="15">
      <c r="W8502" s="361"/>
    </row>
    <row r="8503" spans="23:23" ht="15">
      <c r="W8503" s="361"/>
    </row>
    <row r="8504" spans="23:23" ht="15">
      <c r="W8504" s="361"/>
    </row>
    <row r="8505" spans="23:23" ht="15">
      <c r="W8505" s="361"/>
    </row>
    <row r="8506" spans="23:23" ht="15">
      <c r="W8506" s="361"/>
    </row>
    <row r="8507" spans="23:23" ht="15">
      <c r="W8507" s="361"/>
    </row>
    <row r="8508" spans="23:23" ht="15">
      <c r="W8508" s="361"/>
    </row>
    <row r="8509" spans="23:23" ht="15">
      <c r="W8509" s="361"/>
    </row>
    <row r="8510" spans="23:23" ht="15">
      <c r="W8510" s="361"/>
    </row>
    <row r="8511" spans="23:23" ht="15">
      <c r="W8511" s="361"/>
    </row>
    <row r="8512" spans="23:23" ht="15">
      <c r="W8512" s="361"/>
    </row>
    <row r="8513" spans="23:23" ht="15">
      <c r="W8513" s="361"/>
    </row>
    <row r="8514" spans="23:23" ht="15">
      <c r="W8514" s="361"/>
    </row>
    <row r="8515" spans="23:23" ht="15">
      <c r="W8515" s="361"/>
    </row>
    <row r="8516" spans="23:23" ht="15">
      <c r="W8516" s="361"/>
    </row>
    <row r="8517" spans="23:23" ht="15">
      <c r="W8517" s="361"/>
    </row>
    <row r="8518" spans="23:23" ht="15">
      <c r="W8518" s="361"/>
    </row>
    <row r="8519" spans="23:23" ht="15">
      <c r="W8519" s="361"/>
    </row>
    <row r="8520" spans="23:23" ht="15">
      <c r="W8520" s="361"/>
    </row>
    <row r="8521" spans="23:23" ht="15">
      <c r="W8521" s="361"/>
    </row>
    <row r="8522" spans="23:23" ht="15">
      <c r="W8522" s="361"/>
    </row>
    <row r="8523" spans="23:23" ht="15">
      <c r="W8523" s="361"/>
    </row>
    <row r="8524" spans="23:23" ht="15">
      <c r="W8524" s="361"/>
    </row>
    <row r="8525" spans="23:23" ht="15">
      <c r="W8525" s="361"/>
    </row>
    <row r="8526" spans="23:23" ht="15">
      <c r="W8526" s="361"/>
    </row>
    <row r="8527" spans="23:23" ht="15">
      <c r="W8527" s="361"/>
    </row>
    <row r="8528" spans="23:23" ht="15">
      <c r="W8528" s="361"/>
    </row>
    <row r="8529" spans="23:23" ht="15">
      <c r="W8529" s="361"/>
    </row>
    <row r="8530" spans="23:23" ht="15">
      <c r="W8530" s="361"/>
    </row>
    <row r="8531" spans="23:23" ht="15">
      <c r="W8531" s="361"/>
    </row>
    <row r="8532" spans="23:23" ht="15">
      <c r="W8532" s="361"/>
    </row>
    <row r="8533" spans="23:23" ht="15">
      <c r="W8533" s="361"/>
    </row>
    <row r="8534" spans="23:23" ht="15">
      <c r="W8534" s="361"/>
    </row>
    <row r="8535" spans="23:23" ht="15">
      <c r="W8535" s="361"/>
    </row>
    <row r="8536" spans="23:23" ht="15">
      <c r="W8536" s="361"/>
    </row>
    <row r="8537" spans="23:23" ht="15">
      <c r="W8537" s="361"/>
    </row>
    <row r="8538" spans="23:23" ht="15">
      <c r="W8538" s="361"/>
    </row>
    <row r="8539" spans="23:23" ht="15">
      <c r="W8539" s="361"/>
    </row>
    <row r="8540" spans="23:23" ht="15">
      <c r="W8540" s="361"/>
    </row>
    <row r="8541" spans="23:23" ht="15">
      <c r="W8541" s="361"/>
    </row>
    <row r="8542" spans="23:23" ht="15">
      <c r="W8542" s="361"/>
    </row>
    <row r="8543" spans="23:23" ht="15">
      <c r="W8543" s="361"/>
    </row>
    <row r="8544" spans="23:23" ht="15">
      <c r="W8544" s="361"/>
    </row>
    <row r="8545" spans="23:23" ht="15">
      <c r="W8545" s="361"/>
    </row>
    <row r="8546" spans="23:23" ht="15">
      <c r="W8546" s="361"/>
    </row>
    <row r="8547" spans="23:23" ht="15">
      <c r="W8547" s="361"/>
    </row>
    <row r="8548" spans="23:23" ht="15">
      <c r="W8548" s="361"/>
    </row>
    <row r="8549" spans="23:23" ht="15">
      <c r="W8549" s="361"/>
    </row>
    <row r="8550" spans="23:23" ht="15">
      <c r="W8550" s="361"/>
    </row>
    <row r="8551" spans="23:23" ht="15">
      <c r="W8551" s="361"/>
    </row>
    <row r="8552" spans="23:23" ht="15">
      <c r="W8552" s="361"/>
    </row>
    <row r="8553" spans="23:23" ht="15">
      <c r="W8553" s="361"/>
    </row>
    <row r="8554" spans="23:23" ht="15">
      <c r="W8554" s="361"/>
    </row>
    <row r="8555" spans="23:23" ht="15">
      <c r="W8555" s="361"/>
    </row>
    <row r="8556" spans="23:23" ht="15">
      <c r="W8556" s="361"/>
    </row>
    <row r="8557" spans="23:23" ht="15">
      <c r="W8557" s="361"/>
    </row>
    <row r="8558" spans="23:23" ht="15">
      <c r="W8558" s="361"/>
    </row>
    <row r="8559" spans="23:23" ht="15">
      <c r="W8559" s="361"/>
    </row>
    <row r="8560" spans="23:23" ht="15">
      <c r="W8560" s="361"/>
    </row>
  </sheetData>
  <mergeCells count="25">
    <mergeCell ref="S3682:V3682"/>
    <mergeCell ref="F3713:K3713"/>
    <mergeCell ref="O3713:P3713"/>
    <mergeCell ref="F3987:H3987"/>
    <mergeCell ref="H4004:K4004"/>
    <mergeCell ref="J4080:M4080"/>
    <mergeCell ref="O2431:O2432"/>
    <mergeCell ref="AF2603:AI2603"/>
    <mergeCell ref="I3048:J3048"/>
    <mergeCell ref="S3150:T3150"/>
    <mergeCell ref="I3494:J3494"/>
    <mergeCell ref="AD3650:AI3651"/>
    <mergeCell ref="N1533:R1533"/>
    <mergeCell ref="O2345:Q2345"/>
    <mergeCell ref="O2355:Q2355"/>
    <mergeCell ref="H2422:K2422"/>
    <mergeCell ref="H2424:H2425"/>
    <mergeCell ref="O2429:R2429"/>
    <mergeCell ref="U2:X2"/>
    <mergeCell ref="X6:Y6"/>
    <mergeCell ref="AA6:AB6"/>
    <mergeCell ref="AC552:AD552"/>
    <mergeCell ref="AJ552:AK552"/>
    <mergeCell ref="P1476:R1476"/>
    <mergeCell ref="S1476:U1476"/>
  </mergeCells>
  <hyperlinks>
    <hyperlink ref="J272" r:id="rId1" display="G:\227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EB Qtrs Det</vt:lpstr>
      <vt:lpstr>A3 SHEET</vt:lpstr>
      <vt:lpstr>EB Qtrs Abs</vt:lpstr>
      <vt:lpstr>Sheet1</vt:lpstr>
      <vt:lpstr>GEN ABS</vt:lpstr>
      <vt:lpstr>data 23-24</vt:lpstr>
      <vt:lpstr>BUILDING FINAL</vt:lpstr>
      <vt:lpstr>Lead charge</vt:lpstr>
      <vt:lpstr>Sheet3</vt:lpstr>
      <vt:lpstr>'A3 SHEET'!Print_Area</vt:lpstr>
      <vt:lpstr>'BUILDING FINAL'!Print_Area</vt:lpstr>
      <vt:lpstr>'EB Qtrs Abs'!Print_Area</vt:lpstr>
      <vt:lpstr>'EB Qtrs Det'!Print_Area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 System</dc:creator>
  <cp:lastModifiedBy>Dell</cp:lastModifiedBy>
  <dcterms:created xsi:type="dcterms:W3CDTF">2023-02-08T11:29:05Z</dcterms:created>
  <dcterms:modified xsi:type="dcterms:W3CDTF">2023-07-11T10:16:03Z</dcterms:modified>
</cp:coreProperties>
</file>